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24B9FB31-6C0E-4754-8097-8E38C49E26C3}" xr6:coauthVersionLast="47" xr6:coauthVersionMax="47" xr10:uidLastSave="{00000000-0000-0000-0000-000000000000}"/>
  <workbookProtection workbookAlgorithmName="SHA-512" workbookHashValue="3EJG6w7QfSDOEOYINhl4bkNxix3dFNoe7hYn1sB3A37CPEeXdzafAMnpScQ1kEn4bgDPh4R86Axitf9zPXeU4A==" workbookSaltValue="Lgg3cAD8iQ/GZTzXe2xq8w==" workbookSpinCount="100000" lockStructure="1"/>
  <bookViews>
    <workbookView xWindow="-108" yWindow="-108" windowWidth="23256" windowHeight="12456" tabRatio="852" xr2:uid="{00000000-000D-0000-FFFF-FFFF00000000}"/>
  </bookViews>
  <sheets>
    <sheet name="profil" sheetId="77" r:id="rId1"/>
    <sheet name="texty" sheetId="39" state="hidden" r:id="rId2"/>
    <sheet name="Pax" sheetId="72" r:id="rId3"/>
    <sheet name="System10" sheetId="3" r:id="rId4"/>
    <sheet name="Vitara" sheetId="86" r:id="rId5"/>
    <sheet name="Lynx" sheetId="85" r:id="rId6"/>
    <sheet name="Gemini" sheetId="4" r:id="rId7"/>
    <sheet name="Lux" sheetId="30" r:id="rId8"/>
    <sheet name="data" sheetId="1" state="hidden" r:id="rId9"/>
    <sheet name="cennik" sheetId="40" state="hidden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Arte GM rám" sheetId="88" r:id="rId19"/>
    <sheet name="Arte GM bezrám" sheetId="91" r:id="rId20"/>
    <sheet name="Porto GM rám" sheetId="94" r:id="rId21"/>
    <sheet name="Porto GM bezrám" sheetId="95" r:id="rId22"/>
    <sheet name="Prosper rám" sheetId="87" r:id="rId23"/>
    <sheet name="Prosper bezrám" sheetId="93" r:id="rId24"/>
    <sheet name="Alfa II" sheetId="56" r:id="rId25"/>
    <sheet name="Faworyt" sheetId="8" r:id="rId26"/>
    <sheet name="Tytan" sheetId="18" r:id="rId27"/>
    <sheet name="Oaza II" sheetId="19" r:id="rId28"/>
    <sheet name="Victoria" sheetId="17" r:id="rId29"/>
    <sheet name="Factor 18 II" sheetId="20" r:id="rId30"/>
    <sheet name="Beta" sheetId="70" r:id="rId31"/>
    <sheet name="Focus II" sheetId="33" r:id="rId32"/>
    <sheet name="Ergo" sheetId="44" r:id="rId33"/>
    <sheet name="Fiona II" sheetId="48" r:id="rId34"/>
    <sheet name="Universal" sheetId="34" r:id="rId35"/>
    <sheet name="Minicomfort II" sheetId="58" r:id="rId36"/>
    <sheet name="Comfort II" sheetId="62" r:id="rId37"/>
    <sheet name="Unicomfort II" sheetId="61" r:id="rId38"/>
    <sheet name="Era (bezrámový)" sheetId="80" r:id="rId39"/>
    <sheet name="Rekord (bezrámový)" sheetId="81" r:id="rId40"/>
    <sheet name="Era (rámový)" sheetId="53" r:id="rId41"/>
    <sheet name="Rekord (rámový)" sheetId="78" r:id="rId42"/>
    <sheet name="sys.10mm" sheetId="41" r:id="rId43"/>
    <sheet name="sys. 18mm" sheetId="42" r:id="rId44"/>
    <sheet name="sys. Pax" sheetId="75" r:id="rId45"/>
    <sheet name="Blue 10 mm" sheetId="82" r:id="rId46"/>
    <sheet name="Blue 18 mm (rámový)" sheetId="83" r:id="rId47"/>
    <sheet name="Blue 18 mm (bezrámový)" sheetId="84" r:id="rId48"/>
    <sheet name="příslušenství" sheetId="57" r:id="rId49"/>
  </sheets>
  <definedNames>
    <definedName name="_xlnm._FilterDatabase" localSheetId="9" hidden="1">cennik!$A$1:$T$3818</definedName>
    <definedName name="_xlnm._FilterDatabase" localSheetId="8" hidden="1">data!$A$2:$F$900</definedName>
    <definedName name="_xlnm._FilterDatabase" localSheetId="2" hidden="1">Pax!$A$2:$I$12</definedName>
    <definedName name="_xlnm._FilterDatabase" localSheetId="1" hidden="1">texty!$A$1:$L$284</definedName>
    <definedName name="barva" localSheetId="19">'Arte GM bezrám'!$E$4</definedName>
    <definedName name="barva" localSheetId="18">'Arte GM rám'!$E$4</definedName>
    <definedName name="barva" localSheetId="10">Fox!$E$4</definedName>
    <definedName name="barva" localSheetId="7">Lux!$E$4</definedName>
    <definedName name="barva" localSheetId="2">Pax!$E$4</definedName>
    <definedName name="barva" localSheetId="21">'Porto GM bezrám'!$E$4</definedName>
    <definedName name="barva" localSheetId="20">'Porto GM rám'!$E$4</definedName>
    <definedName name="barva" localSheetId="23">'Prosper bezrám'!$E$4</definedName>
    <definedName name="barva" localSheetId="22">'Prosper rám'!$E$4</definedName>
    <definedName name="barva" localSheetId="4">Vitara!$E$4</definedName>
    <definedName name="barva">System10!$E$4</definedName>
    <definedName name="barva_4" localSheetId="5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6">'Comfort II'!$E$4</definedName>
    <definedName name="barva_7" localSheetId="38">'Era (bezrámový)'!$E$4</definedName>
    <definedName name="barva_7" localSheetId="40">'Era (rámový)'!$E$4</definedName>
    <definedName name="barva_7" localSheetId="16">Fala!$E$4</definedName>
    <definedName name="barva_7" localSheetId="14">Master!$E$4</definedName>
    <definedName name="barva_7" localSheetId="35">'Minicomfort II'!$E$4</definedName>
    <definedName name="barva_7" localSheetId="17">Polo!$E$4</definedName>
    <definedName name="barva_7" localSheetId="39">'Rekord (bezrámový)'!$E$4</definedName>
    <definedName name="barva_7" localSheetId="41">'Rekord (rámový)'!$E$4</definedName>
    <definedName name="barva_7" localSheetId="37">'Unicomfort II'!$E$4</definedName>
    <definedName name="barva_7">Future!$E$4</definedName>
    <definedName name="barva_8" localSheetId="24">'Alfa II'!$E$4</definedName>
    <definedName name="barva_8" localSheetId="30">Beta!$E$4</definedName>
    <definedName name="barva_8" localSheetId="32">Ergo!$E$4</definedName>
    <definedName name="barva_8" localSheetId="29">'Factor 18 II'!$E$4</definedName>
    <definedName name="barva_8" localSheetId="33">'Fiona II'!$E$4</definedName>
    <definedName name="barva_8" localSheetId="31">'Focus II'!$E$4</definedName>
    <definedName name="barva_8" localSheetId="27">'Oaza II'!$E$4</definedName>
    <definedName name="barva_8" localSheetId="26">Tytan!$E$4</definedName>
    <definedName name="barva_8" localSheetId="34">Universal!$E$4</definedName>
    <definedName name="barva_8" localSheetId="28">Victoria!$E$4</definedName>
    <definedName name="barva_8">Faworyt!$E$4</definedName>
    <definedName name="čtyři_křídla">Pax!$AF$4:$AF$8</definedName>
    <definedName name="dvě_křídla">Pax!$AD$4:$AD$6</definedName>
    <definedName name="_xlnm.Print_Area" localSheetId="33">'Fiona II'!$A$2:$J$59</definedName>
    <definedName name="_xlnm.Print_Area" localSheetId="0">profil!$A:$Q</definedName>
    <definedName name="_xlnm.Print_Area" localSheetId="3">System10!$A:$J</definedName>
    <definedName name="pět_křídel">Pax!$AG$4:$AG$8</definedName>
    <definedName name="šest_křídel">Pax!$AH$4:$AH$8</definedName>
    <definedName name="tři_křídla">Pax!$AE$4:$AE$8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0" l="1"/>
  <c r="C3784" i="40" l="1"/>
  <c r="C3785" i="40"/>
  <c r="C3786" i="40"/>
  <c r="C3787" i="40"/>
  <c r="C3788" i="40"/>
  <c r="C3789" i="40"/>
  <c r="C3790" i="40"/>
  <c r="C3791" i="40"/>
  <c r="C3792" i="40"/>
  <c r="C3793" i="40"/>
  <c r="C3794" i="40"/>
  <c r="C3795" i="40"/>
  <c r="C3796" i="40"/>
  <c r="C3797" i="40"/>
  <c r="C3798" i="40"/>
  <c r="C3799" i="40"/>
  <c r="C3800" i="40"/>
  <c r="C3801" i="40"/>
  <c r="C3802" i="40"/>
  <c r="C3803" i="40"/>
  <c r="C3804" i="40"/>
  <c r="C3805" i="40"/>
  <c r="C3806" i="40"/>
  <c r="C3807" i="40"/>
  <c r="C3808" i="40"/>
  <c r="C3809" i="40"/>
  <c r="C3810" i="40"/>
  <c r="C3811" i="40"/>
  <c r="C3812" i="40"/>
  <c r="C3813" i="40"/>
  <c r="C3814" i="40"/>
  <c r="C3815" i="40"/>
  <c r="C3816" i="40"/>
  <c r="C3817" i="40"/>
  <c r="C3818" i="40"/>
  <c r="B3784" i="40"/>
  <c r="B3785" i="40"/>
  <c r="B3786" i="40"/>
  <c r="B3787" i="40"/>
  <c r="B3788" i="40"/>
  <c r="B3789" i="40"/>
  <c r="B3790" i="40"/>
  <c r="B3791" i="40"/>
  <c r="B3792" i="40"/>
  <c r="B3793" i="40"/>
  <c r="B3794" i="40"/>
  <c r="B3795" i="40"/>
  <c r="B3796" i="40"/>
  <c r="B3797" i="40"/>
  <c r="B3798" i="40"/>
  <c r="B3799" i="40"/>
  <c r="B3800" i="40"/>
  <c r="B3801" i="40"/>
  <c r="B3802" i="40"/>
  <c r="B3803" i="40"/>
  <c r="B3804" i="40"/>
  <c r="B3805" i="40"/>
  <c r="B3806" i="40"/>
  <c r="B3807" i="40"/>
  <c r="B3808" i="40"/>
  <c r="B3809" i="40"/>
  <c r="B3810" i="40"/>
  <c r="B3811" i="40"/>
  <c r="B3812" i="40"/>
  <c r="B3813" i="40"/>
  <c r="B3814" i="40"/>
  <c r="B3815" i="40"/>
  <c r="B3816" i="40"/>
  <c r="B3817" i="40"/>
  <c r="B3818" i="40"/>
  <c r="A12" i="93" l="1"/>
  <c r="A14" i="3" l="1"/>
  <c r="A13" i="95"/>
  <c r="B6" i="30"/>
  <c r="B6" i="72"/>
  <c r="B6" i="31"/>
  <c r="A14" i="30"/>
  <c r="Q10" i="1"/>
  <c r="P10" i="1"/>
  <c r="O10" i="1"/>
  <c r="M10" i="1"/>
  <c r="B2" i="40" l="1"/>
  <c r="C3783" i="40"/>
  <c r="C3782" i="40"/>
  <c r="C3781" i="40"/>
  <c r="C3780" i="40"/>
  <c r="C3779" i="40"/>
  <c r="C3778" i="40"/>
  <c r="C3777" i="40"/>
  <c r="C3776" i="40"/>
  <c r="C3775" i="40"/>
  <c r="C3774" i="40"/>
  <c r="C3773" i="40"/>
  <c r="C3772" i="40"/>
  <c r="C3771" i="40"/>
  <c r="C3770" i="40"/>
  <c r="C3769" i="40"/>
  <c r="C3768" i="40"/>
  <c r="C3767" i="40"/>
  <c r="C3766" i="40"/>
  <c r="C3765" i="40"/>
  <c r="C3764" i="40"/>
  <c r="C3763" i="40"/>
  <c r="C3762" i="40"/>
  <c r="C3761" i="40"/>
  <c r="C3760" i="40"/>
  <c r="C3759" i="40"/>
  <c r="C3758" i="40"/>
  <c r="C3757" i="40"/>
  <c r="C3756" i="40"/>
  <c r="C3755" i="40"/>
  <c r="C3754" i="40"/>
  <c r="C3753" i="40"/>
  <c r="C3752" i="40"/>
  <c r="C3751" i="40"/>
  <c r="C3750" i="40"/>
  <c r="C3749" i="40"/>
  <c r="C3748" i="40"/>
  <c r="C3747" i="40"/>
  <c r="C3746" i="40"/>
  <c r="C3745" i="40"/>
  <c r="C3744" i="40"/>
  <c r="C3743" i="40"/>
  <c r="C3742" i="40"/>
  <c r="C3741" i="40"/>
  <c r="C3740" i="40"/>
  <c r="C3739" i="40"/>
  <c r="C3738" i="40"/>
  <c r="C3737" i="40"/>
  <c r="C3736" i="40"/>
  <c r="C3735" i="40"/>
  <c r="C3734" i="40"/>
  <c r="C3733" i="40"/>
  <c r="C3732" i="40"/>
  <c r="C3731" i="40"/>
  <c r="C3730" i="40"/>
  <c r="C3729" i="40"/>
  <c r="C3728" i="40"/>
  <c r="C3727" i="40"/>
  <c r="C3726" i="40"/>
  <c r="C3725" i="40"/>
  <c r="C3724" i="40"/>
  <c r="C3723" i="40"/>
  <c r="C3722" i="40"/>
  <c r="C3721" i="40"/>
  <c r="C3720" i="40"/>
  <c r="C3719" i="40"/>
  <c r="C3718" i="40"/>
  <c r="C3717" i="40"/>
  <c r="C3716" i="40"/>
  <c r="C3715" i="40"/>
  <c r="C3714" i="40"/>
  <c r="C3713" i="40"/>
  <c r="C3712" i="40"/>
  <c r="C3711" i="40"/>
  <c r="C3710" i="40"/>
  <c r="C3709" i="40"/>
  <c r="C3708" i="40"/>
  <c r="C3707" i="40"/>
  <c r="C3706" i="40"/>
  <c r="C3705" i="40"/>
  <c r="C3704" i="40"/>
  <c r="C3703" i="40"/>
  <c r="C3702" i="40"/>
  <c r="C3701" i="40"/>
  <c r="C3700" i="40"/>
  <c r="C3699" i="40"/>
  <c r="C3698" i="40"/>
  <c r="C3697" i="40"/>
  <c r="C3696" i="40"/>
  <c r="C3695" i="40"/>
  <c r="C3694" i="40"/>
  <c r="C3693" i="40"/>
  <c r="C3692" i="40"/>
  <c r="C3691" i="40"/>
  <c r="C3690" i="40"/>
  <c r="C3689" i="40"/>
  <c r="C3688" i="40"/>
  <c r="C3687" i="40"/>
  <c r="C3686" i="40"/>
  <c r="C3685" i="40"/>
  <c r="C3684" i="40"/>
  <c r="C3683" i="40"/>
  <c r="C3682" i="40"/>
  <c r="C3681" i="40"/>
  <c r="C3680" i="40"/>
  <c r="C3679" i="40"/>
  <c r="C3678" i="40"/>
  <c r="C3677" i="40"/>
  <c r="C3676" i="40"/>
  <c r="C3675" i="40"/>
  <c r="C3674" i="40"/>
  <c r="C3673" i="40"/>
  <c r="C3672" i="40"/>
  <c r="C3671" i="40"/>
  <c r="C3670" i="40"/>
  <c r="C3669" i="40"/>
  <c r="C3668" i="40"/>
  <c r="C3667" i="40"/>
  <c r="C3666" i="40"/>
  <c r="C3665" i="40"/>
  <c r="C3664" i="40"/>
  <c r="C3663" i="40"/>
  <c r="C3662" i="40"/>
  <c r="C3661" i="40"/>
  <c r="C3660" i="40"/>
  <c r="C3659" i="40"/>
  <c r="C3658" i="40"/>
  <c r="C3657" i="40"/>
  <c r="C3656" i="40"/>
  <c r="C3655" i="40"/>
  <c r="C3654" i="40"/>
  <c r="C3653" i="40"/>
  <c r="C3652" i="40"/>
  <c r="C3651" i="40"/>
  <c r="C3650" i="40"/>
  <c r="C3649" i="40"/>
  <c r="C3648" i="40"/>
  <c r="C3647" i="40"/>
  <c r="C3646" i="40"/>
  <c r="C3645" i="40"/>
  <c r="C3644" i="40"/>
  <c r="C3643" i="40"/>
  <c r="C3642" i="40"/>
  <c r="C3641" i="40"/>
  <c r="C3640" i="40"/>
  <c r="C3639" i="40"/>
  <c r="C3638" i="40"/>
  <c r="C3637" i="40"/>
  <c r="C3636" i="40"/>
  <c r="C3635" i="40"/>
  <c r="C3634" i="40"/>
  <c r="C3633" i="40"/>
  <c r="C3632" i="40"/>
  <c r="C3631" i="40"/>
  <c r="C3630" i="40"/>
  <c r="C3629" i="40"/>
  <c r="C3628" i="40"/>
  <c r="C3627" i="40"/>
  <c r="C3626" i="40"/>
  <c r="C3625" i="40"/>
  <c r="C3624" i="40"/>
  <c r="C3623" i="40"/>
  <c r="C3622" i="40"/>
  <c r="C3621" i="40"/>
  <c r="C3620" i="40"/>
  <c r="C3619" i="40"/>
  <c r="C3618" i="40"/>
  <c r="C3617" i="40"/>
  <c r="C3616" i="40"/>
  <c r="C3615" i="40"/>
  <c r="C3614" i="40"/>
  <c r="C3613" i="40"/>
  <c r="C3612" i="40"/>
  <c r="C3611" i="40"/>
  <c r="C3610" i="40"/>
  <c r="C3609" i="40"/>
  <c r="C3608" i="40"/>
  <c r="C3607" i="40"/>
  <c r="C3606" i="40"/>
  <c r="C3605" i="40"/>
  <c r="C3604" i="40"/>
  <c r="C3603" i="40"/>
  <c r="C3602" i="40"/>
  <c r="C3601" i="40"/>
  <c r="C3600" i="40"/>
  <c r="C3599" i="40"/>
  <c r="C3598" i="40"/>
  <c r="C3597" i="40"/>
  <c r="C3596" i="40"/>
  <c r="C3595" i="40"/>
  <c r="C3594" i="40"/>
  <c r="C3593" i="40"/>
  <c r="C3592" i="40"/>
  <c r="C3591" i="40"/>
  <c r="C3590" i="40"/>
  <c r="C3589" i="40"/>
  <c r="C3588" i="40"/>
  <c r="C3587" i="40"/>
  <c r="C3586" i="40"/>
  <c r="C3585" i="40"/>
  <c r="C3584" i="40"/>
  <c r="C3583" i="40"/>
  <c r="C3582" i="40"/>
  <c r="C3581" i="40"/>
  <c r="C3580" i="40"/>
  <c r="C3579" i="40"/>
  <c r="C3578" i="40"/>
  <c r="C3577" i="40"/>
  <c r="C3576" i="40"/>
  <c r="C3575" i="40"/>
  <c r="C3574" i="40"/>
  <c r="C3573" i="40"/>
  <c r="C3572" i="40"/>
  <c r="C3571" i="40"/>
  <c r="C3570" i="40"/>
  <c r="C3569" i="40"/>
  <c r="C3568" i="40"/>
  <c r="C3567" i="40"/>
  <c r="C3566" i="40"/>
  <c r="C3565" i="40"/>
  <c r="C3564" i="40"/>
  <c r="C3563" i="40"/>
  <c r="C3562" i="40"/>
  <c r="C3561" i="40"/>
  <c r="C3560" i="40"/>
  <c r="C3559" i="40"/>
  <c r="C3558" i="40"/>
  <c r="C3557" i="40"/>
  <c r="C3556" i="40"/>
  <c r="C3555" i="40"/>
  <c r="C3554" i="40"/>
  <c r="C3553" i="40"/>
  <c r="C3552" i="40"/>
  <c r="C3551" i="40"/>
  <c r="C3550" i="40"/>
  <c r="C3549" i="40"/>
  <c r="C3548" i="40"/>
  <c r="C3547" i="40"/>
  <c r="C3546" i="40"/>
  <c r="C3545" i="40"/>
  <c r="C3544" i="40"/>
  <c r="C3543" i="40"/>
  <c r="C3542" i="40"/>
  <c r="C3541" i="40"/>
  <c r="C3540" i="40"/>
  <c r="C3539" i="40"/>
  <c r="C3538" i="40"/>
  <c r="C3537" i="40"/>
  <c r="C3536" i="40"/>
  <c r="C3535" i="40"/>
  <c r="C3534" i="40"/>
  <c r="C3533" i="40"/>
  <c r="C3532" i="40"/>
  <c r="C3531" i="40"/>
  <c r="C3530" i="40"/>
  <c r="C3529" i="40"/>
  <c r="C3528" i="40"/>
  <c r="C3527" i="40"/>
  <c r="C3526" i="40"/>
  <c r="C3525" i="40"/>
  <c r="C3524" i="40"/>
  <c r="C3523" i="40"/>
  <c r="C3522" i="40"/>
  <c r="C3521" i="40"/>
  <c r="C3520" i="40"/>
  <c r="C3519" i="40"/>
  <c r="C3518" i="40"/>
  <c r="C3517" i="40"/>
  <c r="C3516" i="40"/>
  <c r="C3515" i="40"/>
  <c r="C3514" i="40"/>
  <c r="C3513" i="40"/>
  <c r="C3512" i="40"/>
  <c r="C3511" i="40"/>
  <c r="C3510" i="40"/>
  <c r="C3509" i="40"/>
  <c r="C3508" i="40"/>
  <c r="C3507" i="40"/>
  <c r="C3506" i="40"/>
  <c r="C3505" i="40"/>
  <c r="C3504" i="40"/>
  <c r="C3503" i="40"/>
  <c r="C3502" i="40"/>
  <c r="C3501" i="40"/>
  <c r="C3500" i="40"/>
  <c r="C3499" i="40"/>
  <c r="C3498" i="40"/>
  <c r="C3497" i="40"/>
  <c r="C3496" i="40"/>
  <c r="C3495" i="40"/>
  <c r="C3494" i="40"/>
  <c r="C3493" i="40"/>
  <c r="C3492" i="40"/>
  <c r="C3491" i="40"/>
  <c r="C3490" i="40"/>
  <c r="C3489" i="40"/>
  <c r="C3488" i="40"/>
  <c r="C3487" i="40"/>
  <c r="C3486" i="40"/>
  <c r="C3485" i="40"/>
  <c r="C3484" i="40"/>
  <c r="C3483" i="40"/>
  <c r="C3482" i="40"/>
  <c r="C3481" i="40"/>
  <c r="C3480" i="40"/>
  <c r="C3479" i="40"/>
  <c r="C3478" i="40"/>
  <c r="C3477" i="40"/>
  <c r="C3476" i="40"/>
  <c r="C3475" i="40"/>
  <c r="C3474" i="40"/>
  <c r="C3473" i="40"/>
  <c r="C3472" i="40"/>
  <c r="C3471" i="40"/>
  <c r="C3470" i="40"/>
  <c r="C3469" i="40"/>
  <c r="C3468" i="40"/>
  <c r="C3467" i="40"/>
  <c r="C3466" i="40"/>
  <c r="C3465" i="40"/>
  <c r="C3464" i="40"/>
  <c r="C3463" i="40"/>
  <c r="C3462" i="40"/>
  <c r="C3461" i="40"/>
  <c r="C3460" i="40"/>
  <c r="C3459" i="40"/>
  <c r="C3458" i="40"/>
  <c r="C3457" i="40"/>
  <c r="C3456" i="40"/>
  <c r="C3455" i="40"/>
  <c r="C3454" i="40"/>
  <c r="C3453" i="40"/>
  <c r="C3452" i="40"/>
  <c r="C3451" i="40"/>
  <c r="C3450" i="40"/>
  <c r="C3449" i="40"/>
  <c r="C3448" i="40"/>
  <c r="C3447" i="40"/>
  <c r="C3446" i="40"/>
  <c r="C3445" i="40"/>
  <c r="C3444" i="40"/>
  <c r="C3443" i="40"/>
  <c r="C3442" i="40"/>
  <c r="C3441" i="40"/>
  <c r="C3440" i="40"/>
  <c r="C3439" i="40"/>
  <c r="C3438" i="40"/>
  <c r="C3437" i="40"/>
  <c r="C3436" i="40"/>
  <c r="C3435" i="40"/>
  <c r="C3434" i="40"/>
  <c r="C3433" i="40"/>
  <c r="C3432" i="40"/>
  <c r="C3431" i="40"/>
  <c r="C3430" i="40"/>
  <c r="C3429" i="40"/>
  <c r="C3428" i="40"/>
  <c r="C3427" i="40"/>
  <c r="C3426" i="40"/>
  <c r="C3425" i="40"/>
  <c r="C3424" i="40"/>
  <c r="C3423" i="40"/>
  <c r="C3422" i="40"/>
  <c r="C3421" i="40"/>
  <c r="C3420" i="40"/>
  <c r="C3419" i="40"/>
  <c r="C3418" i="40"/>
  <c r="C3417" i="40"/>
  <c r="C3416" i="40"/>
  <c r="C3415" i="40"/>
  <c r="C3414" i="40"/>
  <c r="C3413" i="40"/>
  <c r="C3412" i="40"/>
  <c r="C3411" i="40"/>
  <c r="C3410" i="40"/>
  <c r="C3409" i="40"/>
  <c r="C3408" i="40"/>
  <c r="C3407" i="40"/>
  <c r="C3406" i="40"/>
  <c r="C3405" i="40"/>
  <c r="C3404" i="40"/>
  <c r="C3403" i="40"/>
  <c r="C3402" i="40"/>
  <c r="C3401" i="40"/>
  <c r="C3400" i="40"/>
  <c r="C3399" i="40"/>
  <c r="C3398" i="40"/>
  <c r="C3397" i="40"/>
  <c r="C3396" i="40"/>
  <c r="C3395" i="40"/>
  <c r="C3394" i="40"/>
  <c r="C3393" i="40"/>
  <c r="C3392" i="40"/>
  <c r="C3391" i="40"/>
  <c r="C3390" i="40"/>
  <c r="C3389" i="40"/>
  <c r="C3388" i="40"/>
  <c r="C3387" i="40"/>
  <c r="C3386" i="40"/>
  <c r="C3385" i="40"/>
  <c r="C3384" i="40"/>
  <c r="C3383" i="40"/>
  <c r="C3382" i="40"/>
  <c r="C3381" i="40"/>
  <c r="C3380" i="40"/>
  <c r="C3379" i="40"/>
  <c r="C3378" i="40"/>
  <c r="C3377" i="40"/>
  <c r="C3376" i="40"/>
  <c r="C3375" i="40"/>
  <c r="C3374" i="40"/>
  <c r="C3373" i="40"/>
  <c r="C3372" i="40"/>
  <c r="C3371" i="40"/>
  <c r="C3370" i="40"/>
  <c r="C3369" i="40"/>
  <c r="C3368" i="40"/>
  <c r="C3367" i="40"/>
  <c r="C3366" i="40"/>
  <c r="C3365" i="40"/>
  <c r="C3364" i="40"/>
  <c r="C3363" i="40"/>
  <c r="C3362" i="40"/>
  <c r="C3361" i="40"/>
  <c r="C3360" i="40"/>
  <c r="C3359" i="40"/>
  <c r="C3358" i="40"/>
  <c r="C3357" i="40"/>
  <c r="C3356" i="40"/>
  <c r="C3355" i="40"/>
  <c r="C3354" i="40"/>
  <c r="C3353" i="40"/>
  <c r="C3352" i="40"/>
  <c r="C3351" i="40"/>
  <c r="C3350" i="40"/>
  <c r="C3349" i="40"/>
  <c r="C3348" i="40"/>
  <c r="C3347" i="40"/>
  <c r="C3346" i="40"/>
  <c r="C3345" i="40"/>
  <c r="C3344" i="40"/>
  <c r="C3343" i="40"/>
  <c r="C3342" i="40"/>
  <c r="C3341" i="40"/>
  <c r="C3340" i="40"/>
  <c r="C3339" i="40"/>
  <c r="C3338" i="40"/>
  <c r="C3337" i="40"/>
  <c r="C3336" i="40"/>
  <c r="C3335" i="40"/>
  <c r="C3334" i="40"/>
  <c r="C3333" i="40"/>
  <c r="C3332" i="40"/>
  <c r="C3331" i="40"/>
  <c r="C3330" i="40"/>
  <c r="C3329" i="40"/>
  <c r="C3328" i="40"/>
  <c r="C3327" i="40"/>
  <c r="C3326" i="40"/>
  <c r="C3325" i="40"/>
  <c r="C3324" i="40"/>
  <c r="C3323" i="40"/>
  <c r="C3322" i="40"/>
  <c r="C3321" i="40"/>
  <c r="C3320" i="40"/>
  <c r="C3319" i="40"/>
  <c r="C3318" i="40"/>
  <c r="C3317" i="40"/>
  <c r="C3316" i="40"/>
  <c r="C3315" i="40"/>
  <c r="C3314" i="40"/>
  <c r="C3313" i="40"/>
  <c r="C3312" i="40"/>
  <c r="C3311" i="40"/>
  <c r="C3310" i="40"/>
  <c r="C3309" i="40"/>
  <c r="C3308" i="40"/>
  <c r="C3307" i="40"/>
  <c r="C3306" i="40"/>
  <c r="C3305" i="40"/>
  <c r="C3304" i="40"/>
  <c r="C3303" i="40"/>
  <c r="C3302" i="40"/>
  <c r="C3301" i="40"/>
  <c r="C3300" i="40"/>
  <c r="C3299" i="40"/>
  <c r="C3298" i="40"/>
  <c r="C3297" i="40"/>
  <c r="C3296" i="40"/>
  <c r="C3295" i="40"/>
  <c r="C3294" i="40"/>
  <c r="C3293" i="40"/>
  <c r="C3292" i="40"/>
  <c r="C3291" i="40"/>
  <c r="C3290" i="40"/>
  <c r="C3289" i="40"/>
  <c r="C3288" i="40"/>
  <c r="C3287" i="40"/>
  <c r="C3286" i="40"/>
  <c r="C3285" i="40"/>
  <c r="C3284" i="40"/>
  <c r="C3283" i="40"/>
  <c r="C3282" i="40"/>
  <c r="C3281" i="40"/>
  <c r="C3280" i="40"/>
  <c r="C3279" i="40"/>
  <c r="C3278" i="40"/>
  <c r="C3277" i="40"/>
  <c r="C3276" i="40"/>
  <c r="C3275" i="40"/>
  <c r="C3274" i="40"/>
  <c r="C3273" i="40"/>
  <c r="C3272" i="40"/>
  <c r="C3271" i="40"/>
  <c r="C3270" i="40"/>
  <c r="C3269" i="40"/>
  <c r="C3268" i="40"/>
  <c r="C3267" i="40"/>
  <c r="C3266" i="40"/>
  <c r="C3265" i="40"/>
  <c r="C3264" i="40"/>
  <c r="C3263" i="40"/>
  <c r="C3262" i="40"/>
  <c r="C3261" i="40"/>
  <c r="C3260" i="40"/>
  <c r="C3259" i="40"/>
  <c r="C3258" i="40"/>
  <c r="C3257" i="40"/>
  <c r="C3256" i="40"/>
  <c r="C3255" i="40"/>
  <c r="C3254" i="40"/>
  <c r="C3253" i="40"/>
  <c r="C3252" i="40"/>
  <c r="C3251" i="40"/>
  <c r="C3250" i="40"/>
  <c r="C3249" i="40"/>
  <c r="C3248" i="40"/>
  <c r="C3247" i="40"/>
  <c r="C3246" i="40"/>
  <c r="C3245" i="40"/>
  <c r="C3244" i="40"/>
  <c r="C3243" i="40"/>
  <c r="C3242" i="40"/>
  <c r="C3241" i="40"/>
  <c r="C3240" i="40"/>
  <c r="C3239" i="40"/>
  <c r="C3238" i="40"/>
  <c r="C3237" i="40"/>
  <c r="C3236" i="40"/>
  <c r="C3235" i="40"/>
  <c r="C3234" i="40"/>
  <c r="C3233" i="40"/>
  <c r="C3232" i="40"/>
  <c r="C3231" i="40"/>
  <c r="C3230" i="40"/>
  <c r="C3229" i="40"/>
  <c r="C3228" i="40"/>
  <c r="C3227" i="40"/>
  <c r="C3226" i="40"/>
  <c r="C3225" i="40"/>
  <c r="C3224" i="40"/>
  <c r="C3223" i="40"/>
  <c r="C3222" i="40"/>
  <c r="C3221" i="40"/>
  <c r="C3220" i="40"/>
  <c r="C3219" i="40"/>
  <c r="C3218" i="40"/>
  <c r="C3217" i="40"/>
  <c r="C3216" i="40"/>
  <c r="C3215" i="40"/>
  <c r="C3214" i="40"/>
  <c r="C3213" i="40"/>
  <c r="C3212" i="40"/>
  <c r="C3211" i="40"/>
  <c r="C3210" i="40"/>
  <c r="C3209" i="40"/>
  <c r="C3208" i="40"/>
  <c r="C3207" i="40"/>
  <c r="C3206" i="40"/>
  <c r="C3205" i="40"/>
  <c r="C3204" i="40"/>
  <c r="C3203" i="40"/>
  <c r="C3202" i="40"/>
  <c r="C3201" i="40"/>
  <c r="C3200" i="40"/>
  <c r="C3199" i="40"/>
  <c r="C3198" i="40"/>
  <c r="C3197" i="40"/>
  <c r="C3196" i="40"/>
  <c r="C3195" i="40"/>
  <c r="C3194" i="40"/>
  <c r="C3193" i="40"/>
  <c r="C3192" i="40"/>
  <c r="C3191" i="40"/>
  <c r="C3190" i="40"/>
  <c r="C3189" i="40"/>
  <c r="C3188" i="40"/>
  <c r="C3187" i="40"/>
  <c r="C3186" i="40"/>
  <c r="C3185" i="40"/>
  <c r="C3184" i="40"/>
  <c r="C3183" i="40"/>
  <c r="C3182" i="40"/>
  <c r="C3181" i="40"/>
  <c r="C3180" i="40"/>
  <c r="C3179" i="40"/>
  <c r="C3178" i="40"/>
  <c r="C3177" i="40"/>
  <c r="C3176" i="40"/>
  <c r="C3175" i="40"/>
  <c r="C3174" i="40"/>
  <c r="C3173" i="40"/>
  <c r="C3172" i="40"/>
  <c r="C3171" i="40"/>
  <c r="C3170" i="40"/>
  <c r="C3169" i="40"/>
  <c r="C3168" i="40"/>
  <c r="C3167" i="40"/>
  <c r="C3166" i="40"/>
  <c r="C3165" i="40"/>
  <c r="C3164" i="40"/>
  <c r="C3163" i="40"/>
  <c r="C3162" i="40"/>
  <c r="C3161" i="40"/>
  <c r="C3160" i="40"/>
  <c r="C3159" i="40"/>
  <c r="C3158" i="40"/>
  <c r="C3157" i="40"/>
  <c r="C3156" i="40"/>
  <c r="C3155" i="40"/>
  <c r="C3154" i="40"/>
  <c r="C3153" i="40"/>
  <c r="C3152" i="40"/>
  <c r="C3151" i="40"/>
  <c r="C3150" i="40"/>
  <c r="C3149" i="40"/>
  <c r="C3148" i="40"/>
  <c r="C3147" i="40"/>
  <c r="C3146" i="40"/>
  <c r="C3145" i="40"/>
  <c r="C3144" i="40"/>
  <c r="C3143" i="40"/>
  <c r="C3142" i="40"/>
  <c r="C3141" i="40"/>
  <c r="C3140" i="40"/>
  <c r="C3139" i="40"/>
  <c r="C3138" i="40"/>
  <c r="C3137" i="40"/>
  <c r="C3136" i="40"/>
  <c r="C3135" i="40"/>
  <c r="C3134" i="40"/>
  <c r="C3133" i="40"/>
  <c r="C3132" i="40"/>
  <c r="C3131" i="40"/>
  <c r="C3130" i="40"/>
  <c r="C3129" i="40"/>
  <c r="C3128" i="40"/>
  <c r="C3127" i="40"/>
  <c r="C3126" i="40"/>
  <c r="C3125" i="40"/>
  <c r="C3124" i="40"/>
  <c r="C3123" i="40"/>
  <c r="C3122" i="40"/>
  <c r="C3121" i="40"/>
  <c r="C3120" i="40"/>
  <c r="C3119" i="40"/>
  <c r="C3118" i="40"/>
  <c r="C3117" i="40"/>
  <c r="C3116" i="40"/>
  <c r="C3115" i="40"/>
  <c r="C3114" i="40"/>
  <c r="C3113" i="40"/>
  <c r="C3112" i="40"/>
  <c r="C3111" i="40"/>
  <c r="C3110" i="40"/>
  <c r="C3109" i="40"/>
  <c r="C3108" i="40"/>
  <c r="C3107" i="40"/>
  <c r="C3106" i="40"/>
  <c r="C3105" i="40"/>
  <c r="C3104" i="40"/>
  <c r="C3103" i="40"/>
  <c r="C3102" i="40"/>
  <c r="C3101" i="40"/>
  <c r="C3100" i="40"/>
  <c r="C3099" i="40"/>
  <c r="C3098" i="40"/>
  <c r="C3097" i="40"/>
  <c r="C3096" i="40"/>
  <c r="C3095" i="40"/>
  <c r="C3094" i="40"/>
  <c r="C3093" i="40"/>
  <c r="C3092" i="40"/>
  <c r="C3091" i="40"/>
  <c r="C3090" i="40"/>
  <c r="C3089" i="40"/>
  <c r="C3088" i="40"/>
  <c r="C3087" i="40"/>
  <c r="C3086" i="40"/>
  <c r="C3085" i="40"/>
  <c r="C3084" i="40"/>
  <c r="C3083" i="40"/>
  <c r="C3082" i="40"/>
  <c r="C3081" i="40"/>
  <c r="C3080" i="40"/>
  <c r="C3079" i="40"/>
  <c r="C3078" i="40"/>
  <c r="C3077" i="40"/>
  <c r="C3076" i="40"/>
  <c r="C3075" i="40"/>
  <c r="C3074" i="40"/>
  <c r="C3073" i="40"/>
  <c r="C3072" i="40"/>
  <c r="C3071" i="40"/>
  <c r="C3070" i="40"/>
  <c r="C3069" i="40"/>
  <c r="C3068" i="40"/>
  <c r="C3067" i="40"/>
  <c r="C3066" i="40"/>
  <c r="C3065" i="40"/>
  <c r="C3064" i="40"/>
  <c r="C3063" i="40"/>
  <c r="C3062" i="40"/>
  <c r="C3061" i="40"/>
  <c r="C3060" i="40"/>
  <c r="C3059" i="40"/>
  <c r="C3058" i="40"/>
  <c r="C3057" i="40"/>
  <c r="C3056" i="40"/>
  <c r="C3055" i="40"/>
  <c r="C3054" i="40"/>
  <c r="C3053" i="40"/>
  <c r="C3052" i="40"/>
  <c r="C3051" i="40"/>
  <c r="C3050" i="40"/>
  <c r="C3049" i="40"/>
  <c r="C3048" i="40"/>
  <c r="C3047" i="40"/>
  <c r="C3046" i="40"/>
  <c r="C3045" i="40"/>
  <c r="C3044" i="40"/>
  <c r="C3043" i="40"/>
  <c r="C3042" i="40"/>
  <c r="C3041" i="40"/>
  <c r="C3040" i="40"/>
  <c r="C3039" i="40"/>
  <c r="C3038" i="40"/>
  <c r="C3037" i="40"/>
  <c r="C3036" i="40"/>
  <c r="C3035" i="40"/>
  <c r="C3034" i="40"/>
  <c r="C3033" i="40"/>
  <c r="C3032" i="40"/>
  <c r="C3031" i="40"/>
  <c r="C3030" i="40"/>
  <c r="C3029" i="40"/>
  <c r="C3028" i="40"/>
  <c r="C3027" i="40"/>
  <c r="C3026" i="40"/>
  <c r="C3025" i="40"/>
  <c r="C3024" i="40"/>
  <c r="C3023" i="40"/>
  <c r="C3022" i="40"/>
  <c r="C3021" i="40"/>
  <c r="C3020" i="40"/>
  <c r="C3019" i="40"/>
  <c r="C3018" i="40"/>
  <c r="C3017" i="40"/>
  <c r="C3016" i="40"/>
  <c r="C3015" i="40"/>
  <c r="C3014" i="40"/>
  <c r="C3013" i="40"/>
  <c r="C3012" i="40"/>
  <c r="C3011" i="40"/>
  <c r="C3010" i="40"/>
  <c r="C3009" i="40"/>
  <c r="C3008" i="40"/>
  <c r="C3007" i="40"/>
  <c r="C3006" i="40"/>
  <c r="C3005" i="40"/>
  <c r="C3004" i="40"/>
  <c r="C3003" i="40"/>
  <c r="C3002" i="40"/>
  <c r="C3001" i="40"/>
  <c r="C3000" i="40"/>
  <c r="C2999" i="40"/>
  <c r="C2998" i="40"/>
  <c r="C2997" i="40"/>
  <c r="C2996" i="40"/>
  <c r="C2995" i="40"/>
  <c r="C2994" i="40"/>
  <c r="C2993" i="40"/>
  <c r="C2992" i="40"/>
  <c r="C2991" i="40"/>
  <c r="C2990" i="40"/>
  <c r="C2989" i="40"/>
  <c r="C2988" i="40"/>
  <c r="C2987" i="40"/>
  <c r="C2986" i="40"/>
  <c r="C2985" i="40"/>
  <c r="C2984" i="40"/>
  <c r="C2983" i="40"/>
  <c r="C2982" i="40"/>
  <c r="C2981" i="40"/>
  <c r="C2980" i="40"/>
  <c r="C2979" i="40"/>
  <c r="C2978" i="40"/>
  <c r="C2977" i="40"/>
  <c r="C2976" i="40"/>
  <c r="C2975" i="40"/>
  <c r="C2974" i="40"/>
  <c r="C2973" i="40"/>
  <c r="C2972" i="40"/>
  <c r="C2971" i="40"/>
  <c r="C2970" i="40"/>
  <c r="C2969" i="40"/>
  <c r="C2968" i="40"/>
  <c r="C2967" i="40"/>
  <c r="C2966" i="40"/>
  <c r="C2965" i="40"/>
  <c r="C2964" i="40"/>
  <c r="C2963" i="40"/>
  <c r="C2962" i="40"/>
  <c r="C2961" i="40"/>
  <c r="C2960" i="40"/>
  <c r="C2959" i="40"/>
  <c r="C2958" i="40"/>
  <c r="C2957" i="40"/>
  <c r="C2956" i="40"/>
  <c r="C2955" i="40"/>
  <c r="C2954" i="40"/>
  <c r="C2953" i="40"/>
  <c r="C2952" i="40"/>
  <c r="C2951" i="40"/>
  <c r="C2950" i="40"/>
  <c r="C2949" i="40"/>
  <c r="C2948" i="40"/>
  <c r="C2947" i="40"/>
  <c r="C2946" i="40"/>
  <c r="C2945" i="40"/>
  <c r="C2944" i="40"/>
  <c r="C2943" i="40"/>
  <c r="C2942" i="40"/>
  <c r="C2941" i="40"/>
  <c r="C2940" i="40"/>
  <c r="C2939" i="40"/>
  <c r="C2938" i="40"/>
  <c r="C2937" i="40"/>
  <c r="C2936" i="40"/>
  <c r="C2935" i="40"/>
  <c r="C2934" i="40"/>
  <c r="C2933" i="40"/>
  <c r="C2932" i="40"/>
  <c r="C2931" i="40"/>
  <c r="C2930" i="40"/>
  <c r="C2929" i="40"/>
  <c r="C2928" i="40"/>
  <c r="C2927" i="40"/>
  <c r="C2926" i="40"/>
  <c r="C2925" i="40"/>
  <c r="C2924" i="40"/>
  <c r="C2923" i="40"/>
  <c r="C2922" i="40"/>
  <c r="C2921" i="40"/>
  <c r="C2920" i="40"/>
  <c r="C2919" i="40"/>
  <c r="C2918" i="40"/>
  <c r="C2917" i="40"/>
  <c r="C2916" i="40"/>
  <c r="C2915" i="40"/>
  <c r="C2914" i="40"/>
  <c r="C2913" i="40"/>
  <c r="C2912" i="40"/>
  <c r="C2911" i="40"/>
  <c r="C2910" i="40"/>
  <c r="C2909" i="40"/>
  <c r="C2908" i="40"/>
  <c r="C2907" i="40"/>
  <c r="C2906" i="40"/>
  <c r="C2905" i="40"/>
  <c r="C2904" i="40"/>
  <c r="C2903" i="40"/>
  <c r="C2902" i="40"/>
  <c r="C2901" i="40"/>
  <c r="C2900" i="40"/>
  <c r="C2899" i="40"/>
  <c r="C2898" i="40"/>
  <c r="C2897" i="40"/>
  <c r="C2896" i="40"/>
  <c r="C2895" i="40"/>
  <c r="C2894" i="40"/>
  <c r="C2893" i="40"/>
  <c r="C2892" i="40"/>
  <c r="C2891" i="40"/>
  <c r="C2890" i="40"/>
  <c r="C2889" i="40"/>
  <c r="C2888" i="40"/>
  <c r="C2887" i="40"/>
  <c r="C2886" i="40"/>
  <c r="C2885" i="40"/>
  <c r="C2884" i="40"/>
  <c r="C2883" i="40"/>
  <c r="C2882" i="40"/>
  <c r="C2881" i="40"/>
  <c r="C2880" i="40"/>
  <c r="C2879" i="40"/>
  <c r="C2878" i="40"/>
  <c r="C2877" i="40"/>
  <c r="C2876" i="40"/>
  <c r="C2875" i="40"/>
  <c r="C2874" i="40"/>
  <c r="C2873" i="40"/>
  <c r="C2872" i="40"/>
  <c r="C2871" i="40"/>
  <c r="C2870" i="40"/>
  <c r="C2869" i="40"/>
  <c r="C2868" i="40"/>
  <c r="C2867" i="40"/>
  <c r="C2866" i="40"/>
  <c r="C2865" i="40"/>
  <c r="C2864" i="40"/>
  <c r="C2863" i="40"/>
  <c r="C2862" i="40"/>
  <c r="C2861" i="40"/>
  <c r="C2860" i="40"/>
  <c r="C2859" i="40"/>
  <c r="C2858" i="40"/>
  <c r="C2857" i="40"/>
  <c r="C2856" i="40"/>
  <c r="C2855" i="40"/>
  <c r="C2854" i="40"/>
  <c r="C2853" i="40"/>
  <c r="C2852" i="40"/>
  <c r="C2851" i="40"/>
  <c r="C2850" i="40"/>
  <c r="C2849" i="40"/>
  <c r="C2848" i="40"/>
  <c r="C2847" i="40"/>
  <c r="C2846" i="40"/>
  <c r="C2845" i="40"/>
  <c r="C2844" i="40"/>
  <c r="C2843" i="40"/>
  <c r="C2842" i="40"/>
  <c r="C2841" i="40"/>
  <c r="C2840" i="40"/>
  <c r="C2839" i="40"/>
  <c r="C2838" i="40"/>
  <c r="C2837" i="40"/>
  <c r="C2836" i="40"/>
  <c r="C2835" i="40"/>
  <c r="C2834" i="40"/>
  <c r="C2833" i="40"/>
  <c r="C2832" i="40"/>
  <c r="C2831" i="40"/>
  <c r="C2830" i="40"/>
  <c r="C2829" i="40"/>
  <c r="C2828" i="40"/>
  <c r="C2827" i="40"/>
  <c r="C2826" i="40"/>
  <c r="C2825" i="40"/>
  <c r="C2824" i="40"/>
  <c r="C2823" i="40"/>
  <c r="C2822" i="40"/>
  <c r="C2821" i="40"/>
  <c r="C2820" i="40"/>
  <c r="C2819" i="40"/>
  <c r="C2818" i="40"/>
  <c r="C2817" i="40"/>
  <c r="C2816" i="40"/>
  <c r="C2815" i="40"/>
  <c r="C2814" i="40"/>
  <c r="C2813" i="40"/>
  <c r="C2812" i="40"/>
  <c r="C2811" i="40"/>
  <c r="C2810" i="40"/>
  <c r="C2809" i="40"/>
  <c r="C2808" i="40"/>
  <c r="C2807" i="40"/>
  <c r="C2806" i="40"/>
  <c r="C2805" i="40"/>
  <c r="C2804" i="40"/>
  <c r="C2803" i="40"/>
  <c r="C2802" i="40"/>
  <c r="C2801" i="40"/>
  <c r="C2800" i="40"/>
  <c r="C2799" i="40"/>
  <c r="C2798" i="40"/>
  <c r="C2797" i="40"/>
  <c r="C2796" i="40"/>
  <c r="C2795" i="40"/>
  <c r="C2794" i="40"/>
  <c r="C2793" i="40"/>
  <c r="C2792" i="40"/>
  <c r="C2791" i="40"/>
  <c r="C2790" i="40"/>
  <c r="C2789" i="40"/>
  <c r="C2788" i="40"/>
  <c r="C2787" i="40"/>
  <c r="C2786" i="40"/>
  <c r="C2785" i="40"/>
  <c r="C2784" i="40"/>
  <c r="C2783" i="40"/>
  <c r="C2782" i="40"/>
  <c r="C2781" i="40"/>
  <c r="C2780" i="40"/>
  <c r="C2779" i="40"/>
  <c r="C2778" i="40"/>
  <c r="C2777" i="40"/>
  <c r="C2776" i="40"/>
  <c r="C2775" i="40"/>
  <c r="C2774" i="40"/>
  <c r="C2773" i="40"/>
  <c r="C2772" i="40"/>
  <c r="C2771" i="40"/>
  <c r="C2770" i="40"/>
  <c r="C2769" i="40"/>
  <c r="C2768" i="40"/>
  <c r="C2767" i="40"/>
  <c r="C2766" i="40"/>
  <c r="C2765" i="40"/>
  <c r="C2764" i="40"/>
  <c r="C2763" i="40"/>
  <c r="C2762" i="40"/>
  <c r="C2761" i="40"/>
  <c r="C2760" i="40"/>
  <c r="C2759" i="40"/>
  <c r="C2758" i="40"/>
  <c r="C2757" i="40"/>
  <c r="C2756" i="40"/>
  <c r="C2755" i="40"/>
  <c r="C2754" i="40"/>
  <c r="C2753" i="40"/>
  <c r="C2752" i="40"/>
  <c r="C2751" i="40"/>
  <c r="C2750" i="40"/>
  <c r="C2749" i="40"/>
  <c r="C2748" i="40"/>
  <c r="C2747" i="40"/>
  <c r="C2746" i="40"/>
  <c r="C2745" i="40"/>
  <c r="C2744" i="40"/>
  <c r="C2743" i="40"/>
  <c r="C2742" i="40"/>
  <c r="C2741" i="40"/>
  <c r="C2740" i="40"/>
  <c r="C2739" i="40"/>
  <c r="C2738" i="40"/>
  <c r="C2737" i="40"/>
  <c r="C2736" i="40"/>
  <c r="C2735" i="40"/>
  <c r="C2734" i="40"/>
  <c r="C2733" i="40"/>
  <c r="C2732" i="40"/>
  <c r="C2731" i="40"/>
  <c r="C2730" i="40"/>
  <c r="C2729" i="40"/>
  <c r="C2728" i="40"/>
  <c r="C2727" i="40"/>
  <c r="C2726" i="40"/>
  <c r="C2725" i="40"/>
  <c r="C2724" i="40"/>
  <c r="C2723" i="40"/>
  <c r="C2722" i="40"/>
  <c r="C2721" i="40"/>
  <c r="C2720" i="40"/>
  <c r="C2719" i="40"/>
  <c r="C2718" i="40"/>
  <c r="C2717" i="40"/>
  <c r="C2716" i="40"/>
  <c r="C2715" i="40"/>
  <c r="C2714" i="40"/>
  <c r="C2713" i="40"/>
  <c r="C2712" i="40"/>
  <c r="C2711" i="40"/>
  <c r="C2710" i="40"/>
  <c r="C2709" i="40"/>
  <c r="C2708" i="40"/>
  <c r="C2707" i="40"/>
  <c r="C2706" i="40"/>
  <c r="C2705" i="40"/>
  <c r="C2704" i="40"/>
  <c r="C2703" i="40"/>
  <c r="C2702" i="40"/>
  <c r="C2701" i="40"/>
  <c r="C2700" i="40"/>
  <c r="C2699" i="40"/>
  <c r="C2698" i="40"/>
  <c r="C2697" i="40"/>
  <c r="C2696" i="40"/>
  <c r="C2695" i="40"/>
  <c r="C2694" i="40"/>
  <c r="C2693" i="40"/>
  <c r="C2692" i="40"/>
  <c r="C2691" i="40"/>
  <c r="C2690" i="40"/>
  <c r="C2689" i="40"/>
  <c r="C2688" i="40"/>
  <c r="C2687" i="40"/>
  <c r="C2686" i="40"/>
  <c r="C2685" i="40"/>
  <c r="C2684" i="40"/>
  <c r="C2683" i="40"/>
  <c r="C2682" i="40"/>
  <c r="C2681" i="40"/>
  <c r="C2680" i="40"/>
  <c r="C2679" i="40"/>
  <c r="C2678" i="40"/>
  <c r="C2677" i="40"/>
  <c r="C2676" i="40"/>
  <c r="C2675" i="40"/>
  <c r="C2674" i="40"/>
  <c r="C2673" i="40"/>
  <c r="C2672" i="40"/>
  <c r="C2671" i="40"/>
  <c r="C2670" i="40"/>
  <c r="C2669" i="40"/>
  <c r="C2668" i="40"/>
  <c r="C2667" i="40"/>
  <c r="C2666" i="40"/>
  <c r="C2665" i="40"/>
  <c r="C2664" i="40"/>
  <c r="C2663" i="40"/>
  <c r="C2662" i="40"/>
  <c r="C2661" i="40"/>
  <c r="C2660" i="40"/>
  <c r="C2659" i="40"/>
  <c r="C2658" i="40"/>
  <c r="C2657" i="40"/>
  <c r="C2656" i="40"/>
  <c r="C2655" i="40"/>
  <c r="C2654" i="40"/>
  <c r="C2653" i="40"/>
  <c r="C2652" i="40"/>
  <c r="C2651" i="40"/>
  <c r="C2650" i="40"/>
  <c r="C2649" i="40"/>
  <c r="C2648" i="40"/>
  <c r="C2647" i="40"/>
  <c r="C2646" i="40"/>
  <c r="C2645" i="40"/>
  <c r="C2644" i="40"/>
  <c r="C2643" i="40"/>
  <c r="C2642" i="40"/>
  <c r="C2641" i="40"/>
  <c r="C2640" i="40"/>
  <c r="C2639" i="40"/>
  <c r="C2638" i="40"/>
  <c r="C2637" i="40"/>
  <c r="C2636" i="40"/>
  <c r="C2635" i="40"/>
  <c r="C2634" i="40"/>
  <c r="C2633" i="40"/>
  <c r="C2632" i="40"/>
  <c r="C2631" i="40"/>
  <c r="C2630" i="40"/>
  <c r="C2629" i="40"/>
  <c r="C2628" i="40"/>
  <c r="C2627" i="40"/>
  <c r="C2626" i="40"/>
  <c r="C2625" i="40"/>
  <c r="C2624" i="40"/>
  <c r="C2623" i="40"/>
  <c r="C2622" i="40"/>
  <c r="C2621" i="40"/>
  <c r="C2620" i="40"/>
  <c r="C2619" i="40"/>
  <c r="C2618" i="40"/>
  <c r="C2617" i="40"/>
  <c r="C2616" i="40"/>
  <c r="C2615" i="40"/>
  <c r="C2614" i="40"/>
  <c r="C2613" i="40"/>
  <c r="C2612" i="40"/>
  <c r="C2611" i="40"/>
  <c r="C2610" i="40"/>
  <c r="C2609" i="40"/>
  <c r="C2608" i="40"/>
  <c r="C2607" i="40"/>
  <c r="C2606" i="40"/>
  <c r="C2605" i="40"/>
  <c r="C2604" i="40"/>
  <c r="C2603" i="40"/>
  <c r="C2602" i="40"/>
  <c r="C2601" i="40"/>
  <c r="C2600" i="40"/>
  <c r="C2599" i="40"/>
  <c r="C2598" i="40"/>
  <c r="C2597" i="40"/>
  <c r="C2596" i="40"/>
  <c r="C2595" i="40"/>
  <c r="C2594" i="40"/>
  <c r="C2593" i="40"/>
  <c r="C2592" i="40"/>
  <c r="C2591" i="40"/>
  <c r="C2590" i="40"/>
  <c r="C2589" i="40"/>
  <c r="C2588" i="40"/>
  <c r="C2587" i="40"/>
  <c r="C2586" i="40"/>
  <c r="C2585" i="40"/>
  <c r="C2584" i="40"/>
  <c r="C2583" i="40"/>
  <c r="C2582" i="40"/>
  <c r="C2581" i="40"/>
  <c r="C2580" i="40"/>
  <c r="C2579" i="40"/>
  <c r="C2578" i="40"/>
  <c r="C2577" i="40"/>
  <c r="C2576" i="40"/>
  <c r="C2575" i="40"/>
  <c r="C2574" i="40"/>
  <c r="C2573" i="40"/>
  <c r="C2572" i="40"/>
  <c r="C2571" i="40"/>
  <c r="C2570" i="40"/>
  <c r="C2569" i="40"/>
  <c r="C2568" i="40"/>
  <c r="C2567" i="40"/>
  <c r="C2566" i="40"/>
  <c r="C2565" i="40"/>
  <c r="C2564" i="40"/>
  <c r="C2563" i="40"/>
  <c r="C2562" i="40"/>
  <c r="C2561" i="40"/>
  <c r="C2560" i="40"/>
  <c r="C2559" i="40"/>
  <c r="C2558" i="40"/>
  <c r="C2557" i="40"/>
  <c r="C2556" i="40"/>
  <c r="C2555" i="40"/>
  <c r="C2554" i="40"/>
  <c r="C2553" i="40"/>
  <c r="C2552" i="40"/>
  <c r="C2551" i="40"/>
  <c r="C2550" i="40"/>
  <c r="C2549" i="40"/>
  <c r="C2548" i="40"/>
  <c r="C2547" i="40"/>
  <c r="C2546" i="40"/>
  <c r="C2545" i="40"/>
  <c r="C2544" i="40"/>
  <c r="C2543" i="40"/>
  <c r="C2542" i="40"/>
  <c r="C2541" i="40"/>
  <c r="C2540" i="40"/>
  <c r="C2539" i="40"/>
  <c r="C2538" i="40"/>
  <c r="C2537" i="40"/>
  <c r="C2536" i="40"/>
  <c r="C2535" i="40"/>
  <c r="C2534" i="40"/>
  <c r="C2533" i="40"/>
  <c r="C2532" i="40"/>
  <c r="C2531" i="40"/>
  <c r="C2530" i="40"/>
  <c r="C2529" i="40"/>
  <c r="C2528" i="40"/>
  <c r="C2527" i="40"/>
  <c r="C2526" i="40"/>
  <c r="C2525" i="40"/>
  <c r="C2524" i="40"/>
  <c r="C2523" i="40"/>
  <c r="C2522" i="40"/>
  <c r="C2521" i="40"/>
  <c r="C2520" i="40"/>
  <c r="C2519" i="40"/>
  <c r="C2518" i="40"/>
  <c r="C2517" i="40"/>
  <c r="C2516" i="40"/>
  <c r="C2515" i="40"/>
  <c r="C2514" i="40"/>
  <c r="C2513" i="40"/>
  <c r="C2512" i="40"/>
  <c r="C2511" i="40"/>
  <c r="C2510" i="40"/>
  <c r="C2509" i="40"/>
  <c r="C2508" i="40"/>
  <c r="C2507" i="40"/>
  <c r="C2506" i="40"/>
  <c r="C2505" i="40"/>
  <c r="C2504" i="40"/>
  <c r="C2503" i="40"/>
  <c r="C2502" i="40"/>
  <c r="C2501" i="40"/>
  <c r="C2500" i="40"/>
  <c r="C2499" i="40"/>
  <c r="C2498" i="40"/>
  <c r="C2497" i="40"/>
  <c r="C2496" i="40"/>
  <c r="C2495" i="40"/>
  <c r="C2494" i="40"/>
  <c r="C2493" i="40"/>
  <c r="C2492" i="40"/>
  <c r="C2491" i="40"/>
  <c r="C2490" i="40"/>
  <c r="C2489" i="40"/>
  <c r="C2488" i="40"/>
  <c r="C2487" i="40"/>
  <c r="C2486" i="40"/>
  <c r="C2485" i="40"/>
  <c r="C2484" i="40"/>
  <c r="C2483" i="40"/>
  <c r="C2482" i="40"/>
  <c r="C2481" i="40"/>
  <c r="C2480" i="40"/>
  <c r="C2479" i="40"/>
  <c r="C2478" i="40"/>
  <c r="C2477" i="40"/>
  <c r="C2476" i="40"/>
  <c r="C2475" i="40"/>
  <c r="C2474" i="40"/>
  <c r="C2473" i="40"/>
  <c r="C2472" i="40"/>
  <c r="C2471" i="40"/>
  <c r="C2470" i="40"/>
  <c r="C2469" i="40"/>
  <c r="C2468" i="40"/>
  <c r="C2467" i="40"/>
  <c r="C2466" i="40"/>
  <c r="C2465" i="40"/>
  <c r="C2464" i="40"/>
  <c r="C2463" i="40"/>
  <c r="C2462" i="40"/>
  <c r="C2461" i="40"/>
  <c r="C2460" i="40"/>
  <c r="C2459" i="40"/>
  <c r="C2458" i="40"/>
  <c r="C2457" i="40"/>
  <c r="C2456" i="40"/>
  <c r="C2455" i="40"/>
  <c r="C2454" i="40"/>
  <c r="C2453" i="40"/>
  <c r="C2452" i="40"/>
  <c r="C2451" i="40"/>
  <c r="C2450" i="40"/>
  <c r="C2449" i="40"/>
  <c r="C2448" i="40"/>
  <c r="C2447" i="40"/>
  <c r="C2446" i="40"/>
  <c r="C2445" i="40"/>
  <c r="C2444" i="40"/>
  <c r="C2443" i="40"/>
  <c r="C2442" i="40"/>
  <c r="C2441" i="40"/>
  <c r="C2440" i="40"/>
  <c r="C2439" i="40"/>
  <c r="C2438" i="40"/>
  <c r="C2437" i="40"/>
  <c r="C2436" i="40"/>
  <c r="C2435" i="40"/>
  <c r="C2434" i="40"/>
  <c r="C2433" i="40"/>
  <c r="C2432" i="40"/>
  <c r="C2431" i="40"/>
  <c r="C2430" i="40"/>
  <c r="C2429" i="40"/>
  <c r="C2428" i="40"/>
  <c r="C2427" i="40"/>
  <c r="C2426" i="40"/>
  <c r="C2425" i="40"/>
  <c r="C2424" i="40"/>
  <c r="C2423" i="40"/>
  <c r="C2422" i="40"/>
  <c r="C2421" i="40"/>
  <c r="C2420" i="40"/>
  <c r="C2419" i="40"/>
  <c r="C2418" i="40"/>
  <c r="C2417" i="40"/>
  <c r="C2416" i="40"/>
  <c r="C2415" i="40"/>
  <c r="C2414" i="40"/>
  <c r="C2413" i="40"/>
  <c r="C2412" i="40"/>
  <c r="C2411" i="40"/>
  <c r="C2410" i="40"/>
  <c r="C2409" i="40"/>
  <c r="C2408" i="40"/>
  <c r="C2407" i="40"/>
  <c r="C2406" i="40"/>
  <c r="C2405" i="40"/>
  <c r="C2404" i="40"/>
  <c r="C2403" i="40"/>
  <c r="C2402" i="40"/>
  <c r="C2401" i="40"/>
  <c r="C2400" i="40"/>
  <c r="C2399" i="40"/>
  <c r="C2398" i="40"/>
  <c r="C2397" i="40"/>
  <c r="C2396" i="40"/>
  <c r="C2395" i="40"/>
  <c r="C2394" i="40"/>
  <c r="C2393" i="40"/>
  <c r="C2392" i="40"/>
  <c r="C2391" i="40"/>
  <c r="C2390" i="40"/>
  <c r="C2389" i="40"/>
  <c r="C2388" i="40"/>
  <c r="C2387" i="40"/>
  <c r="C2386" i="40"/>
  <c r="C2385" i="40"/>
  <c r="C2384" i="40"/>
  <c r="C2383" i="40"/>
  <c r="C2382" i="40"/>
  <c r="C2381" i="40"/>
  <c r="C2380" i="40"/>
  <c r="C2379" i="40"/>
  <c r="C2378" i="40"/>
  <c r="C2377" i="40"/>
  <c r="C2376" i="40"/>
  <c r="C2375" i="40"/>
  <c r="C2374" i="40"/>
  <c r="C2373" i="40"/>
  <c r="C2372" i="40"/>
  <c r="C2371" i="40"/>
  <c r="C2370" i="40"/>
  <c r="C2369" i="40"/>
  <c r="C2368" i="40"/>
  <c r="C2367" i="40"/>
  <c r="C2366" i="40"/>
  <c r="C2365" i="40"/>
  <c r="C2364" i="40"/>
  <c r="C2363" i="40"/>
  <c r="C2362" i="40"/>
  <c r="C2361" i="40"/>
  <c r="C2360" i="40"/>
  <c r="C2359" i="40"/>
  <c r="C2358" i="40"/>
  <c r="C2357" i="40"/>
  <c r="C2356" i="40"/>
  <c r="C2355" i="40"/>
  <c r="C2354" i="40"/>
  <c r="C2353" i="40"/>
  <c r="C2352" i="40"/>
  <c r="C2351" i="40"/>
  <c r="C2350" i="40"/>
  <c r="C2349" i="40"/>
  <c r="C2348" i="40"/>
  <c r="C2347" i="40"/>
  <c r="C2346" i="40"/>
  <c r="C2345" i="40"/>
  <c r="C2344" i="40"/>
  <c r="C2343" i="40"/>
  <c r="C2342" i="40"/>
  <c r="C2341" i="40"/>
  <c r="C2340" i="40"/>
  <c r="C2339" i="40"/>
  <c r="C2338" i="40"/>
  <c r="C2337" i="40"/>
  <c r="C2336" i="40"/>
  <c r="C2335" i="40"/>
  <c r="C2334" i="40"/>
  <c r="C2333" i="40"/>
  <c r="C2332" i="40"/>
  <c r="C2331" i="40"/>
  <c r="C2330" i="40"/>
  <c r="C2329" i="40"/>
  <c r="C2328" i="40"/>
  <c r="C2327" i="40"/>
  <c r="C2326" i="40"/>
  <c r="C2325" i="40"/>
  <c r="C2324" i="40"/>
  <c r="C2323" i="40"/>
  <c r="C2322" i="40"/>
  <c r="C2321" i="40"/>
  <c r="C2320" i="40"/>
  <c r="C2319" i="40"/>
  <c r="C2318" i="40"/>
  <c r="C2317" i="40"/>
  <c r="C2316" i="40"/>
  <c r="C2315" i="40"/>
  <c r="C2314" i="40"/>
  <c r="C2313" i="40"/>
  <c r="C2312" i="40"/>
  <c r="C2311" i="40"/>
  <c r="C2310" i="40"/>
  <c r="C2309" i="40"/>
  <c r="C2308" i="40"/>
  <c r="C2307" i="40"/>
  <c r="C2306" i="40"/>
  <c r="C2305" i="40"/>
  <c r="C2304" i="40"/>
  <c r="C2303" i="40"/>
  <c r="C2302" i="40"/>
  <c r="C2301" i="40"/>
  <c r="C2300" i="40"/>
  <c r="C2299" i="40"/>
  <c r="C2298" i="40"/>
  <c r="C2297" i="40"/>
  <c r="C2296" i="40"/>
  <c r="C2295" i="40"/>
  <c r="C2294" i="40"/>
  <c r="C2293" i="40"/>
  <c r="C2292" i="40"/>
  <c r="C2291" i="40"/>
  <c r="C2290" i="40"/>
  <c r="C2289" i="40"/>
  <c r="C2288" i="40"/>
  <c r="C2287" i="40"/>
  <c r="C2286" i="40"/>
  <c r="C2285" i="40"/>
  <c r="C2284" i="40"/>
  <c r="C2283" i="40"/>
  <c r="C2282" i="40"/>
  <c r="C2281" i="40"/>
  <c r="C2280" i="40"/>
  <c r="C2279" i="40"/>
  <c r="C2278" i="40"/>
  <c r="C2277" i="40"/>
  <c r="C2276" i="40"/>
  <c r="C2275" i="40"/>
  <c r="C2274" i="40"/>
  <c r="C2273" i="40"/>
  <c r="C2272" i="40"/>
  <c r="C2271" i="40"/>
  <c r="C2270" i="40"/>
  <c r="C2269" i="40"/>
  <c r="C2268" i="40"/>
  <c r="C2267" i="40"/>
  <c r="C2266" i="40"/>
  <c r="C2265" i="40"/>
  <c r="C2264" i="40"/>
  <c r="C2263" i="40"/>
  <c r="C2262" i="40"/>
  <c r="C2261" i="40"/>
  <c r="C2260" i="40"/>
  <c r="C2259" i="40"/>
  <c r="C2258" i="40"/>
  <c r="C2257" i="40"/>
  <c r="C2256" i="40"/>
  <c r="C2255" i="40"/>
  <c r="C2254" i="40"/>
  <c r="C2253" i="40"/>
  <c r="C2252" i="40"/>
  <c r="C2251" i="40"/>
  <c r="C2250" i="40"/>
  <c r="C2249" i="40"/>
  <c r="C2248" i="40"/>
  <c r="C2247" i="40"/>
  <c r="C2246" i="40"/>
  <c r="C2245" i="40"/>
  <c r="C2244" i="40"/>
  <c r="C2243" i="40"/>
  <c r="C2242" i="40"/>
  <c r="C2241" i="40"/>
  <c r="C2240" i="40"/>
  <c r="C2239" i="40"/>
  <c r="C2238" i="40"/>
  <c r="C2237" i="40"/>
  <c r="C2236" i="40"/>
  <c r="C2235" i="40"/>
  <c r="C2234" i="40"/>
  <c r="C2233" i="40"/>
  <c r="C2232" i="40"/>
  <c r="C2231" i="40"/>
  <c r="C2230" i="40"/>
  <c r="C2229" i="40"/>
  <c r="C2228" i="40"/>
  <c r="C2227" i="40"/>
  <c r="C2226" i="40"/>
  <c r="C2225" i="40"/>
  <c r="C2224" i="40"/>
  <c r="C2223" i="40"/>
  <c r="C2222" i="40"/>
  <c r="C2221" i="40"/>
  <c r="C2220" i="40"/>
  <c r="C2219" i="40"/>
  <c r="C2218" i="40"/>
  <c r="C2217" i="40"/>
  <c r="C2216" i="40"/>
  <c r="C2215" i="40"/>
  <c r="C2214" i="40"/>
  <c r="C2213" i="40"/>
  <c r="C2212" i="40"/>
  <c r="C2211" i="40"/>
  <c r="C2210" i="40"/>
  <c r="C2209" i="40"/>
  <c r="C2208" i="40"/>
  <c r="C2207" i="40"/>
  <c r="C2206" i="40"/>
  <c r="C2205" i="40"/>
  <c r="C2204" i="40"/>
  <c r="C2203" i="40"/>
  <c r="C2202" i="40"/>
  <c r="C2201" i="40"/>
  <c r="C2200" i="40"/>
  <c r="C2199" i="40"/>
  <c r="C2198" i="40"/>
  <c r="C2197" i="40"/>
  <c r="C2196" i="40"/>
  <c r="C2195" i="40"/>
  <c r="C2194" i="40"/>
  <c r="C2193" i="40"/>
  <c r="C2192" i="40"/>
  <c r="C2191" i="40"/>
  <c r="C2190" i="40"/>
  <c r="C2189" i="40"/>
  <c r="C2188" i="40"/>
  <c r="C2187" i="40"/>
  <c r="C2186" i="40"/>
  <c r="C2185" i="40"/>
  <c r="C2184" i="40"/>
  <c r="C2183" i="40"/>
  <c r="C2182" i="40"/>
  <c r="C2181" i="40"/>
  <c r="C2180" i="40"/>
  <c r="C2179" i="40"/>
  <c r="C2178" i="40"/>
  <c r="C2177" i="40"/>
  <c r="C2176" i="40"/>
  <c r="C2175" i="40"/>
  <c r="C2174" i="40"/>
  <c r="C2173" i="40"/>
  <c r="C2172" i="40"/>
  <c r="C2171" i="40"/>
  <c r="C2170" i="40"/>
  <c r="C2169" i="40"/>
  <c r="C2168" i="40"/>
  <c r="C2167" i="40"/>
  <c r="C2166" i="40"/>
  <c r="C2165" i="40"/>
  <c r="C2164" i="40"/>
  <c r="C2163" i="40"/>
  <c r="C2162" i="40"/>
  <c r="C2161" i="40"/>
  <c r="C2160" i="40"/>
  <c r="C2159" i="40"/>
  <c r="C2158" i="40"/>
  <c r="C2157" i="40"/>
  <c r="C2156" i="40"/>
  <c r="C2155" i="40"/>
  <c r="C2154" i="40"/>
  <c r="C2153" i="40"/>
  <c r="C2152" i="40"/>
  <c r="C2151" i="40"/>
  <c r="C2150" i="40"/>
  <c r="C2149" i="40"/>
  <c r="C2148" i="40"/>
  <c r="C2147" i="40"/>
  <c r="C2146" i="40"/>
  <c r="C2145" i="40"/>
  <c r="C2144" i="40"/>
  <c r="C2143" i="40"/>
  <c r="C2142" i="40"/>
  <c r="C2141" i="40"/>
  <c r="C2140" i="40"/>
  <c r="C2139" i="40"/>
  <c r="C2138" i="40"/>
  <c r="C2137" i="40"/>
  <c r="C2136" i="40"/>
  <c r="C2135" i="40"/>
  <c r="C2134" i="40"/>
  <c r="C2133" i="40"/>
  <c r="C2132" i="40"/>
  <c r="C2131" i="40"/>
  <c r="C2130" i="40"/>
  <c r="C2129" i="40"/>
  <c r="C2128" i="40"/>
  <c r="C2127" i="40"/>
  <c r="C2126" i="40"/>
  <c r="C2125" i="40"/>
  <c r="C2124" i="40"/>
  <c r="C2123" i="40"/>
  <c r="C2122" i="40"/>
  <c r="C2121" i="40"/>
  <c r="C2120" i="40"/>
  <c r="C2119" i="40"/>
  <c r="C2118" i="40"/>
  <c r="C2117" i="40"/>
  <c r="C2116" i="40"/>
  <c r="C2115" i="40"/>
  <c r="C2114" i="40"/>
  <c r="C2113" i="40"/>
  <c r="C2112" i="40"/>
  <c r="C2111" i="40"/>
  <c r="C2110" i="40"/>
  <c r="C2109" i="40"/>
  <c r="C2108" i="40"/>
  <c r="C2107" i="40"/>
  <c r="C2106" i="40"/>
  <c r="C2105" i="40"/>
  <c r="C2104" i="40"/>
  <c r="C2103" i="40"/>
  <c r="C2102" i="40"/>
  <c r="C2101" i="40"/>
  <c r="C2100" i="40"/>
  <c r="C2099" i="40"/>
  <c r="C2098" i="40"/>
  <c r="C2097" i="40"/>
  <c r="C2096" i="40"/>
  <c r="C2095" i="40"/>
  <c r="C2094" i="40"/>
  <c r="C2093" i="40"/>
  <c r="C2092" i="40"/>
  <c r="C2091" i="40"/>
  <c r="C2090" i="40"/>
  <c r="C2089" i="40"/>
  <c r="C2088" i="40"/>
  <c r="C2087" i="40"/>
  <c r="C2086" i="40"/>
  <c r="C2085" i="40"/>
  <c r="C2084" i="40"/>
  <c r="C2083" i="40"/>
  <c r="C2082" i="40"/>
  <c r="C2081" i="40"/>
  <c r="C2080" i="40"/>
  <c r="C2079" i="40"/>
  <c r="C2078" i="40"/>
  <c r="C2077" i="40"/>
  <c r="C2076" i="40"/>
  <c r="C2075" i="40"/>
  <c r="C2074" i="40"/>
  <c r="C2073" i="40"/>
  <c r="C2072" i="40"/>
  <c r="C2071" i="40"/>
  <c r="C2070" i="40"/>
  <c r="C2069" i="40"/>
  <c r="C2068" i="40"/>
  <c r="C2067" i="40"/>
  <c r="C2066" i="40"/>
  <c r="C2065" i="40"/>
  <c r="C2064" i="40"/>
  <c r="C2063" i="40"/>
  <c r="C2062" i="40"/>
  <c r="C2061" i="40"/>
  <c r="C2060" i="40"/>
  <c r="C2059" i="40"/>
  <c r="C2058" i="40"/>
  <c r="C2057" i="40"/>
  <c r="C2056" i="40"/>
  <c r="C2055" i="40"/>
  <c r="C2054" i="40"/>
  <c r="C2053" i="40"/>
  <c r="C2052" i="40"/>
  <c r="C2051" i="40"/>
  <c r="C2050" i="40"/>
  <c r="C2049" i="40"/>
  <c r="C2048" i="40"/>
  <c r="C2047" i="40"/>
  <c r="C2046" i="40"/>
  <c r="C2045" i="40"/>
  <c r="C2044" i="40"/>
  <c r="C2043" i="40"/>
  <c r="C2042" i="40"/>
  <c r="C2041" i="40"/>
  <c r="C2040" i="40"/>
  <c r="C2039" i="40"/>
  <c r="C2038" i="40"/>
  <c r="C2037" i="40"/>
  <c r="C2036" i="40"/>
  <c r="C2035" i="40"/>
  <c r="C2034" i="40"/>
  <c r="C2033" i="40"/>
  <c r="C2032" i="40"/>
  <c r="C2031" i="40"/>
  <c r="C2030" i="40"/>
  <c r="C2029" i="40"/>
  <c r="C2028" i="40"/>
  <c r="C2027" i="40"/>
  <c r="C2026" i="40"/>
  <c r="C2025" i="40"/>
  <c r="C2024" i="40"/>
  <c r="C2023" i="40"/>
  <c r="C2022" i="40"/>
  <c r="C2021" i="40"/>
  <c r="C2020" i="40"/>
  <c r="C2019" i="40"/>
  <c r="C2018" i="40"/>
  <c r="C2017" i="40"/>
  <c r="C2016" i="40"/>
  <c r="C2015" i="40"/>
  <c r="C2014" i="40"/>
  <c r="C2013" i="40"/>
  <c r="C2012" i="40"/>
  <c r="C2011" i="40"/>
  <c r="C2010" i="40"/>
  <c r="C2009" i="40"/>
  <c r="C2008" i="40"/>
  <c r="C2007" i="40"/>
  <c r="C2006" i="40"/>
  <c r="C2005" i="40"/>
  <c r="C2004" i="40"/>
  <c r="C2003" i="40"/>
  <c r="C2002" i="40"/>
  <c r="C2001" i="40"/>
  <c r="C2000" i="40"/>
  <c r="C1999" i="40"/>
  <c r="C1998" i="40"/>
  <c r="C1997" i="40"/>
  <c r="C1996" i="40"/>
  <c r="C1995" i="40"/>
  <c r="C1994" i="40"/>
  <c r="C1993" i="40"/>
  <c r="C1992" i="40"/>
  <c r="C1991" i="40"/>
  <c r="C1990" i="40"/>
  <c r="C1989" i="40"/>
  <c r="C1988" i="40"/>
  <c r="C1987" i="40"/>
  <c r="C1986" i="40"/>
  <c r="C1985" i="40"/>
  <c r="C1984" i="40"/>
  <c r="C1983" i="40"/>
  <c r="C1982" i="40"/>
  <c r="C1981" i="40"/>
  <c r="C1980" i="40"/>
  <c r="C1979" i="40"/>
  <c r="C1978" i="40"/>
  <c r="C1977" i="40"/>
  <c r="C1976" i="40"/>
  <c r="C1975" i="40"/>
  <c r="C1974" i="40"/>
  <c r="C1973" i="40"/>
  <c r="C1972" i="40"/>
  <c r="C1971" i="40"/>
  <c r="C1970" i="40"/>
  <c r="C1969" i="40"/>
  <c r="C1968" i="40"/>
  <c r="C1967" i="40"/>
  <c r="C1966" i="40"/>
  <c r="C1965" i="40"/>
  <c r="C1964" i="40"/>
  <c r="C1963" i="40"/>
  <c r="C1962" i="40"/>
  <c r="C1961" i="40"/>
  <c r="C1960" i="40"/>
  <c r="C1959" i="40"/>
  <c r="C1958" i="40"/>
  <c r="C1957" i="40"/>
  <c r="C1956" i="40"/>
  <c r="C1955" i="40"/>
  <c r="C1954" i="40"/>
  <c r="C1953" i="40"/>
  <c r="C1952" i="40"/>
  <c r="C1951" i="40"/>
  <c r="C1950" i="40"/>
  <c r="C1949" i="40"/>
  <c r="C1948" i="40"/>
  <c r="C1947" i="40"/>
  <c r="C1946" i="40"/>
  <c r="C1945" i="40"/>
  <c r="C1944" i="40"/>
  <c r="C1943" i="40"/>
  <c r="C1942" i="40"/>
  <c r="C1941" i="40"/>
  <c r="C1940" i="40"/>
  <c r="C1939" i="40"/>
  <c r="C1938" i="40"/>
  <c r="C1937" i="40"/>
  <c r="C1936" i="40"/>
  <c r="C1935" i="40"/>
  <c r="C1934" i="40"/>
  <c r="C1933" i="40"/>
  <c r="C1932" i="40"/>
  <c r="C1931" i="40"/>
  <c r="C1930" i="40"/>
  <c r="C1929" i="40"/>
  <c r="C1928" i="40"/>
  <c r="C1927" i="40"/>
  <c r="C1926" i="40"/>
  <c r="C1925" i="40"/>
  <c r="C1924" i="40"/>
  <c r="C1923" i="40"/>
  <c r="C1922" i="40"/>
  <c r="C1921" i="40"/>
  <c r="C1920" i="40"/>
  <c r="C1919" i="40"/>
  <c r="C1918" i="40"/>
  <c r="C1917" i="40"/>
  <c r="C1916" i="40"/>
  <c r="C1915" i="40"/>
  <c r="C1914" i="40"/>
  <c r="C1913" i="40"/>
  <c r="C1912" i="40"/>
  <c r="C1911" i="40"/>
  <c r="C1910" i="40"/>
  <c r="C1909" i="40"/>
  <c r="C1908" i="40"/>
  <c r="C1907" i="40"/>
  <c r="C1906" i="40"/>
  <c r="C1905" i="40"/>
  <c r="C1904" i="40"/>
  <c r="C1903" i="40"/>
  <c r="C1902" i="40"/>
  <c r="C1901" i="40"/>
  <c r="C1900" i="40"/>
  <c r="C1899" i="40"/>
  <c r="C1898" i="40"/>
  <c r="C1897" i="40"/>
  <c r="C1896" i="40"/>
  <c r="C1895" i="40"/>
  <c r="C1894" i="40"/>
  <c r="C1893" i="40"/>
  <c r="C1892" i="40"/>
  <c r="C1891" i="40"/>
  <c r="C1890" i="40"/>
  <c r="C1889" i="40"/>
  <c r="C1888" i="40"/>
  <c r="C1887" i="40"/>
  <c r="C1886" i="40"/>
  <c r="C1885" i="40"/>
  <c r="C1884" i="40"/>
  <c r="C1883" i="40"/>
  <c r="C1882" i="40"/>
  <c r="C1881" i="40"/>
  <c r="C1880" i="40"/>
  <c r="C1879" i="40"/>
  <c r="C1878" i="40"/>
  <c r="C1877" i="40"/>
  <c r="C1876" i="40"/>
  <c r="C1875" i="40"/>
  <c r="C1874" i="40"/>
  <c r="C1873" i="40"/>
  <c r="C1872" i="40"/>
  <c r="C1871" i="40"/>
  <c r="C1870" i="40"/>
  <c r="C1869" i="40"/>
  <c r="C1868" i="40"/>
  <c r="C1867" i="40"/>
  <c r="C1866" i="40"/>
  <c r="C1865" i="40"/>
  <c r="C1864" i="40"/>
  <c r="C1863" i="40"/>
  <c r="C1862" i="40"/>
  <c r="C1861" i="40"/>
  <c r="C1860" i="40"/>
  <c r="C1859" i="40"/>
  <c r="C1858" i="40"/>
  <c r="C1857" i="40"/>
  <c r="C1856" i="40"/>
  <c r="C1855" i="40"/>
  <c r="C1854" i="40"/>
  <c r="C1853" i="40"/>
  <c r="C1852" i="40"/>
  <c r="C1851" i="40"/>
  <c r="C1850" i="40"/>
  <c r="C1849" i="40"/>
  <c r="C1848" i="40"/>
  <c r="C1847" i="40"/>
  <c r="C1846" i="40"/>
  <c r="C1845" i="40"/>
  <c r="C1844" i="40"/>
  <c r="C1843" i="40"/>
  <c r="C1842" i="40"/>
  <c r="C1841" i="40"/>
  <c r="C1840" i="40"/>
  <c r="C1839" i="40"/>
  <c r="C1838" i="40"/>
  <c r="C1837" i="40"/>
  <c r="C1836" i="40"/>
  <c r="C1835" i="40"/>
  <c r="C1834" i="40"/>
  <c r="C1833" i="40"/>
  <c r="C1832" i="40"/>
  <c r="C1831" i="40"/>
  <c r="C1830" i="40"/>
  <c r="C1829" i="40"/>
  <c r="C1828" i="40"/>
  <c r="C1827" i="40"/>
  <c r="C1826" i="40"/>
  <c r="C1825" i="40"/>
  <c r="C1824" i="40"/>
  <c r="C1823" i="40"/>
  <c r="C1822" i="40"/>
  <c r="C1821" i="40"/>
  <c r="C1820" i="40"/>
  <c r="C1819" i="40"/>
  <c r="C1818" i="40"/>
  <c r="C1817" i="40"/>
  <c r="C1816" i="40"/>
  <c r="C1815" i="40"/>
  <c r="C1814" i="40"/>
  <c r="C1813" i="40"/>
  <c r="C1812" i="40"/>
  <c r="C1811" i="40"/>
  <c r="C1810" i="40"/>
  <c r="C1809" i="40"/>
  <c r="C1808" i="40"/>
  <c r="C1807" i="40"/>
  <c r="C1806" i="40"/>
  <c r="C1805" i="40"/>
  <c r="C1804" i="40"/>
  <c r="C1803" i="40"/>
  <c r="C1802" i="40"/>
  <c r="C1801" i="40"/>
  <c r="C1800" i="40"/>
  <c r="C1799" i="40"/>
  <c r="C1798" i="40"/>
  <c r="C1797" i="40"/>
  <c r="C1796" i="40"/>
  <c r="C1795" i="40"/>
  <c r="C1794" i="40"/>
  <c r="C1793" i="40"/>
  <c r="C1792" i="40"/>
  <c r="C1791" i="40"/>
  <c r="C1790" i="40"/>
  <c r="C1789" i="40"/>
  <c r="C1788" i="40"/>
  <c r="C1787" i="40"/>
  <c r="C1786" i="40"/>
  <c r="C1785" i="40"/>
  <c r="C1784" i="40"/>
  <c r="C1783" i="40"/>
  <c r="C1782" i="40"/>
  <c r="C1781" i="40"/>
  <c r="C1780" i="40"/>
  <c r="C1779" i="40"/>
  <c r="C1778" i="40"/>
  <c r="C1777" i="40"/>
  <c r="C1776" i="40"/>
  <c r="C1775" i="40"/>
  <c r="C1774" i="40"/>
  <c r="C1773" i="40"/>
  <c r="C1772" i="40"/>
  <c r="C1771" i="40"/>
  <c r="C1770" i="40"/>
  <c r="C1769" i="40"/>
  <c r="C1768" i="40"/>
  <c r="C1767" i="40"/>
  <c r="C1766" i="40"/>
  <c r="C1765" i="40"/>
  <c r="C1764" i="40"/>
  <c r="C1763" i="40"/>
  <c r="C1762" i="40"/>
  <c r="C1761" i="40"/>
  <c r="C1760" i="40"/>
  <c r="C1759" i="40"/>
  <c r="C1758" i="40"/>
  <c r="C1757" i="40"/>
  <c r="C1756" i="40"/>
  <c r="C1755" i="40"/>
  <c r="C1754" i="40"/>
  <c r="C1753" i="40"/>
  <c r="C1752" i="40"/>
  <c r="C1751" i="40"/>
  <c r="C1750" i="40"/>
  <c r="C1749" i="40"/>
  <c r="C1748" i="40"/>
  <c r="C1747" i="40"/>
  <c r="C1746" i="40"/>
  <c r="C1745" i="40"/>
  <c r="C1744" i="40"/>
  <c r="C1743" i="40"/>
  <c r="C1742" i="40"/>
  <c r="C1741" i="40"/>
  <c r="C1740" i="40"/>
  <c r="C1739" i="40"/>
  <c r="C1738" i="40"/>
  <c r="C1737" i="40"/>
  <c r="C1736" i="40"/>
  <c r="C1735" i="40"/>
  <c r="C1734" i="40"/>
  <c r="C1733" i="40"/>
  <c r="C1732" i="40"/>
  <c r="C1731" i="40"/>
  <c r="C1730" i="40"/>
  <c r="C1729" i="40"/>
  <c r="C1728" i="40"/>
  <c r="C1727" i="40"/>
  <c r="C1726" i="40"/>
  <c r="C1725" i="40"/>
  <c r="C1724" i="40"/>
  <c r="C1723" i="40"/>
  <c r="C1722" i="40"/>
  <c r="C1721" i="40"/>
  <c r="C1720" i="40"/>
  <c r="C1719" i="40"/>
  <c r="C1718" i="40"/>
  <c r="C1717" i="40"/>
  <c r="C1716" i="40"/>
  <c r="C1715" i="40"/>
  <c r="C1714" i="40"/>
  <c r="C1713" i="40"/>
  <c r="C1712" i="40"/>
  <c r="C1711" i="40"/>
  <c r="C1710" i="40"/>
  <c r="C1709" i="40"/>
  <c r="C1708" i="40"/>
  <c r="C1707" i="40"/>
  <c r="C1706" i="40"/>
  <c r="C1705" i="40"/>
  <c r="C1704" i="40"/>
  <c r="C1703" i="40"/>
  <c r="C1702" i="40"/>
  <c r="C1701" i="40"/>
  <c r="C1700" i="40"/>
  <c r="C1699" i="40"/>
  <c r="C1698" i="40"/>
  <c r="C1697" i="40"/>
  <c r="C1696" i="40"/>
  <c r="C1695" i="40"/>
  <c r="C1694" i="40"/>
  <c r="C1693" i="40"/>
  <c r="C1692" i="40"/>
  <c r="C1691" i="40"/>
  <c r="C1690" i="40"/>
  <c r="C1689" i="40"/>
  <c r="C1688" i="40"/>
  <c r="C1687" i="40"/>
  <c r="C1686" i="40"/>
  <c r="C1685" i="40"/>
  <c r="C1684" i="40"/>
  <c r="C1683" i="40"/>
  <c r="C1682" i="40"/>
  <c r="C1681" i="40"/>
  <c r="C1680" i="40"/>
  <c r="C1679" i="40"/>
  <c r="C1678" i="40"/>
  <c r="C1677" i="40"/>
  <c r="C1676" i="40"/>
  <c r="C1675" i="40"/>
  <c r="C1674" i="40"/>
  <c r="C1673" i="40"/>
  <c r="C1672" i="40"/>
  <c r="C1671" i="40"/>
  <c r="C1670" i="40"/>
  <c r="C1669" i="40"/>
  <c r="C1668" i="40"/>
  <c r="C1667" i="40"/>
  <c r="C1666" i="40"/>
  <c r="C1665" i="40"/>
  <c r="C1664" i="40"/>
  <c r="C1663" i="40"/>
  <c r="C1662" i="40"/>
  <c r="C1661" i="40"/>
  <c r="C1660" i="40"/>
  <c r="C1659" i="40"/>
  <c r="C1658" i="40"/>
  <c r="C1657" i="40"/>
  <c r="C1656" i="40"/>
  <c r="C1655" i="40"/>
  <c r="C1654" i="40"/>
  <c r="C1653" i="40"/>
  <c r="C1652" i="40"/>
  <c r="C1651" i="40"/>
  <c r="C1650" i="40"/>
  <c r="C1649" i="40"/>
  <c r="C1648" i="40"/>
  <c r="C1647" i="40"/>
  <c r="C1646" i="40"/>
  <c r="C1645" i="40"/>
  <c r="C1644" i="40"/>
  <c r="C1643" i="40"/>
  <c r="C1642" i="40"/>
  <c r="C1641" i="40"/>
  <c r="C1640" i="40"/>
  <c r="C1639" i="40"/>
  <c r="C1638" i="40"/>
  <c r="C1637" i="40"/>
  <c r="C1636" i="40"/>
  <c r="C1635" i="40"/>
  <c r="C1634" i="40"/>
  <c r="C1633" i="40"/>
  <c r="C1632" i="40"/>
  <c r="C1631" i="40"/>
  <c r="C1630" i="40"/>
  <c r="C1629" i="40"/>
  <c r="C1628" i="40"/>
  <c r="C1627" i="40"/>
  <c r="C1626" i="40"/>
  <c r="C1625" i="40"/>
  <c r="C1624" i="40"/>
  <c r="C1623" i="40"/>
  <c r="C1622" i="40"/>
  <c r="C1621" i="40"/>
  <c r="C1620" i="40"/>
  <c r="C1619" i="40"/>
  <c r="C1618" i="40"/>
  <c r="C1617" i="40"/>
  <c r="C1616" i="40"/>
  <c r="C1615" i="40"/>
  <c r="C1614" i="40"/>
  <c r="C1613" i="40"/>
  <c r="C1612" i="40"/>
  <c r="C1611" i="40"/>
  <c r="C1610" i="40"/>
  <c r="C1609" i="40"/>
  <c r="C1608" i="40"/>
  <c r="C1607" i="40"/>
  <c r="C1606" i="40"/>
  <c r="C1605" i="40"/>
  <c r="C1604" i="40"/>
  <c r="C1603" i="40"/>
  <c r="C1602" i="40"/>
  <c r="C1601" i="40"/>
  <c r="C1600" i="40"/>
  <c r="C1599" i="40"/>
  <c r="C1598" i="40"/>
  <c r="C1597" i="40"/>
  <c r="C1596" i="40"/>
  <c r="C1595" i="40"/>
  <c r="C1594" i="40"/>
  <c r="C1593" i="40"/>
  <c r="C1592" i="40"/>
  <c r="C1591" i="40"/>
  <c r="C1590" i="40"/>
  <c r="C1589" i="40"/>
  <c r="C1588" i="40"/>
  <c r="C1587" i="40"/>
  <c r="C1586" i="40"/>
  <c r="C1585" i="40"/>
  <c r="C1584" i="40"/>
  <c r="C1583" i="40"/>
  <c r="C1582" i="40"/>
  <c r="C1581" i="40"/>
  <c r="C1580" i="40"/>
  <c r="C1579" i="40"/>
  <c r="C1578" i="40"/>
  <c r="C1577" i="40"/>
  <c r="C1576" i="40"/>
  <c r="C1575" i="40"/>
  <c r="C1574" i="40"/>
  <c r="C1573" i="40"/>
  <c r="C1572" i="40"/>
  <c r="C1571" i="40"/>
  <c r="C1570" i="40"/>
  <c r="C1569" i="40"/>
  <c r="C1568" i="40"/>
  <c r="C1567" i="40"/>
  <c r="C1566" i="40"/>
  <c r="C1565" i="40"/>
  <c r="C1564" i="40"/>
  <c r="C1563" i="40"/>
  <c r="C1562" i="40"/>
  <c r="C1561" i="40"/>
  <c r="C1560" i="40"/>
  <c r="C1559" i="40"/>
  <c r="C1558" i="40"/>
  <c r="C1557" i="40"/>
  <c r="C1556" i="40"/>
  <c r="C1555" i="40"/>
  <c r="C1554" i="40"/>
  <c r="C1553" i="40"/>
  <c r="C1552" i="40"/>
  <c r="C1551" i="40"/>
  <c r="C1550" i="40"/>
  <c r="C1549" i="40"/>
  <c r="C1548" i="40"/>
  <c r="C1547" i="40"/>
  <c r="C1546" i="40"/>
  <c r="C1545" i="40"/>
  <c r="C1544" i="40"/>
  <c r="C1543" i="40"/>
  <c r="C1542" i="40"/>
  <c r="C1541" i="40"/>
  <c r="C1540" i="40"/>
  <c r="C1539" i="40"/>
  <c r="C1538" i="40"/>
  <c r="C1537" i="40"/>
  <c r="C1536" i="40"/>
  <c r="C1535" i="40"/>
  <c r="C1534" i="40"/>
  <c r="C1533" i="40"/>
  <c r="C1532" i="40"/>
  <c r="C1531" i="40"/>
  <c r="C1530" i="40"/>
  <c r="C1529" i="40"/>
  <c r="C1528" i="40"/>
  <c r="C1527" i="40"/>
  <c r="C1526" i="40"/>
  <c r="C1525" i="40"/>
  <c r="C1524" i="40"/>
  <c r="C1523" i="40"/>
  <c r="C1522" i="40"/>
  <c r="C1521" i="40"/>
  <c r="C1520" i="40"/>
  <c r="C1519" i="40"/>
  <c r="C1518" i="40"/>
  <c r="C1517" i="40"/>
  <c r="C1516" i="40"/>
  <c r="C1515" i="40"/>
  <c r="C1514" i="40"/>
  <c r="C1513" i="40"/>
  <c r="C1512" i="40"/>
  <c r="C1511" i="40"/>
  <c r="C1510" i="40"/>
  <c r="C1509" i="40"/>
  <c r="C1508" i="40"/>
  <c r="C1507" i="40"/>
  <c r="C1506" i="40"/>
  <c r="C1505" i="40"/>
  <c r="C1504" i="40"/>
  <c r="C1503" i="40"/>
  <c r="C1502" i="40"/>
  <c r="C1501" i="40"/>
  <c r="C1500" i="40"/>
  <c r="C1499" i="40"/>
  <c r="C1498" i="40"/>
  <c r="C1497" i="40"/>
  <c r="C1496" i="40"/>
  <c r="C1495" i="40"/>
  <c r="C1494" i="40"/>
  <c r="C1493" i="40"/>
  <c r="C1492" i="40"/>
  <c r="C1491" i="40"/>
  <c r="C1490" i="40"/>
  <c r="C1489" i="40"/>
  <c r="C1488" i="40"/>
  <c r="C1487" i="40"/>
  <c r="C1486" i="40"/>
  <c r="C1485" i="40"/>
  <c r="C1484" i="40"/>
  <c r="C1483" i="40"/>
  <c r="C1482" i="40"/>
  <c r="C1481" i="40"/>
  <c r="C1480" i="40"/>
  <c r="C1479" i="40"/>
  <c r="C1478" i="40"/>
  <c r="C1477" i="40"/>
  <c r="C1476" i="40"/>
  <c r="C1475" i="40"/>
  <c r="C1474" i="40"/>
  <c r="C1473" i="40"/>
  <c r="C1472" i="40"/>
  <c r="C1471" i="40"/>
  <c r="C1470" i="40"/>
  <c r="C1469" i="40"/>
  <c r="C1468" i="40"/>
  <c r="C1467" i="40"/>
  <c r="C1466" i="40"/>
  <c r="C1465" i="40"/>
  <c r="C1464" i="40"/>
  <c r="C1463" i="40"/>
  <c r="C1462" i="40"/>
  <c r="C1461" i="40"/>
  <c r="C1460" i="40"/>
  <c r="C1459" i="40"/>
  <c r="C1458" i="40"/>
  <c r="C1457" i="40"/>
  <c r="C1456" i="40"/>
  <c r="C1455" i="40"/>
  <c r="C1454" i="40"/>
  <c r="C1453" i="40"/>
  <c r="C1452" i="40"/>
  <c r="C1451" i="40"/>
  <c r="C1450" i="40"/>
  <c r="C1449" i="40"/>
  <c r="C1448" i="40"/>
  <c r="C1447" i="40"/>
  <c r="C1446" i="40"/>
  <c r="C1445" i="40"/>
  <c r="C1444" i="40"/>
  <c r="C1443" i="40"/>
  <c r="C1442" i="40"/>
  <c r="C1441" i="40"/>
  <c r="C1440" i="40"/>
  <c r="C1439" i="40"/>
  <c r="C1438" i="40"/>
  <c r="C1437" i="40"/>
  <c r="C1436" i="40"/>
  <c r="C1435" i="40"/>
  <c r="C1434" i="40"/>
  <c r="C1433" i="40"/>
  <c r="C1432" i="40"/>
  <c r="C1431" i="40"/>
  <c r="C1430" i="40"/>
  <c r="C1429" i="40"/>
  <c r="C1428" i="40"/>
  <c r="C1427" i="40"/>
  <c r="C1426" i="40"/>
  <c r="C1425" i="40"/>
  <c r="C1424" i="40"/>
  <c r="C1423" i="40"/>
  <c r="C1422" i="40"/>
  <c r="C1421" i="40"/>
  <c r="C1420" i="40"/>
  <c r="C1419" i="40"/>
  <c r="C1418" i="40"/>
  <c r="C1417" i="40"/>
  <c r="C1416" i="40"/>
  <c r="C1415" i="40"/>
  <c r="C1414" i="40"/>
  <c r="C1413" i="40"/>
  <c r="C1412" i="40"/>
  <c r="C1411" i="40"/>
  <c r="C1410" i="40"/>
  <c r="C1409" i="40"/>
  <c r="C1408" i="40"/>
  <c r="C1407" i="40"/>
  <c r="C1406" i="40"/>
  <c r="C1405" i="40"/>
  <c r="C1404" i="40"/>
  <c r="C1403" i="40"/>
  <c r="C1402" i="40"/>
  <c r="C1401" i="40"/>
  <c r="C1400" i="40"/>
  <c r="C1399" i="40"/>
  <c r="C1398" i="40"/>
  <c r="C1397" i="40"/>
  <c r="C1396" i="40"/>
  <c r="C1395" i="40"/>
  <c r="C1394" i="40"/>
  <c r="C1393" i="40"/>
  <c r="C1392" i="40"/>
  <c r="C1391" i="40"/>
  <c r="C1390" i="40"/>
  <c r="C1389" i="40"/>
  <c r="C1388" i="40"/>
  <c r="C1387" i="40"/>
  <c r="C1386" i="40"/>
  <c r="C1385" i="40"/>
  <c r="C1384" i="40"/>
  <c r="C1383" i="40"/>
  <c r="C1382" i="40"/>
  <c r="C1381" i="40"/>
  <c r="C1380" i="40"/>
  <c r="C1379" i="40"/>
  <c r="C1378" i="40"/>
  <c r="C1377" i="40"/>
  <c r="C1376" i="40"/>
  <c r="C1375" i="40"/>
  <c r="C1374" i="40"/>
  <c r="C1373" i="40"/>
  <c r="C1372" i="40"/>
  <c r="C1371" i="40"/>
  <c r="C1370" i="40"/>
  <c r="C1369" i="40"/>
  <c r="C1368" i="40"/>
  <c r="C1367" i="40"/>
  <c r="C1366" i="40"/>
  <c r="C1365" i="40"/>
  <c r="C1364" i="40"/>
  <c r="C1363" i="40"/>
  <c r="C1362" i="40"/>
  <c r="C1361" i="40"/>
  <c r="C1360" i="40"/>
  <c r="C1359" i="40"/>
  <c r="C1358" i="40"/>
  <c r="C1357" i="40"/>
  <c r="C1356" i="40"/>
  <c r="C1355" i="40"/>
  <c r="C1354" i="40"/>
  <c r="C1353" i="40"/>
  <c r="C1352" i="40"/>
  <c r="C1351" i="40"/>
  <c r="C1350" i="40"/>
  <c r="C1349" i="40"/>
  <c r="C1348" i="40"/>
  <c r="C1347" i="40"/>
  <c r="C1346" i="40"/>
  <c r="C1345" i="40"/>
  <c r="C1344" i="40"/>
  <c r="C1343" i="40"/>
  <c r="C1342" i="40"/>
  <c r="C1341" i="40"/>
  <c r="C1340" i="40"/>
  <c r="C1339" i="40"/>
  <c r="C1338" i="40"/>
  <c r="C1337" i="40"/>
  <c r="C1336" i="40"/>
  <c r="C1335" i="40"/>
  <c r="C1334" i="40"/>
  <c r="C1333" i="40"/>
  <c r="C1332" i="40"/>
  <c r="C1331" i="40"/>
  <c r="C1330" i="40"/>
  <c r="C1329" i="40"/>
  <c r="C1328" i="40"/>
  <c r="C1327" i="40"/>
  <c r="C1326" i="40"/>
  <c r="C1325" i="40"/>
  <c r="C1324" i="40"/>
  <c r="C1323" i="40"/>
  <c r="C1322" i="40"/>
  <c r="C1321" i="40"/>
  <c r="C1320" i="40"/>
  <c r="C1319" i="40"/>
  <c r="C1318" i="40"/>
  <c r="C1317" i="40"/>
  <c r="C1316" i="40"/>
  <c r="C1315" i="40"/>
  <c r="C1314" i="40"/>
  <c r="C1313" i="40"/>
  <c r="C1312" i="40"/>
  <c r="C1311" i="40"/>
  <c r="C1310" i="40"/>
  <c r="C1309" i="40"/>
  <c r="C1308" i="40"/>
  <c r="C1307" i="40"/>
  <c r="C1306" i="40"/>
  <c r="C1305" i="40"/>
  <c r="C1304" i="40"/>
  <c r="C1303" i="40"/>
  <c r="C1302" i="40"/>
  <c r="C1301" i="40"/>
  <c r="C1300" i="40"/>
  <c r="C1299" i="40"/>
  <c r="C1298" i="40"/>
  <c r="C1297" i="40"/>
  <c r="C1296" i="40"/>
  <c r="C1295" i="40"/>
  <c r="C1294" i="40"/>
  <c r="C1293" i="40"/>
  <c r="C1292" i="40"/>
  <c r="C1291" i="40"/>
  <c r="C1290" i="40"/>
  <c r="C1289" i="40"/>
  <c r="C1288" i="40"/>
  <c r="C1287" i="40"/>
  <c r="C1286" i="40"/>
  <c r="C1285" i="40"/>
  <c r="C1284" i="40"/>
  <c r="C1283" i="40"/>
  <c r="C1282" i="40"/>
  <c r="C1281" i="40"/>
  <c r="C1280" i="40"/>
  <c r="C1279" i="40"/>
  <c r="C1278" i="40"/>
  <c r="C1277" i="40"/>
  <c r="C1276" i="40"/>
  <c r="C1275" i="40"/>
  <c r="C1274" i="40"/>
  <c r="C1273" i="40"/>
  <c r="C1272" i="40"/>
  <c r="C1271" i="40"/>
  <c r="C1270" i="40"/>
  <c r="C1269" i="40"/>
  <c r="C1268" i="40"/>
  <c r="C1267" i="40"/>
  <c r="C1266" i="40"/>
  <c r="C1265" i="40"/>
  <c r="C1264" i="40"/>
  <c r="C1263" i="40"/>
  <c r="C1262" i="40"/>
  <c r="C1261" i="40"/>
  <c r="C1260" i="40"/>
  <c r="C1259" i="40"/>
  <c r="C1258" i="40"/>
  <c r="C1257" i="40"/>
  <c r="C1256" i="40"/>
  <c r="C1255" i="40"/>
  <c r="C1254" i="40"/>
  <c r="C1253" i="40"/>
  <c r="C1252" i="40"/>
  <c r="C1251" i="40"/>
  <c r="C1250" i="40"/>
  <c r="C1249" i="40"/>
  <c r="C1248" i="40"/>
  <c r="C1247" i="40"/>
  <c r="C1246" i="40"/>
  <c r="C1245" i="40"/>
  <c r="C1244" i="40"/>
  <c r="C1243" i="40"/>
  <c r="C1242" i="40"/>
  <c r="C1241" i="40"/>
  <c r="C1240" i="40"/>
  <c r="C1239" i="40"/>
  <c r="C1238" i="40"/>
  <c r="C1237" i="40"/>
  <c r="C1236" i="40"/>
  <c r="C1235" i="40"/>
  <c r="C1234" i="40"/>
  <c r="C1233" i="40"/>
  <c r="C1232" i="40"/>
  <c r="C1231" i="40"/>
  <c r="C1230" i="40"/>
  <c r="C1229" i="40"/>
  <c r="C1228" i="40"/>
  <c r="C1227" i="40"/>
  <c r="C1226" i="40"/>
  <c r="C1225" i="40"/>
  <c r="C1224" i="40"/>
  <c r="C1223" i="40"/>
  <c r="C1222" i="40"/>
  <c r="C1221" i="40"/>
  <c r="C1220" i="40"/>
  <c r="C1219" i="40"/>
  <c r="C1218" i="40"/>
  <c r="C1217" i="40"/>
  <c r="C1216" i="40"/>
  <c r="C1215" i="40"/>
  <c r="C1214" i="40"/>
  <c r="C1213" i="40"/>
  <c r="C1212" i="40"/>
  <c r="C1211" i="40"/>
  <c r="C1210" i="40"/>
  <c r="C1209" i="40"/>
  <c r="C1208" i="40"/>
  <c r="C1207" i="40"/>
  <c r="C1206" i="40"/>
  <c r="C1205" i="40"/>
  <c r="C1204" i="40"/>
  <c r="C1203" i="40"/>
  <c r="C1202" i="40"/>
  <c r="C1201" i="40"/>
  <c r="C1200" i="40"/>
  <c r="C1199" i="40"/>
  <c r="C1198" i="40"/>
  <c r="C1197" i="40"/>
  <c r="C1196" i="40"/>
  <c r="C1195" i="40"/>
  <c r="C1194" i="40"/>
  <c r="C1193" i="40"/>
  <c r="C1192" i="40"/>
  <c r="C1191" i="40"/>
  <c r="C1190" i="40"/>
  <c r="C1189" i="40"/>
  <c r="C1188" i="40"/>
  <c r="C1187" i="40"/>
  <c r="C1186" i="40"/>
  <c r="C1185" i="40"/>
  <c r="C1184" i="40"/>
  <c r="C1183" i="40"/>
  <c r="C1182" i="40"/>
  <c r="C1181" i="40"/>
  <c r="C1180" i="40"/>
  <c r="C1179" i="40"/>
  <c r="C1178" i="40"/>
  <c r="C1177" i="40"/>
  <c r="C1176" i="40"/>
  <c r="C1175" i="40"/>
  <c r="C1174" i="40"/>
  <c r="C1173" i="40"/>
  <c r="C1172" i="40"/>
  <c r="C1171" i="40"/>
  <c r="C1170" i="40"/>
  <c r="C1169" i="40"/>
  <c r="C1168" i="40"/>
  <c r="C1167" i="40"/>
  <c r="C1166" i="40"/>
  <c r="C1165" i="40"/>
  <c r="C1164" i="40"/>
  <c r="C1163" i="40"/>
  <c r="C1162" i="40"/>
  <c r="C1161" i="40"/>
  <c r="C1160" i="40"/>
  <c r="C1159" i="40"/>
  <c r="C1158" i="40"/>
  <c r="C1157" i="40"/>
  <c r="C1156" i="40"/>
  <c r="C1155" i="40"/>
  <c r="C1154" i="40"/>
  <c r="C1153" i="40"/>
  <c r="C1152" i="40"/>
  <c r="C1151" i="40"/>
  <c r="C1150" i="40"/>
  <c r="C1149" i="40"/>
  <c r="C1148" i="40"/>
  <c r="C1147" i="40"/>
  <c r="C1146" i="40"/>
  <c r="C1145" i="40"/>
  <c r="C1144" i="40"/>
  <c r="C1143" i="40"/>
  <c r="C1142" i="40"/>
  <c r="C1141" i="40"/>
  <c r="C1140" i="40"/>
  <c r="C1139" i="40"/>
  <c r="C1138" i="40"/>
  <c r="C1137" i="40"/>
  <c r="C1136" i="40"/>
  <c r="C1135" i="40"/>
  <c r="C1134" i="40"/>
  <c r="C1133" i="40"/>
  <c r="C1132" i="40"/>
  <c r="C1131" i="40"/>
  <c r="C1130" i="40"/>
  <c r="C1129" i="40"/>
  <c r="C1128" i="40"/>
  <c r="C1127" i="40"/>
  <c r="C1126" i="40"/>
  <c r="C1125" i="40"/>
  <c r="C1124" i="40"/>
  <c r="C1123" i="40"/>
  <c r="C1122" i="40"/>
  <c r="C1121" i="40"/>
  <c r="C1120" i="40"/>
  <c r="C1119" i="40"/>
  <c r="C1118" i="40"/>
  <c r="C1117" i="40"/>
  <c r="C1116" i="40"/>
  <c r="C1115" i="40"/>
  <c r="C1114" i="40"/>
  <c r="C1113" i="40"/>
  <c r="C1112" i="40"/>
  <c r="C1111" i="40"/>
  <c r="C1110" i="40"/>
  <c r="C1109" i="40"/>
  <c r="C1108" i="40"/>
  <c r="C1107" i="40"/>
  <c r="C1106" i="40"/>
  <c r="C1105" i="40"/>
  <c r="C1104" i="40"/>
  <c r="C1103" i="40"/>
  <c r="C1102" i="40"/>
  <c r="C1101" i="40"/>
  <c r="C1100" i="40"/>
  <c r="C1099" i="40"/>
  <c r="C1098" i="40"/>
  <c r="C1097" i="40"/>
  <c r="C1096" i="40"/>
  <c r="C1095" i="40"/>
  <c r="C1094" i="40"/>
  <c r="C1093" i="40"/>
  <c r="C1092" i="40"/>
  <c r="C1091" i="40"/>
  <c r="C1090" i="40"/>
  <c r="C1089" i="40"/>
  <c r="C1088" i="40"/>
  <c r="C1087" i="40"/>
  <c r="C1086" i="40"/>
  <c r="C1085" i="40"/>
  <c r="C1084" i="40"/>
  <c r="C1083" i="40"/>
  <c r="C1082" i="40"/>
  <c r="C1081" i="40"/>
  <c r="C1080" i="40"/>
  <c r="C1079" i="40"/>
  <c r="C1078" i="40"/>
  <c r="C1077" i="40"/>
  <c r="C1076" i="40"/>
  <c r="C1075" i="40"/>
  <c r="C1074" i="40"/>
  <c r="C1073" i="40"/>
  <c r="C1072" i="40"/>
  <c r="C1071" i="40"/>
  <c r="C1070" i="40"/>
  <c r="C1069" i="40"/>
  <c r="C1068" i="40"/>
  <c r="C1067" i="40"/>
  <c r="C1066" i="40"/>
  <c r="C1065" i="40"/>
  <c r="C1064" i="40"/>
  <c r="C1063" i="40"/>
  <c r="C1062" i="40"/>
  <c r="C1061" i="40"/>
  <c r="C1060" i="40"/>
  <c r="C1059" i="40"/>
  <c r="C1058" i="40"/>
  <c r="C1057" i="40"/>
  <c r="C1056" i="40"/>
  <c r="C1055" i="40"/>
  <c r="C1054" i="40"/>
  <c r="C1053" i="40"/>
  <c r="C1052" i="40"/>
  <c r="C1051" i="40"/>
  <c r="C1050" i="40"/>
  <c r="C1049" i="40"/>
  <c r="C1048" i="40"/>
  <c r="C1047" i="40"/>
  <c r="C1046" i="40"/>
  <c r="C1045" i="40"/>
  <c r="C1044" i="40"/>
  <c r="C1043" i="40"/>
  <c r="C1042" i="40"/>
  <c r="C1041" i="40"/>
  <c r="C1040" i="40"/>
  <c r="C1039" i="40"/>
  <c r="C1038" i="40"/>
  <c r="C1037" i="40"/>
  <c r="C1036" i="40"/>
  <c r="C1035" i="40"/>
  <c r="C1034" i="40"/>
  <c r="C1033" i="40"/>
  <c r="C1032" i="40"/>
  <c r="C1031" i="40"/>
  <c r="C1030" i="40"/>
  <c r="C1029" i="40"/>
  <c r="C1028" i="40"/>
  <c r="C1027" i="40"/>
  <c r="C1026" i="40"/>
  <c r="C1025" i="40"/>
  <c r="C1024" i="40"/>
  <c r="C1023" i="40"/>
  <c r="C1022" i="40"/>
  <c r="C1021" i="40"/>
  <c r="C1020" i="40"/>
  <c r="C1019" i="40"/>
  <c r="C1018" i="40"/>
  <c r="C1017" i="40"/>
  <c r="C1016" i="40"/>
  <c r="C1015" i="40"/>
  <c r="C1014" i="40"/>
  <c r="C1013" i="40"/>
  <c r="C1012" i="40"/>
  <c r="C1011" i="40"/>
  <c r="C1010" i="40"/>
  <c r="C1009" i="40"/>
  <c r="C1008" i="40"/>
  <c r="C1007" i="40"/>
  <c r="C1006" i="40"/>
  <c r="C1005" i="40"/>
  <c r="C1004" i="40"/>
  <c r="C1003" i="40"/>
  <c r="C1002" i="40"/>
  <c r="C1001" i="40"/>
  <c r="C1000" i="40"/>
  <c r="C999" i="40"/>
  <c r="C998" i="40"/>
  <c r="C997" i="40"/>
  <c r="C996" i="40"/>
  <c r="C995" i="40"/>
  <c r="C994" i="40"/>
  <c r="C993" i="40"/>
  <c r="C992" i="40"/>
  <c r="C991" i="40"/>
  <c r="C990" i="40"/>
  <c r="C989" i="40"/>
  <c r="C988" i="40"/>
  <c r="C987" i="40"/>
  <c r="C986" i="40"/>
  <c r="C985" i="40"/>
  <c r="C984" i="40"/>
  <c r="C983" i="40"/>
  <c r="C982" i="40"/>
  <c r="C981" i="40"/>
  <c r="C980" i="40"/>
  <c r="C979" i="40"/>
  <c r="C978" i="40"/>
  <c r="C977" i="40"/>
  <c r="C976" i="40"/>
  <c r="C975" i="40"/>
  <c r="C974" i="40"/>
  <c r="C973" i="40"/>
  <c r="C972" i="40"/>
  <c r="C971" i="40"/>
  <c r="C970" i="40"/>
  <c r="C969" i="40"/>
  <c r="C968" i="40"/>
  <c r="C967" i="40"/>
  <c r="C966" i="40"/>
  <c r="C965" i="40"/>
  <c r="C964" i="40"/>
  <c r="C963" i="40"/>
  <c r="C962" i="40"/>
  <c r="C961" i="40"/>
  <c r="C960" i="40"/>
  <c r="C959" i="40"/>
  <c r="C958" i="40"/>
  <c r="C957" i="40"/>
  <c r="C956" i="40"/>
  <c r="C955" i="40"/>
  <c r="C954" i="40"/>
  <c r="C953" i="40"/>
  <c r="C952" i="40"/>
  <c r="C951" i="40"/>
  <c r="C950" i="40"/>
  <c r="C949" i="40"/>
  <c r="C948" i="40"/>
  <c r="C947" i="40"/>
  <c r="C946" i="40"/>
  <c r="C945" i="40"/>
  <c r="C944" i="40"/>
  <c r="C943" i="40"/>
  <c r="C942" i="40"/>
  <c r="C941" i="40"/>
  <c r="C940" i="40"/>
  <c r="C939" i="40"/>
  <c r="C938" i="40"/>
  <c r="C937" i="40"/>
  <c r="C936" i="40"/>
  <c r="C935" i="40"/>
  <c r="C934" i="40"/>
  <c r="C933" i="40"/>
  <c r="C932" i="40"/>
  <c r="C931" i="40"/>
  <c r="C930" i="40"/>
  <c r="C929" i="40"/>
  <c r="C928" i="40"/>
  <c r="C927" i="40"/>
  <c r="C926" i="40"/>
  <c r="C925" i="40"/>
  <c r="C924" i="40"/>
  <c r="C923" i="40"/>
  <c r="C922" i="40"/>
  <c r="C921" i="40"/>
  <c r="C920" i="40"/>
  <c r="C919" i="40"/>
  <c r="C918" i="40"/>
  <c r="C917" i="40"/>
  <c r="C916" i="40"/>
  <c r="C915" i="40"/>
  <c r="C914" i="40"/>
  <c r="C913" i="40"/>
  <c r="C912" i="40"/>
  <c r="C911" i="40"/>
  <c r="C910" i="40"/>
  <c r="C909" i="40"/>
  <c r="C908" i="40"/>
  <c r="C907" i="40"/>
  <c r="C906" i="40"/>
  <c r="C905" i="40"/>
  <c r="C904" i="40"/>
  <c r="C903" i="40"/>
  <c r="C902" i="40"/>
  <c r="C901" i="40"/>
  <c r="C900" i="40"/>
  <c r="C899" i="40"/>
  <c r="C898" i="40"/>
  <c r="C897" i="40"/>
  <c r="C896" i="40"/>
  <c r="C895" i="40"/>
  <c r="C894" i="40"/>
  <c r="C893" i="40"/>
  <c r="C892" i="40"/>
  <c r="C891" i="40"/>
  <c r="C890" i="40"/>
  <c r="C889" i="40"/>
  <c r="C888" i="40"/>
  <c r="C887" i="40"/>
  <c r="C886" i="40"/>
  <c r="C885" i="40"/>
  <c r="C884" i="40"/>
  <c r="C883" i="40"/>
  <c r="C882" i="40"/>
  <c r="C881" i="40"/>
  <c r="C880" i="40"/>
  <c r="C879" i="40"/>
  <c r="C878" i="40"/>
  <c r="C877" i="40"/>
  <c r="C876" i="40"/>
  <c r="C875" i="40"/>
  <c r="C874" i="40"/>
  <c r="C873" i="40"/>
  <c r="C872" i="40"/>
  <c r="C871" i="40"/>
  <c r="C870" i="40"/>
  <c r="C869" i="40"/>
  <c r="C868" i="40"/>
  <c r="C867" i="40"/>
  <c r="C866" i="40"/>
  <c r="C865" i="40"/>
  <c r="C864" i="40"/>
  <c r="C863" i="40"/>
  <c r="C862" i="40"/>
  <c r="C861" i="40"/>
  <c r="C860" i="40"/>
  <c r="C859" i="40"/>
  <c r="C858" i="40"/>
  <c r="C857" i="40"/>
  <c r="C856" i="40"/>
  <c r="C855" i="40"/>
  <c r="C854" i="40"/>
  <c r="C853" i="40"/>
  <c r="C852" i="40"/>
  <c r="C851" i="40"/>
  <c r="C850" i="40"/>
  <c r="C849" i="40"/>
  <c r="C848" i="40"/>
  <c r="C847" i="40"/>
  <c r="C846" i="40"/>
  <c r="C845" i="40"/>
  <c r="C844" i="40"/>
  <c r="C843" i="40"/>
  <c r="C842" i="40"/>
  <c r="C841" i="40"/>
  <c r="C840" i="40"/>
  <c r="C839" i="40"/>
  <c r="C838" i="40"/>
  <c r="C837" i="40"/>
  <c r="C836" i="40"/>
  <c r="C835" i="40"/>
  <c r="C834" i="40"/>
  <c r="C833" i="40"/>
  <c r="C832" i="40"/>
  <c r="C831" i="40"/>
  <c r="C830" i="40"/>
  <c r="C829" i="40"/>
  <c r="C828" i="40"/>
  <c r="C827" i="40"/>
  <c r="C826" i="40"/>
  <c r="C825" i="40"/>
  <c r="C824" i="40"/>
  <c r="C823" i="40"/>
  <c r="C822" i="40"/>
  <c r="C821" i="40"/>
  <c r="C820" i="40"/>
  <c r="C819" i="40"/>
  <c r="C818" i="40"/>
  <c r="C817" i="40"/>
  <c r="C816" i="40"/>
  <c r="C815" i="40"/>
  <c r="C814" i="40"/>
  <c r="C813" i="40"/>
  <c r="C812" i="40"/>
  <c r="C811" i="40"/>
  <c r="C810" i="40"/>
  <c r="C809" i="40"/>
  <c r="C808" i="40"/>
  <c r="C807" i="40"/>
  <c r="C806" i="40"/>
  <c r="C805" i="40"/>
  <c r="C804" i="40"/>
  <c r="C803" i="40"/>
  <c r="C802" i="40"/>
  <c r="C801" i="40"/>
  <c r="C800" i="40"/>
  <c r="C799" i="40"/>
  <c r="C798" i="40"/>
  <c r="C797" i="40"/>
  <c r="C796" i="40"/>
  <c r="C795" i="40"/>
  <c r="C794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778" i="40"/>
  <c r="C777" i="40"/>
  <c r="C776" i="40"/>
  <c r="C775" i="40"/>
  <c r="C774" i="40"/>
  <c r="C773" i="40"/>
  <c r="C772" i="40"/>
  <c r="C771" i="40"/>
  <c r="C770" i="40"/>
  <c r="C769" i="40"/>
  <c r="C768" i="40"/>
  <c r="C767" i="40"/>
  <c r="C766" i="40"/>
  <c r="C765" i="40"/>
  <c r="C764" i="40"/>
  <c r="C763" i="40"/>
  <c r="C762" i="40"/>
  <c r="C761" i="40"/>
  <c r="C760" i="40"/>
  <c r="C759" i="40"/>
  <c r="C758" i="40"/>
  <c r="C757" i="40"/>
  <c r="C756" i="40"/>
  <c r="C755" i="40"/>
  <c r="C754" i="40"/>
  <c r="C753" i="40"/>
  <c r="C752" i="40"/>
  <c r="C751" i="40"/>
  <c r="C750" i="40"/>
  <c r="C749" i="40"/>
  <c r="C748" i="40"/>
  <c r="C747" i="40"/>
  <c r="C746" i="40"/>
  <c r="C745" i="40"/>
  <c r="C744" i="40"/>
  <c r="C743" i="40"/>
  <c r="C742" i="40"/>
  <c r="C741" i="40"/>
  <c r="C740" i="40"/>
  <c r="C739" i="40"/>
  <c r="C738" i="40"/>
  <c r="C737" i="40"/>
  <c r="C736" i="40"/>
  <c r="C735" i="40"/>
  <c r="C734" i="40"/>
  <c r="C733" i="40"/>
  <c r="C732" i="40"/>
  <c r="C731" i="40"/>
  <c r="C730" i="40"/>
  <c r="C729" i="40"/>
  <c r="C728" i="40"/>
  <c r="C727" i="40"/>
  <c r="C726" i="40"/>
  <c r="C725" i="40"/>
  <c r="C724" i="40"/>
  <c r="C723" i="40"/>
  <c r="C722" i="40"/>
  <c r="C721" i="40"/>
  <c r="C720" i="40"/>
  <c r="C719" i="40"/>
  <c r="C718" i="40"/>
  <c r="C717" i="40"/>
  <c r="C716" i="40"/>
  <c r="C715" i="40"/>
  <c r="C714" i="40"/>
  <c r="C713" i="40"/>
  <c r="C712" i="40"/>
  <c r="C711" i="40"/>
  <c r="C710" i="40"/>
  <c r="C709" i="40"/>
  <c r="C708" i="40"/>
  <c r="C707" i="40"/>
  <c r="C706" i="40"/>
  <c r="C705" i="40"/>
  <c r="C704" i="40"/>
  <c r="C703" i="40"/>
  <c r="C702" i="40"/>
  <c r="C701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688" i="40"/>
  <c r="C687" i="40"/>
  <c r="C686" i="40"/>
  <c r="C685" i="40"/>
  <c r="C684" i="40"/>
  <c r="C683" i="40"/>
  <c r="C682" i="40"/>
  <c r="C681" i="40"/>
  <c r="C680" i="40"/>
  <c r="C679" i="40"/>
  <c r="C678" i="40"/>
  <c r="C677" i="40"/>
  <c r="C676" i="40"/>
  <c r="C675" i="40"/>
  <c r="C674" i="40"/>
  <c r="C673" i="40"/>
  <c r="C672" i="40"/>
  <c r="C671" i="40"/>
  <c r="C670" i="40"/>
  <c r="C669" i="40"/>
  <c r="C668" i="40"/>
  <c r="C667" i="40"/>
  <c r="C666" i="40"/>
  <c r="C665" i="40"/>
  <c r="C664" i="40"/>
  <c r="C663" i="40"/>
  <c r="C662" i="40"/>
  <c r="C661" i="40"/>
  <c r="C660" i="40"/>
  <c r="C659" i="40"/>
  <c r="C658" i="40"/>
  <c r="C657" i="40"/>
  <c r="C656" i="40"/>
  <c r="C655" i="40"/>
  <c r="C654" i="40"/>
  <c r="C653" i="40"/>
  <c r="C652" i="40"/>
  <c r="C651" i="40"/>
  <c r="C650" i="40"/>
  <c r="C649" i="40"/>
  <c r="C648" i="40"/>
  <c r="C647" i="40"/>
  <c r="C646" i="40"/>
  <c r="C645" i="40"/>
  <c r="C644" i="40"/>
  <c r="C643" i="40"/>
  <c r="C642" i="40"/>
  <c r="C641" i="40"/>
  <c r="C640" i="40"/>
  <c r="C639" i="40"/>
  <c r="C638" i="40"/>
  <c r="C637" i="40"/>
  <c r="C636" i="40"/>
  <c r="C635" i="40"/>
  <c r="C634" i="40"/>
  <c r="C633" i="40"/>
  <c r="C632" i="40"/>
  <c r="C631" i="40"/>
  <c r="C630" i="40"/>
  <c r="C629" i="40"/>
  <c r="C628" i="40"/>
  <c r="C627" i="40"/>
  <c r="C626" i="40"/>
  <c r="C625" i="40"/>
  <c r="C624" i="40"/>
  <c r="C623" i="40"/>
  <c r="C622" i="40"/>
  <c r="C621" i="40"/>
  <c r="C620" i="40"/>
  <c r="C619" i="40"/>
  <c r="C618" i="40"/>
  <c r="C617" i="40"/>
  <c r="C616" i="40"/>
  <c r="C615" i="40"/>
  <c r="C614" i="40"/>
  <c r="C613" i="40"/>
  <c r="C612" i="40"/>
  <c r="C611" i="40"/>
  <c r="C610" i="40"/>
  <c r="C609" i="40"/>
  <c r="C608" i="40"/>
  <c r="C607" i="40"/>
  <c r="C606" i="40"/>
  <c r="C605" i="40"/>
  <c r="C604" i="40"/>
  <c r="C603" i="40"/>
  <c r="C602" i="40"/>
  <c r="C601" i="40"/>
  <c r="C600" i="40"/>
  <c r="C599" i="40"/>
  <c r="C598" i="40"/>
  <c r="C597" i="40"/>
  <c r="C596" i="40"/>
  <c r="C595" i="40"/>
  <c r="C594" i="40"/>
  <c r="C593" i="40"/>
  <c r="C592" i="40"/>
  <c r="C591" i="40"/>
  <c r="C590" i="40"/>
  <c r="C589" i="40"/>
  <c r="C588" i="40"/>
  <c r="C587" i="40"/>
  <c r="C586" i="40"/>
  <c r="C585" i="40"/>
  <c r="C584" i="40"/>
  <c r="C583" i="40"/>
  <c r="C582" i="40"/>
  <c r="C581" i="40"/>
  <c r="C580" i="40"/>
  <c r="C579" i="40"/>
  <c r="C578" i="40"/>
  <c r="C577" i="40"/>
  <c r="C576" i="40"/>
  <c r="C575" i="40"/>
  <c r="C574" i="40"/>
  <c r="C573" i="40"/>
  <c r="C572" i="40"/>
  <c r="C571" i="40"/>
  <c r="C570" i="40"/>
  <c r="C569" i="40"/>
  <c r="C568" i="40"/>
  <c r="C567" i="40"/>
  <c r="C566" i="40"/>
  <c r="C565" i="40"/>
  <c r="C564" i="40"/>
  <c r="C563" i="40"/>
  <c r="C562" i="40"/>
  <c r="C561" i="40"/>
  <c r="C560" i="40"/>
  <c r="C559" i="40"/>
  <c r="C558" i="40"/>
  <c r="C557" i="40"/>
  <c r="C556" i="40"/>
  <c r="C555" i="40"/>
  <c r="C554" i="40"/>
  <c r="C553" i="40"/>
  <c r="C552" i="40"/>
  <c r="C551" i="40"/>
  <c r="C550" i="40"/>
  <c r="C549" i="40"/>
  <c r="C548" i="40"/>
  <c r="C547" i="40"/>
  <c r="C546" i="40"/>
  <c r="C545" i="40"/>
  <c r="C544" i="40"/>
  <c r="C543" i="40"/>
  <c r="C542" i="40"/>
  <c r="C541" i="40"/>
  <c r="C540" i="40"/>
  <c r="C539" i="40"/>
  <c r="C538" i="40"/>
  <c r="C537" i="40"/>
  <c r="C536" i="40"/>
  <c r="C535" i="40"/>
  <c r="C534" i="40"/>
  <c r="C533" i="40"/>
  <c r="C532" i="40"/>
  <c r="C531" i="40"/>
  <c r="C530" i="40"/>
  <c r="C529" i="40"/>
  <c r="C528" i="40"/>
  <c r="C527" i="40"/>
  <c r="C526" i="40"/>
  <c r="C525" i="40"/>
  <c r="C524" i="40"/>
  <c r="C523" i="40"/>
  <c r="C522" i="40"/>
  <c r="C521" i="40"/>
  <c r="C520" i="40"/>
  <c r="C519" i="40"/>
  <c r="C518" i="40"/>
  <c r="C517" i="40"/>
  <c r="C516" i="40"/>
  <c r="C515" i="40"/>
  <c r="C514" i="40"/>
  <c r="C513" i="40"/>
  <c r="C512" i="40"/>
  <c r="C511" i="40"/>
  <c r="C510" i="40"/>
  <c r="C509" i="40"/>
  <c r="C508" i="40"/>
  <c r="C507" i="40"/>
  <c r="C506" i="40"/>
  <c r="C505" i="40"/>
  <c r="C504" i="40"/>
  <c r="C503" i="40"/>
  <c r="C502" i="40"/>
  <c r="C501" i="40"/>
  <c r="C500" i="40"/>
  <c r="C499" i="40"/>
  <c r="C498" i="40"/>
  <c r="C497" i="40"/>
  <c r="C496" i="40"/>
  <c r="C495" i="40"/>
  <c r="C494" i="40"/>
  <c r="C493" i="40"/>
  <c r="C492" i="40"/>
  <c r="C491" i="40"/>
  <c r="C490" i="40"/>
  <c r="C489" i="40"/>
  <c r="C488" i="40"/>
  <c r="C487" i="40"/>
  <c r="C486" i="40"/>
  <c r="C485" i="40"/>
  <c r="C484" i="40"/>
  <c r="C483" i="40"/>
  <c r="C482" i="40"/>
  <c r="C481" i="40"/>
  <c r="C480" i="40"/>
  <c r="C479" i="40"/>
  <c r="C478" i="40"/>
  <c r="C477" i="40"/>
  <c r="C476" i="40"/>
  <c r="C475" i="40"/>
  <c r="C474" i="40"/>
  <c r="C473" i="40"/>
  <c r="C472" i="40"/>
  <c r="C471" i="40"/>
  <c r="C470" i="40"/>
  <c r="C469" i="40"/>
  <c r="C468" i="40"/>
  <c r="C467" i="40"/>
  <c r="C466" i="40"/>
  <c r="C465" i="40"/>
  <c r="C464" i="40"/>
  <c r="C463" i="40"/>
  <c r="C462" i="40"/>
  <c r="C461" i="40"/>
  <c r="C460" i="40"/>
  <c r="C459" i="40"/>
  <c r="C458" i="40"/>
  <c r="C457" i="40"/>
  <c r="C456" i="40"/>
  <c r="C455" i="40"/>
  <c r="C454" i="40"/>
  <c r="C453" i="40"/>
  <c r="C452" i="40"/>
  <c r="C451" i="40"/>
  <c r="C450" i="40"/>
  <c r="C449" i="40"/>
  <c r="C448" i="40"/>
  <c r="C447" i="40"/>
  <c r="C446" i="40"/>
  <c r="C445" i="40"/>
  <c r="C444" i="40"/>
  <c r="C443" i="40"/>
  <c r="C442" i="40"/>
  <c r="C441" i="40"/>
  <c r="C440" i="40"/>
  <c r="C439" i="40"/>
  <c r="C438" i="40"/>
  <c r="C437" i="40"/>
  <c r="C436" i="40"/>
  <c r="C435" i="40"/>
  <c r="C434" i="40"/>
  <c r="C433" i="40"/>
  <c r="C432" i="40"/>
  <c r="C431" i="40"/>
  <c r="C430" i="40"/>
  <c r="C429" i="40"/>
  <c r="C428" i="40"/>
  <c r="C427" i="40"/>
  <c r="C426" i="40"/>
  <c r="C425" i="40"/>
  <c r="C424" i="40"/>
  <c r="C423" i="40"/>
  <c r="C422" i="40"/>
  <c r="C421" i="40"/>
  <c r="C420" i="40"/>
  <c r="C419" i="40"/>
  <c r="C418" i="40"/>
  <c r="C417" i="40"/>
  <c r="C416" i="40"/>
  <c r="C415" i="40"/>
  <c r="C414" i="40"/>
  <c r="C413" i="40"/>
  <c r="C412" i="40"/>
  <c r="C411" i="40"/>
  <c r="C410" i="40"/>
  <c r="C409" i="40"/>
  <c r="C408" i="40"/>
  <c r="C407" i="40"/>
  <c r="C406" i="40"/>
  <c r="C405" i="40"/>
  <c r="C404" i="40"/>
  <c r="C403" i="40"/>
  <c r="C402" i="40"/>
  <c r="C401" i="40"/>
  <c r="C400" i="40"/>
  <c r="C399" i="40"/>
  <c r="C398" i="40"/>
  <c r="C397" i="40"/>
  <c r="C396" i="40"/>
  <c r="C395" i="40"/>
  <c r="C394" i="40"/>
  <c r="C393" i="40"/>
  <c r="C392" i="40"/>
  <c r="C391" i="40"/>
  <c r="C390" i="40"/>
  <c r="C389" i="40"/>
  <c r="C388" i="40"/>
  <c r="C387" i="40"/>
  <c r="C386" i="40"/>
  <c r="C385" i="40"/>
  <c r="C384" i="40"/>
  <c r="C383" i="40"/>
  <c r="C382" i="40"/>
  <c r="C381" i="40"/>
  <c r="C380" i="40"/>
  <c r="C379" i="40"/>
  <c r="C378" i="40"/>
  <c r="C377" i="40"/>
  <c r="C376" i="40"/>
  <c r="C375" i="40"/>
  <c r="C374" i="40"/>
  <c r="C373" i="40"/>
  <c r="C372" i="40"/>
  <c r="C371" i="40"/>
  <c r="C370" i="40"/>
  <c r="C369" i="40"/>
  <c r="C368" i="40"/>
  <c r="C367" i="40"/>
  <c r="C366" i="40"/>
  <c r="C365" i="40"/>
  <c r="C364" i="40"/>
  <c r="C363" i="40"/>
  <c r="C362" i="40"/>
  <c r="C361" i="40"/>
  <c r="C360" i="40"/>
  <c r="C359" i="40"/>
  <c r="C358" i="40"/>
  <c r="C357" i="40"/>
  <c r="C356" i="40"/>
  <c r="C355" i="40"/>
  <c r="C354" i="40"/>
  <c r="C353" i="40"/>
  <c r="C352" i="40"/>
  <c r="C351" i="40"/>
  <c r="C350" i="40"/>
  <c r="C349" i="40"/>
  <c r="C348" i="40"/>
  <c r="C347" i="40"/>
  <c r="C346" i="40"/>
  <c r="C345" i="40"/>
  <c r="C344" i="40"/>
  <c r="C343" i="40"/>
  <c r="C342" i="40"/>
  <c r="C341" i="40"/>
  <c r="C340" i="40"/>
  <c r="C339" i="40"/>
  <c r="C338" i="40"/>
  <c r="C337" i="40"/>
  <c r="C336" i="40"/>
  <c r="C335" i="40"/>
  <c r="C334" i="40"/>
  <c r="C333" i="40"/>
  <c r="C332" i="40"/>
  <c r="C331" i="40"/>
  <c r="C330" i="40"/>
  <c r="C329" i="40"/>
  <c r="C328" i="40"/>
  <c r="C327" i="40"/>
  <c r="C326" i="40"/>
  <c r="C325" i="40"/>
  <c r="C324" i="40"/>
  <c r="C323" i="40"/>
  <c r="C322" i="40"/>
  <c r="C321" i="40"/>
  <c r="C320" i="40"/>
  <c r="C319" i="40"/>
  <c r="C318" i="40"/>
  <c r="C317" i="40"/>
  <c r="C316" i="40"/>
  <c r="C315" i="40"/>
  <c r="C314" i="40"/>
  <c r="C313" i="40"/>
  <c r="C312" i="40"/>
  <c r="C311" i="40"/>
  <c r="C310" i="40"/>
  <c r="C309" i="40"/>
  <c r="C308" i="40"/>
  <c r="C307" i="40"/>
  <c r="C306" i="40"/>
  <c r="C305" i="40"/>
  <c r="C304" i="40"/>
  <c r="C303" i="40"/>
  <c r="C302" i="40"/>
  <c r="C301" i="40"/>
  <c r="C300" i="40"/>
  <c r="C299" i="40"/>
  <c r="C298" i="40"/>
  <c r="C297" i="40"/>
  <c r="C296" i="40"/>
  <c r="C295" i="40"/>
  <c r="C294" i="40"/>
  <c r="C293" i="40"/>
  <c r="C292" i="40"/>
  <c r="C291" i="40"/>
  <c r="C290" i="40"/>
  <c r="C289" i="40"/>
  <c r="C288" i="40"/>
  <c r="C287" i="40"/>
  <c r="C286" i="40"/>
  <c r="C285" i="40"/>
  <c r="C284" i="40"/>
  <c r="C283" i="40"/>
  <c r="C282" i="40"/>
  <c r="C281" i="40"/>
  <c r="C280" i="40"/>
  <c r="C279" i="40"/>
  <c r="C278" i="40"/>
  <c r="C277" i="40"/>
  <c r="C276" i="40"/>
  <c r="C275" i="40"/>
  <c r="C274" i="40"/>
  <c r="C273" i="40"/>
  <c r="C272" i="40"/>
  <c r="C271" i="40"/>
  <c r="C270" i="40"/>
  <c r="C269" i="40"/>
  <c r="C268" i="40"/>
  <c r="C267" i="40"/>
  <c r="C266" i="40"/>
  <c r="C265" i="40"/>
  <c r="C264" i="40"/>
  <c r="C263" i="40"/>
  <c r="C262" i="40"/>
  <c r="C261" i="40"/>
  <c r="C260" i="40"/>
  <c r="C25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245" i="40"/>
  <c r="C244" i="40"/>
  <c r="C243" i="40"/>
  <c r="C242" i="40"/>
  <c r="C241" i="40"/>
  <c r="C240" i="40"/>
  <c r="C239" i="40"/>
  <c r="C238" i="40"/>
  <c r="C237" i="40"/>
  <c r="C236" i="40"/>
  <c r="C235" i="40"/>
  <c r="C234" i="40"/>
  <c r="C233" i="40"/>
  <c r="C232" i="40"/>
  <c r="C231" i="40"/>
  <c r="C230" i="40"/>
  <c r="C229" i="40"/>
  <c r="C228" i="40"/>
  <c r="C227" i="40"/>
  <c r="C226" i="40"/>
  <c r="C225" i="40"/>
  <c r="C224" i="40"/>
  <c r="C223" i="40"/>
  <c r="C222" i="40"/>
  <c r="C221" i="40"/>
  <c r="C220" i="40"/>
  <c r="C219" i="40"/>
  <c r="C218" i="40"/>
  <c r="C217" i="40"/>
  <c r="C216" i="40"/>
  <c r="C215" i="40"/>
  <c r="C214" i="40"/>
  <c r="C213" i="40"/>
  <c r="C212" i="40"/>
  <c r="C211" i="40"/>
  <c r="C210" i="40"/>
  <c r="C209" i="40"/>
  <c r="C208" i="40"/>
  <c r="C207" i="40"/>
  <c r="C206" i="40"/>
  <c r="C205" i="40"/>
  <c r="C204" i="40"/>
  <c r="C203" i="40"/>
  <c r="C202" i="40"/>
  <c r="C201" i="40"/>
  <c r="C200" i="40"/>
  <c r="C199" i="40"/>
  <c r="C198" i="40"/>
  <c r="C197" i="40"/>
  <c r="C196" i="40"/>
  <c r="C195" i="40"/>
  <c r="C194" i="40"/>
  <c r="C193" i="40"/>
  <c r="C192" i="40"/>
  <c r="C191" i="40"/>
  <c r="C190" i="40"/>
  <c r="C189" i="40"/>
  <c r="C188" i="40"/>
  <c r="C187" i="40"/>
  <c r="C186" i="40"/>
  <c r="C185" i="40"/>
  <c r="C184" i="40"/>
  <c r="C183" i="40"/>
  <c r="C182" i="40"/>
  <c r="C181" i="40"/>
  <c r="C180" i="40"/>
  <c r="C179" i="40"/>
  <c r="C178" i="40"/>
  <c r="C177" i="40"/>
  <c r="C176" i="40"/>
  <c r="C175" i="40"/>
  <c r="C174" i="40"/>
  <c r="C173" i="40"/>
  <c r="C172" i="40"/>
  <c r="C171" i="40"/>
  <c r="C170" i="40"/>
  <c r="C169" i="40"/>
  <c r="C168" i="40"/>
  <c r="C167" i="40"/>
  <c r="C166" i="40"/>
  <c r="C165" i="40"/>
  <c r="C164" i="40"/>
  <c r="C163" i="40"/>
  <c r="C162" i="40"/>
  <c r="C161" i="40"/>
  <c r="C160" i="40"/>
  <c r="C159" i="40"/>
  <c r="C158" i="40"/>
  <c r="C157" i="40"/>
  <c r="C156" i="40"/>
  <c r="C155" i="40"/>
  <c r="C154" i="40"/>
  <c r="C153" i="40"/>
  <c r="C152" i="40"/>
  <c r="C151" i="40"/>
  <c r="C150" i="40"/>
  <c r="C149" i="40"/>
  <c r="C148" i="40"/>
  <c r="C147" i="40"/>
  <c r="C146" i="40"/>
  <c r="C145" i="40"/>
  <c r="C144" i="40"/>
  <c r="C143" i="40"/>
  <c r="C142" i="40"/>
  <c r="C141" i="40"/>
  <c r="C140" i="40"/>
  <c r="C139" i="40"/>
  <c r="C138" i="40"/>
  <c r="C137" i="40"/>
  <c r="C136" i="40"/>
  <c r="C135" i="40"/>
  <c r="C134" i="40"/>
  <c r="C133" i="40"/>
  <c r="C132" i="40"/>
  <c r="C131" i="40"/>
  <c r="C130" i="40"/>
  <c r="C129" i="40"/>
  <c r="C128" i="40"/>
  <c r="C127" i="40"/>
  <c r="C126" i="40"/>
  <c r="C125" i="40"/>
  <c r="C124" i="40"/>
  <c r="C123" i="40"/>
  <c r="C122" i="40"/>
  <c r="C121" i="40"/>
  <c r="C120" i="40"/>
  <c r="C119" i="40"/>
  <c r="C118" i="40"/>
  <c r="C117" i="40"/>
  <c r="C116" i="40"/>
  <c r="C115" i="40"/>
  <c r="C114" i="40"/>
  <c r="C113" i="40"/>
  <c r="C112" i="40"/>
  <c r="C111" i="40"/>
  <c r="C110" i="40"/>
  <c r="C109" i="40"/>
  <c r="C108" i="40"/>
  <c r="C107" i="40"/>
  <c r="C106" i="40"/>
  <c r="C105" i="40"/>
  <c r="C104" i="40"/>
  <c r="C103" i="40"/>
  <c r="C102" i="40"/>
  <c r="C101" i="40"/>
  <c r="C100" i="40"/>
  <c r="C99" i="40"/>
  <c r="C98" i="40"/>
  <c r="C97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153" i="40"/>
  <c r="B154" i="40"/>
  <c r="B155" i="40"/>
  <c r="B156" i="40"/>
  <c r="B157" i="40"/>
  <c r="B158" i="40"/>
  <c r="B159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B173" i="40"/>
  <c r="B174" i="40"/>
  <c r="B175" i="40"/>
  <c r="B176" i="40"/>
  <c r="B177" i="40"/>
  <c r="B178" i="40"/>
  <c r="B179" i="40"/>
  <c r="B180" i="40"/>
  <c r="B181" i="40"/>
  <c r="B182" i="40"/>
  <c r="B183" i="40"/>
  <c r="B184" i="40"/>
  <c r="B185" i="40"/>
  <c r="B186" i="40"/>
  <c r="B187" i="40"/>
  <c r="B188" i="40"/>
  <c r="B189" i="40"/>
  <c r="B190" i="40"/>
  <c r="B191" i="40"/>
  <c r="B192" i="40"/>
  <c r="B193" i="40"/>
  <c r="B194" i="40"/>
  <c r="B195" i="40"/>
  <c r="B196" i="40"/>
  <c r="B197" i="40"/>
  <c r="B198" i="40"/>
  <c r="B199" i="40"/>
  <c r="B200" i="40"/>
  <c r="B201" i="40"/>
  <c r="B202" i="40"/>
  <c r="B203" i="40"/>
  <c r="B204" i="40"/>
  <c r="B205" i="40"/>
  <c r="B206" i="40"/>
  <c r="B207" i="40"/>
  <c r="B208" i="40"/>
  <c r="B209" i="40"/>
  <c r="B210" i="40"/>
  <c r="B211" i="40"/>
  <c r="B212" i="40"/>
  <c r="B213" i="40"/>
  <c r="B214" i="40"/>
  <c r="B215" i="40"/>
  <c r="B216" i="40"/>
  <c r="B217" i="40"/>
  <c r="B218" i="40"/>
  <c r="B219" i="40"/>
  <c r="B220" i="40"/>
  <c r="B221" i="40"/>
  <c r="B222" i="40"/>
  <c r="B223" i="40"/>
  <c r="B224" i="40"/>
  <c r="B225" i="40"/>
  <c r="B226" i="40"/>
  <c r="B227" i="40"/>
  <c r="B228" i="40"/>
  <c r="B229" i="40"/>
  <c r="B230" i="40"/>
  <c r="B231" i="40"/>
  <c r="B232" i="40"/>
  <c r="B233" i="40"/>
  <c r="B234" i="40"/>
  <c r="B235" i="40"/>
  <c r="B236" i="40"/>
  <c r="B237" i="40"/>
  <c r="B238" i="40"/>
  <c r="B239" i="40"/>
  <c r="B240" i="40"/>
  <c r="B241" i="40"/>
  <c r="B242" i="40"/>
  <c r="B243" i="40"/>
  <c r="B244" i="40"/>
  <c r="B245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259" i="40"/>
  <c r="B260" i="40"/>
  <c r="B261" i="40"/>
  <c r="B262" i="40"/>
  <c r="B263" i="40"/>
  <c r="B264" i="40"/>
  <c r="B265" i="40"/>
  <c r="B266" i="40"/>
  <c r="B267" i="40"/>
  <c r="B268" i="40"/>
  <c r="B269" i="40"/>
  <c r="B270" i="40"/>
  <c r="B271" i="40"/>
  <c r="B272" i="40"/>
  <c r="B273" i="40"/>
  <c r="B274" i="40"/>
  <c r="B275" i="40"/>
  <c r="B276" i="40"/>
  <c r="B277" i="40"/>
  <c r="B278" i="40"/>
  <c r="B279" i="40"/>
  <c r="B280" i="40"/>
  <c r="B281" i="40"/>
  <c r="B282" i="40"/>
  <c r="B283" i="40"/>
  <c r="B284" i="40"/>
  <c r="B285" i="40"/>
  <c r="B286" i="40"/>
  <c r="B287" i="40"/>
  <c r="B288" i="40"/>
  <c r="B289" i="40"/>
  <c r="B290" i="40"/>
  <c r="B291" i="40"/>
  <c r="B292" i="40"/>
  <c r="B293" i="40"/>
  <c r="B294" i="40"/>
  <c r="B295" i="40"/>
  <c r="B296" i="40"/>
  <c r="B297" i="40"/>
  <c r="B298" i="40"/>
  <c r="B299" i="40"/>
  <c r="B300" i="40"/>
  <c r="B301" i="40"/>
  <c r="B302" i="40"/>
  <c r="B303" i="40"/>
  <c r="B304" i="40"/>
  <c r="B305" i="40"/>
  <c r="B306" i="40"/>
  <c r="B307" i="40"/>
  <c r="B308" i="40"/>
  <c r="B309" i="40"/>
  <c r="B310" i="40"/>
  <c r="B311" i="40"/>
  <c r="B312" i="40"/>
  <c r="B313" i="40"/>
  <c r="B314" i="40"/>
  <c r="B315" i="40"/>
  <c r="B316" i="40"/>
  <c r="B317" i="40"/>
  <c r="B318" i="40"/>
  <c r="B319" i="40"/>
  <c r="B320" i="40"/>
  <c r="B321" i="40"/>
  <c r="B322" i="40"/>
  <c r="B323" i="40"/>
  <c r="B324" i="40"/>
  <c r="B325" i="40"/>
  <c r="B326" i="40"/>
  <c r="B327" i="40"/>
  <c r="B328" i="40"/>
  <c r="B329" i="40"/>
  <c r="B330" i="40"/>
  <c r="B331" i="40"/>
  <c r="B332" i="40"/>
  <c r="B333" i="40"/>
  <c r="B334" i="40"/>
  <c r="B335" i="40"/>
  <c r="B336" i="40"/>
  <c r="B337" i="40"/>
  <c r="B338" i="40"/>
  <c r="B339" i="40"/>
  <c r="B340" i="40"/>
  <c r="B341" i="40"/>
  <c r="B342" i="40"/>
  <c r="B343" i="40"/>
  <c r="B344" i="40"/>
  <c r="B345" i="40"/>
  <c r="B346" i="40"/>
  <c r="B347" i="40"/>
  <c r="B348" i="40"/>
  <c r="B349" i="40"/>
  <c r="B350" i="40"/>
  <c r="B351" i="40"/>
  <c r="B352" i="40"/>
  <c r="B353" i="40"/>
  <c r="B354" i="40"/>
  <c r="B355" i="40"/>
  <c r="B356" i="40"/>
  <c r="B357" i="40"/>
  <c r="B358" i="40"/>
  <c r="B359" i="40"/>
  <c r="B360" i="40"/>
  <c r="B361" i="40"/>
  <c r="B362" i="40"/>
  <c r="B363" i="40"/>
  <c r="B364" i="40"/>
  <c r="B365" i="40"/>
  <c r="B366" i="40"/>
  <c r="B367" i="40"/>
  <c r="B368" i="40"/>
  <c r="B369" i="40"/>
  <c r="B370" i="40"/>
  <c r="B371" i="40"/>
  <c r="B372" i="40"/>
  <c r="B373" i="40"/>
  <c r="B374" i="40"/>
  <c r="B375" i="40"/>
  <c r="B376" i="40"/>
  <c r="B377" i="40"/>
  <c r="B378" i="40"/>
  <c r="B379" i="40"/>
  <c r="B380" i="40"/>
  <c r="B381" i="40"/>
  <c r="B382" i="40"/>
  <c r="B383" i="40"/>
  <c r="B384" i="40"/>
  <c r="B385" i="40"/>
  <c r="B386" i="40"/>
  <c r="B387" i="40"/>
  <c r="B388" i="40"/>
  <c r="B389" i="40"/>
  <c r="B390" i="40"/>
  <c r="B391" i="40"/>
  <c r="B392" i="40"/>
  <c r="B393" i="40"/>
  <c r="B394" i="40"/>
  <c r="B395" i="40"/>
  <c r="B396" i="40"/>
  <c r="B397" i="40"/>
  <c r="B398" i="40"/>
  <c r="B399" i="40"/>
  <c r="B400" i="40"/>
  <c r="B401" i="40"/>
  <c r="B402" i="40"/>
  <c r="B403" i="40"/>
  <c r="B404" i="40"/>
  <c r="B405" i="40"/>
  <c r="B406" i="40"/>
  <c r="B407" i="40"/>
  <c r="B408" i="40"/>
  <c r="B409" i="40"/>
  <c r="B410" i="40"/>
  <c r="B411" i="40"/>
  <c r="B412" i="40"/>
  <c r="B413" i="40"/>
  <c r="B414" i="40"/>
  <c r="B415" i="40"/>
  <c r="B416" i="40"/>
  <c r="B417" i="40"/>
  <c r="B418" i="40"/>
  <c r="B419" i="40"/>
  <c r="B420" i="40"/>
  <c r="B421" i="40"/>
  <c r="B422" i="40"/>
  <c r="B423" i="40"/>
  <c r="B424" i="40"/>
  <c r="B425" i="40"/>
  <c r="B426" i="40"/>
  <c r="B427" i="40"/>
  <c r="B428" i="40"/>
  <c r="B429" i="40"/>
  <c r="B430" i="40"/>
  <c r="B431" i="40"/>
  <c r="B432" i="40"/>
  <c r="B433" i="40"/>
  <c r="B434" i="40"/>
  <c r="B435" i="40"/>
  <c r="B436" i="40"/>
  <c r="B437" i="40"/>
  <c r="B438" i="40"/>
  <c r="B439" i="40"/>
  <c r="B440" i="40"/>
  <c r="B441" i="40"/>
  <c r="B442" i="40"/>
  <c r="B443" i="40"/>
  <c r="B444" i="40"/>
  <c r="B445" i="40"/>
  <c r="B446" i="40"/>
  <c r="B447" i="40"/>
  <c r="B448" i="40"/>
  <c r="B449" i="40"/>
  <c r="B450" i="40"/>
  <c r="B451" i="40"/>
  <c r="B452" i="40"/>
  <c r="B453" i="40"/>
  <c r="B454" i="40"/>
  <c r="B455" i="40"/>
  <c r="B456" i="40"/>
  <c r="B457" i="40"/>
  <c r="B458" i="40"/>
  <c r="B459" i="40"/>
  <c r="B460" i="40"/>
  <c r="B461" i="40"/>
  <c r="B462" i="40"/>
  <c r="B463" i="40"/>
  <c r="B464" i="40"/>
  <c r="B465" i="40"/>
  <c r="B466" i="40"/>
  <c r="B467" i="40"/>
  <c r="B468" i="40"/>
  <c r="B469" i="40"/>
  <c r="B470" i="40"/>
  <c r="B471" i="40"/>
  <c r="B472" i="40"/>
  <c r="B473" i="40"/>
  <c r="B474" i="40"/>
  <c r="B475" i="40"/>
  <c r="B476" i="40"/>
  <c r="B477" i="40"/>
  <c r="B478" i="40"/>
  <c r="B479" i="40"/>
  <c r="B480" i="40"/>
  <c r="B481" i="40"/>
  <c r="B482" i="40"/>
  <c r="B483" i="40"/>
  <c r="B484" i="40"/>
  <c r="B485" i="40"/>
  <c r="B486" i="40"/>
  <c r="B487" i="40"/>
  <c r="B488" i="40"/>
  <c r="B489" i="40"/>
  <c r="B490" i="40"/>
  <c r="B491" i="40"/>
  <c r="B492" i="40"/>
  <c r="B493" i="40"/>
  <c r="B494" i="40"/>
  <c r="B495" i="40"/>
  <c r="B496" i="40"/>
  <c r="B497" i="40"/>
  <c r="B498" i="40"/>
  <c r="B499" i="40"/>
  <c r="B500" i="40"/>
  <c r="B501" i="40"/>
  <c r="B502" i="40"/>
  <c r="B503" i="40"/>
  <c r="B504" i="40"/>
  <c r="B505" i="40"/>
  <c r="B506" i="40"/>
  <c r="B507" i="40"/>
  <c r="B508" i="40"/>
  <c r="B509" i="40"/>
  <c r="B510" i="40"/>
  <c r="B511" i="40"/>
  <c r="B512" i="40"/>
  <c r="B513" i="40"/>
  <c r="B514" i="40"/>
  <c r="B515" i="40"/>
  <c r="B516" i="40"/>
  <c r="B517" i="40"/>
  <c r="B518" i="40"/>
  <c r="B519" i="40"/>
  <c r="B520" i="40"/>
  <c r="B521" i="40"/>
  <c r="B522" i="40"/>
  <c r="B523" i="40"/>
  <c r="B524" i="40"/>
  <c r="B525" i="40"/>
  <c r="B526" i="40"/>
  <c r="B527" i="40"/>
  <c r="B528" i="40"/>
  <c r="B529" i="40"/>
  <c r="B530" i="40"/>
  <c r="B531" i="40"/>
  <c r="B532" i="40"/>
  <c r="B533" i="40"/>
  <c r="B534" i="40"/>
  <c r="B535" i="40"/>
  <c r="B536" i="40"/>
  <c r="B537" i="40"/>
  <c r="B538" i="40"/>
  <c r="B539" i="40"/>
  <c r="B540" i="40"/>
  <c r="B541" i="40"/>
  <c r="B542" i="40"/>
  <c r="B543" i="40"/>
  <c r="B544" i="40"/>
  <c r="B545" i="40"/>
  <c r="B546" i="40"/>
  <c r="B547" i="40"/>
  <c r="B548" i="40"/>
  <c r="B549" i="40"/>
  <c r="B550" i="40"/>
  <c r="B551" i="40"/>
  <c r="B552" i="40"/>
  <c r="B553" i="40"/>
  <c r="B554" i="40"/>
  <c r="B555" i="40"/>
  <c r="B556" i="40"/>
  <c r="B557" i="40"/>
  <c r="B558" i="40"/>
  <c r="B559" i="40"/>
  <c r="B560" i="40"/>
  <c r="B561" i="40"/>
  <c r="B562" i="40"/>
  <c r="B563" i="40"/>
  <c r="B564" i="40"/>
  <c r="B565" i="40"/>
  <c r="B566" i="40"/>
  <c r="B567" i="40"/>
  <c r="B568" i="40"/>
  <c r="B569" i="40"/>
  <c r="B570" i="40"/>
  <c r="B571" i="40"/>
  <c r="B572" i="40"/>
  <c r="B573" i="40"/>
  <c r="B574" i="40"/>
  <c r="B575" i="40"/>
  <c r="B576" i="40"/>
  <c r="B577" i="40"/>
  <c r="B578" i="40"/>
  <c r="B579" i="40"/>
  <c r="B580" i="40"/>
  <c r="B581" i="40"/>
  <c r="B582" i="40"/>
  <c r="B583" i="40"/>
  <c r="B584" i="40"/>
  <c r="B585" i="40"/>
  <c r="B586" i="40"/>
  <c r="B587" i="40"/>
  <c r="B588" i="40"/>
  <c r="B589" i="40"/>
  <c r="B590" i="40"/>
  <c r="B591" i="40"/>
  <c r="B592" i="40"/>
  <c r="B593" i="40"/>
  <c r="B594" i="40"/>
  <c r="B595" i="40"/>
  <c r="B596" i="40"/>
  <c r="B597" i="40"/>
  <c r="B598" i="40"/>
  <c r="B599" i="40"/>
  <c r="B600" i="40"/>
  <c r="B601" i="40"/>
  <c r="B602" i="40"/>
  <c r="B603" i="40"/>
  <c r="B604" i="40"/>
  <c r="B605" i="40"/>
  <c r="B606" i="40"/>
  <c r="B607" i="40"/>
  <c r="B608" i="40"/>
  <c r="B609" i="40"/>
  <c r="B610" i="40"/>
  <c r="B611" i="40"/>
  <c r="B612" i="40"/>
  <c r="B613" i="40"/>
  <c r="B614" i="40"/>
  <c r="B615" i="40"/>
  <c r="B616" i="40"/>
  <c r="B617" i="40"/>
  <c r="B618" i="40"/>
  <c r="B619" i="40"/>
  <c r="B620" i="40"/>
  <c r="B621" i="40"/>
  <c r="B622" i="40"/>
  <c r="B623" i="40"/>
  <c r="B624" i="40"/>
  <c r="B625" i="40"/>
  <c r="B626" i="40"/>
  <c r="B627" i="40"/>
  <c r="B628" i="40"/>
  <c r="B629" i="40"/>
  <c r="B630" i="40"/>
  <c r="B631" i="40"/>
  <c r="B632" i="40"/>
  <c r="B633" i="40"/>
  <c r="B634" i="40"/>
  <c r="B635" i="40"/>
  <c r="B636" i="40"/>
  <c r="B637" i="40"/>
  <c r="B638" i="40"/>
  <c r="B639" i="40"/>
  <c r="B640" i="40"/>
  <c r="B641" i="40"/>
  <c r="B642" i="40"/>
  <c r="B643" i="40"/>
  <c r="B644" i="40"/>
  <c r="B645" i="40"/>
  <c r="B646" i="40"/>
  <c r="B647" i="40"/>
  <c r="B648" i="40"/>
  <c r="B649" i="40"/>
  <c r="B650" i="40"/>
  <c r="B651" i="40"/>
  <c r="B652" i="40"/>
  <c r="B653" i="40"/>
  <c r="B654" i="40"/>
  <c r="B655" i="40"/>
  <c r="B656" i="40"/>
  <c r="B657" i="40"/>
  <c r="B658" i="40"/>
  <c r="B659" i="40"/>
  <c r="B660" i="40"/>
  <c r="B661" i="40"/>
  <c r="B662" i="40"/>
  <c r="B663" i="40"/>
  <c r="B664" i="40"/>
  <c r="B665" i="40"/>
  <c r="B666" i="40"/>
  <c r="B667" i="40"/>
  <c r="B668" i="40"/>
  <c r="B669" i="40"/>
  <c r="B670" i="40"/>
  <c r="B671" i="40"/>
  <c r="B672" i="40"/>
  <c r="B673" i="40"/>
  <c r="B674" i="40"/>
  <c r="B675" i="40"/>
  <c r="B676" i="40"/>
  <c r="B677" i="40"/>
  <c r="B678" i="40"/>
  <c r="B679" i="40"/>
  <c r="B680" i="40"/>
  <c r="B681" i="40"/>
  <c r="B682" i="40"/>
  <c r="B683" i="40"/>
  <c r="B684" i="40"/>
  <c r="B685" i="40"/>
  <c r="B686" i="40"/>
  <c r="B687" i="40"/>
  <c r="B688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701" i="40"/>
  <c r="B702" i="40"/>
  <c r="B703" i="40"/>
  <c r="B704" i="40"/>
  <c r="B705" i="40"/>
  <c r="B706" i="40"/>
  <c r="B707" i="40"/>
  <c r="B708" i="40"/>
  <c r="B709" i="40"/>
  <c r="B710" i="40"/>
  <c r="B711" i="40"/>
  <c r="B712" i="40"/>
  <c r="B713" i="40"/>
  <c r="B714" i="40"/>
  <c r="B715" i="40"/>
  <c r="B716" i="40"/>
  <c r="B717" i="40"/>
  <c r="B718" i="40"/>
  <c r="B719" i="40"/>
  <c r="B720" i="40"/>
  <c r="B721" i="40"/>
  <c r="B722" i="40"/>
  <c r="B723" i="40"/>
  <c r="B724" i="40"/>
  <c r="B725" i="40"/>
  <c r="B726" i="40"/>
  <c r="B727" i="40"/>
  <c r="B728" i="40"/>
  <c r="B729" i="40"/>
  <c r="B730" i="40"/>
  <c r="B731" i="40"/>
  <c r="B732" i="40"/>
  <c r="B733" i="40"/>
  <c r="B734" i="40"/>
  <c r="B735" i="40"/>
  <c r="B736" i="40"/>
  <c r="B737" i="40"/>
  <c r="B738" i="40"/>
  <c r="B739" i="40"/>
  <c r="B740" i="40"/>
  <c r="B741" i="40"/>
  <c r="B742" i="40"/>
  <c r="B743" i="40"/>
  <c r="B744" i="40"/>
  <c r="B745" i="40"/>
  <c r="B746" i="40"/>
  <c r="B747" i="40"/>
  <c r="B748" i="40"/>
  <c r="B749" i="40"/>
  <c r="B750" i="40"/>
  <c r="B751" i="40"/>
  <c r="B752" i="40"/>
  <c r="B753" i="40"/>
  <c r="B754" i="40"/>
  <c r="B755" i="40"/>
  <c r="B756" i="40"/>
  <c r="B757" i="40"/>
  <c r="B758" i="40"/>
  <c r="B759" i="40"/>
  <c r="B760" i="40"/>
  <c r="B761" i="40"/>
  <c r="B762" i="40"/>
  <c r="B763" i="40"/>
  <c r="B764" i="40"/>
  <c r="B765" i="40"/>
  <c r="B766" i="40"/>
  <c r="B767" i="40"/>
  <c r="B768" i="40"/>
  <c r="B769" i="40"/>
  <c r="B770" i="40"/>
  <c r="B771" i="40"/>
  <c r="B772" i="40"/>
  <c r="B773" i="40"/>
  <c r="B774" i="40"/>
  <c r="B775" i="40"/>
  <c r="B776" i="40"/>
  <c r="B777" i="40"/>
  <c r="B778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794" i="40"/>
  <c r="B795" i="40"/>
  <c r="B796" i="40"/>
  <c r="B797" i="40"/>
  <c r="B798" i="40"/>
  <c r="B799" i="40"/>
  <c r="B800" i="40"/>
  <c r="B801" i="40"/>
  <c r="B802" i="40"/>
  <c r="B803" i="40"/>
  <c r="B804" i="40"/>
  <c r="B805" i="40"/>
  <c r="B806" i="40"/>
  <c r="C31" i="31" s="1"/>
  <c r="B807" i="40"/>
  <c r="B808" i="40"/>
  <c r="B809" i="40"/>
  <c r="B810" i="40"/>
  <c r="B811" i="40"/>
  <c r="B812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829" i="40"/>
  <c r="B830" i="40"/>
  <c r="B831" i="40"/>
  <c r="B832" i="40"/>
  <c r="B833" i="40"/>
  <c r="B834" i="40"/>
  <c r="B835" i="40"/>
  <c r="B836" i="40"/>
  <c r="B837" i="40"/>
  <c r="B838" i="40"/>
  <c r="B839" i="40"/>
  <c r="B840" i="40"/>
  <c r="B841" i="40"/>
  <c r="B842" i="40"/>
  <c r="B843" i="40"/>
  <c r="B844" i="40"/>
  <c r="B845" i="40"/>
  <c r="B846" i="40"/>
  <c r="B847" i="40"/>
  <c r="B848" i="40"/>
  <c r="B849" i="40"/>
  <c r="B850" i="40"/>
  <c r="B851" i="40"/>
  <c r="B852" i="40"/>
  <c r="B853" i="40"/>
  <c r="B854" i="40"/>
  <c r="B855" i="40"/>
  <c r="B856" i="40"/>
  <c r="B857" i="40"/>
  <c r="B858" i="40"/>
  <c r="B859" i="40"/>
  <c r="B860" i="40"/>
  <c r="B861" i="40"/>
  <c r="B862" i="40"/>
  <c r="B863" i="40"/>
  <c r="B864" i="40"/>
  <c r="B865" i="40"/>
  <c r="B866" i="40"/>
  <c r="B867" i="40"/>
  <c r="B868" i="40"/>
  <c r="B869" i="40"/>
  <c r="B870" i="40"/>
  <c r="B871" i="40"/>
  <c r="B872" i="40"/>
  <c r="B873" i="40"/>
  <c r="B874" i="40"/>
  <c r="B875" i="40"/>
  <c r="B876" i="40"/>
  <c r="B877" i="40"/>
  <c r="B878" i="40"/>
  <c r="B879" i="40"/>
  <c r="B880" i="40"/>
  <c r="B881" i="40"/>
  <c r="B882" i="40"/>
  <c r="B883" i="40"/>
  <c r="B884" i="40"/>
  <c r="B885" i="40"/>
  <c r="B886" i="40"/>
  <c r="B887" i="40"/>
  <c r="B888" i="40"/>
  <c r="B889" i="40"/>
  <c r="B890" i="40"/>
  <c r="B891" i="40"/>
  <c r="B892" i="40"/>
  <c r="B893" i="40"/>
  <c r="B894" i="40"/>
  <c r="B895" i="40"/>
  <c r="B896" i="40"/>
  <c r="B897" i="40"/>
  <c r="B898" i="40"/>
  <c r="B899" i="40"/>
  <c r="B900" i="40"/>
  <c r="B901" i="40"/>
  <c r="B902" i="40"/>
  <c r="B903" i="40"/>
  <c r="B904" i="40"/>
  <c r="B905" i="40"/>
  <c r="B906" i="40"/>
  <c r="B907" i="40"/>
  <c r="B908" i="40"/>
  <c r="B909" i="40"/>
  <c r="B910" i="40"/>
  <c r="B911" i="40"/>
  <c r="B912" i="40"/>
  <c r="B913" i="40"/>
  <c r="B914" i="40"/>
  <c r="B915" i="40"/>
  <c r="B916" i="40"/>
  <c r="B917" i="40"/>
  <c r="B918" i="40"/>
  <c r="B919" i="40"/>
  <c r="B920" i="40"/>
  <c r="B921" i="40"/>
  <c r="B922" i="40"/>
  <c r="B923" i="40"/>
  <c r="B924" i="40"/>
  <c r="B925" i="40"/>
  <c r="B926" i="40"/>
  <c r="B927" i="40"/>
  <c r="B928" i="40"/>
  <c r="B929" i="40"/>
  <c r="B930" i="40"/>
  <c r="B931" i="40"/>
  <c r="B932" i="40"/>
  <c r="B933" i="40"/>
  <c r="B934" i="40"/>
  <c r="B935" i="40"/>
  <c r="B936" i="40"/>
  <c r="B937" i="40"/>
  <c r="B938" i="40"/>
  <c r="B939" i="40"/>
  <c r="B940" i="40"/>
  <c r="B941" i="40"/>
  <c r="B942" i="40"/>
  <c r="B943" i="40"/>
  <c r="B944" i="40"/>
  <c r="B945" i="40"/>
  <c r="B946" i="40"/>
  <c r="B947" i="40"/>
  <c r="B948" i="40"/>
  <c r="B949" i="40"/>
  <c r="B950" i="40"/>
  <c r="B951" i="40"/>
  <c r="B952" i="40"/>
  <c r="B953" i="40"/>
  <c r="B954" i="40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B978" i="40"/>
  <c r="B979" i="40"/>
  <c r="B980" i="40"/>
  <c r="B981" i="40"/>
  <c r="B982" i="40"/>
  <c r="B983" i="40"/>
  <c r="B984" i="40"/>
  <c r="B985" i="40"/>
  <c r="B986" i="40"/>
  <c r="B987" i="40"/>
  <c r="B988" i="40"/>
  <c r="B989" i="40"/>
  <c r="B990" i="40"/>
  <c r="B991" i="40"/>
  <c r="B992" i="40"/>
  <c r="B993" i="40"/>
  <c r="B994" i="40"/>
  <c r="B995" i="40"/>
  <c r="B996" i="40"/>
  <c r="B997" i="40"/>
  <c r="B998" i="40"/>
  <c r="B999" i="40"/>
  <c r="B1000" i="40"/>
  <c r="B1001" i="40"/>
  <c r="B1002" i="40"/>
  <c r="B1003" i="40"/>
  <c r="B1004" i="40"/>
  <c r="B1005" i="40"/>
  <c r="B1006" i="40"/>
  <c r="B1007" i="40"/>
  <c r="B1008" i="40"/>
  <c r="B1009" i="40"/>
  <c r="B1010" i="40"/>
  <c r="B1011" i="40"/>
  <c r="B1012" i="40"/>
  <c r="B1013" i="40"/>
  <c r="B1014" i="40"/>
  <c r="B1015" i="40"/>
  <c r="B1016" i="40"/>
  <c r="B1017" i="40"/>
  <c r="B1018" i="40"/>
  <c r="B1019" i="40"/>
  <c r="B1020" i="40"/>
  <c r="B1021" i="40"/>
  <c r="B1022" i="40"/>
  <c r="B1023" i="40"/>
  <c r="B1024" i="40"/>
  <c r="B1025" i="40"/>
  <c r="B1026" i="40"/>
  <c r="B1027" i="40"/>
  <c r="B1028" i="40"/>
  <c r="B1029" i="40"/>
  <c r="B1030" i="40"/>
  <c r="B1031" i="40"/>
  <c r="B1032" i="40"/>
  <c r="B1033" i="40"/>
  <c r="B1034" i="40"/>
  <c r="B1035" i="40"/>
  <c r="B1036" i="40"/>
  <c r="B1037" i="40"/>
  <c r="B1038" i="40"/>
  <c r="B1039" i="40"/>
  <c r="B1040" i="40"/>
  <c r="B1041" i="40"/>
  <c r="B1042" i="40"/>
  <c r="B1043" i="40"/>
  <c r="B1044" i="40"/>
  <c r="B1045" i="40"/>
  <c r="B1046" i="40"/>
  <c r="B1047" i="40"/>
  <c r="B1048" i="40"/>
  <c r="B1049" i="40"/>
  <c r="B1050" i="40"/>
  <c r="B1051" i="40"/>
  <c r="B1052" i="40"/>
  <c r="B1053" i="40"/>
  <c r="B1054" i="40"/>
  <c r="B1055" i="40"/>
  <c r="B1056" i="40"/>
  <c r="B1057" i="40"/>
  <c r="B1058" i="40"/>
  <c r="B1059" i="40"/>
  <c r="B1060" i="40"/>
  <c r="B1061" i="40"/>
  <c r="B1062" i="40"/>
  <c r="B1063" i="40"/>
  <c r="B1064" i="40"/>
  <c r="B1065" i="40"/>
  <c r="B1066" i="40"/>
  <c r="B1067" i="40"/>
  <c r="B1068" i="40"/>
  <c r="B1069" i="40"/>
  <c r="B1070" i="40"/>
  <c r="B1071" i="40"/>
  <c r="B1072" i="40"/>
  <c r="B1073" i="40"/>
  <c r="B1074" i="40"/>
  <c r="B1075" i="40"/>
  <c r="B1076" i="40"/>
  <c r="B1077" i="40"/>
  <c r="B1078" i="40"/>
  <c r="B1079" i="40"/>
  <c r="B1080" i="40"/>
  <c r="B1081" i="40"/>
  <c r="B1082" i="40"/>
  <c r="B1083" i="40"/>
  <c r="B1084" i="40"/>
  <c r="B1085" i="40"/>
  <c r="B1086" i="40"/>
  <c r="B1087" i="40"/>
  <c r="B1088" i="40"/>
  <c r="B1089" i="40"/>
  <c r="B1090" i="40"/>
  <c r="B1091" i="40"/>
  <c r="B1092" i="40"/>
  <c r="B1093" i="40"/>
  <c r="B1094" i="40"/>
  <c r="B1095" i="40"/>
  <c r="B1096" i="40"/>
  <c r="B1097" i="40"/>
  <c r="B1098" i="40"/>
  <c r="B1099" i="40"/>
  <c r="B1100" i="40"/>
  <c r="B1101" i="40"/>
  <c r="B1102" i="40"/>
  <c r="B1103" i="40"/>
  <c r="B1104" i="40"/>
  <c r="B1105" i="40"/>
  <c r="B1106" i="40"/>
  <c r="B1107" i="40"/>
  <c r="B1108" i="40"/>
  <c r="B1109" i="40"/>
  <c r="B1110" i="40"/>
  <c r="B1111" i="40"/>
  <c r="B1112" i="40"/>
  <c r="B1113" i="40"/>
  <c r="B1114" i="40"/>
  <c r="B1115" i="40"/>
  <c r="B1116" i="40"/>
  <c r="B1117" i="40"/>
  <c r="B1118" i="40"/>
  <c r="B1119" i="40"/>
  <c r="B1120" i="40"/>
  <c r="B1121" i="40"/>
  <c r="B1122" i="40"/>
  <c r="B1123" i="40"/>
  <c r="B1124" i="40"/>
  <c r="B1125" i="40"/>
  <c r="B1126" i="40"/>
  <c r="B1127" i="40"/>
  <c r="B1128" i="40"/>
  <c r="B1129" i="40"/>
  <c r="B1130" i="40"/>
  <c r="B1131" i="40"/>
  <c r="B1132" i="40"/>
  <c r="B1133" i="40"/>
  <c r="B1134" i="40"/>
  <c r="B1135" i="40"/>
  <c r="B1136" i="40"/>
  <c r="B1137" i="40"/>
  <c r="B1138" i="40"/>
  <c r="B1139" i="40"/>
  <c r="B1140" i="40"/>
  <c r="B1141" i="40"/>
  <c r="B1142" i="40"/>
  <c r="B1143" i="40"/>
  <c r="B1144" i="40"/>
  <c r="B1145" i="40"/>
  <c r="B1146" i="40"/>
  <c r="B1147" i="40"/>
  <c r="B1148" i="40"/>
  <c r="B1149" i="40"/>
  <c r="B1150" i="40"/>
  <c r="B1151" i="40"/>
  <c r="B1152" i="40"/>
  <c r="B1153" i="40"/>
  <c r="B1154" i="40"/>
  <c r="B1155" i="40"/>
  <c r="B1156" i="40"/>
  <c r="B1157" i="40"/>
  <c r="B1158" i="40"/>
  <c r="B1159" i="40"/>
  <c r="B1160" i="40"/>
  <c r="B1161" i="40"/>
  <c r="B1162" i="40"/>
  <c r="B1163" i="40"/>
  <c r="B1164" i="40"/>
  <c r="B1165" i="40"/>
  <c r="B1166" i="40"/>
  <c r="B1167" i="40"/>
  <c r="B1168" i="40"/>
  <c r="B1169" i="40"/>
  <c r="B1170" i="40"/>
  <c r="B1171" i="40"/>
  <c r="B1172" i="40"/>
  <c r="B1173" i="40"/>
  <c r="B1174" i="40"/>
  <c r="B1175" i="40"/>
  <c r="B1176" i="40"/>
  <c r="B1177" i="40"/>
  <c r="B1178" i="40"/>
  <c r="B1179" i="40"/>
  <c r="B1180" i="40"/>
  <c r="B1181" i="40"/>
  <c r="B1182" i="40"/>
  <c r="B1183" i="40"/>
  <c r="B1184" i="40"/>
  <c r="B1185" i="40"/>
  <c r="B1186" i="40"/>
  <c r="B1187" i="40"/>
  <c r="B1188" i="40"/>
  <c r="B1189" i="40"/>
  <c r="B1190" i="40"/>
  <c r="B1191" i="40"/>
  <c r="B1192" i="40"/>
  <c r="B1193" i="40"/>
  <c r="B1194" i="40"/>
  <c r="B1195" i="40"/>
  <c r="B1196" i="40"/>
  <c r="B1197" i="40"/>
  <c r="B1198" i="40"/>
  <c r="B1199" i="40"/>
  <c r="B1200" i="40"/>
  <c r="B1201" i="40"/>
  <c r="B1202" i="40"/>
  <c r="B1203" i="40"/>
  <c r="B1204" i="40"/>
  <c r="B1205" i="40"/>
  <c r="B1206" i="40"/>
  <c r="B1207" i="40"/>
  <c r="B1208" i="40"/>
  <c r="B1209" i="40"/>
  <c r="B1210" i="40"/>
  <c r="B1211" i="40"/>
  <c r="B1212" i="40"/>
  <c r="B1213" i="40"/>
  <c r="B1214" i="40"/>
  <c r="B1215" i="40"/>
  <c r="B1216" i="40"/>
  <c r="B1217" i="40"/>
  <c r="B1218" i="40"/>
  <c r="B1219" i="40"/>
  <c r="B1220" i="40"/>
  <c r="B1221" i="40"/>
  <c r="B1222" i="40"/>
  <c r="B1223" i="40"/>
  <c r="B1224" i="40"/>
  <c r="B1225" i="40"/>
  <c r="B1226" i="40"/>
  <c r="B1227" i="40"/>
  <c r="B1228" i="40"/>
  <c r="B1229" i="40"/>
  <c r="B1230" i="40"/>
  <c r="B1231" i="40"/>
  <c r="B1232" i="40"/>
  <c r="B1233" i="40"/>
  <c r="B1234" i="40"/>
  <c r="B1235" i="40"/>
  <c r="B1236" i="40"/>
  <c r="B1237" i="40"/>
  <c r="B1238" i="40"/>
  <c r="B1239" i="40"/>
  <c r="B1240" i="40"/>
  <c r="B1241" i="40"/>
  <c r="B1242" i="40"/>
  <c r="B1243" i="40"/>
  <c r="B1244" i="40"/>
  <c r="B1245" i="40"/>
  <c r="B1246" i="40"/>
  <c r="B1247" i="40"/>
  <c r="B1248" i="40"/>
  <c r="B1249" i="40"/>
  <c r="B1250" i="40"/>
  <c r="B1251" i="40"/>
  <c r="B1252" i="40"/>
  <c r="B1253" i="40"/>
  <c r="B1254" i="40"/>
  <c r="B1255" i="40"/>
  <c r="B1256" i="40"/>
  <c r="B1257" i="40"/>
  <c r="B1258" i="40"/>
  <c r="B1259" i="40"/>
  <c r="B1260" i="40"/>
  <c r="B1261" i="40"/>
  <c r="B1262" i="40"/>
  <c r="B1263" i="40"/>
  <c r="B1264" i="40"/>
  <c r="B1265" i="40"/>
  <c r="B1266" i="40"/>
  <c r="B1267" i="40"/>
  <c r="B1268" i="40"/>
  <c r="B1269" i="40"/>
  <c r="B1270" i="40"/>
  <c r="B1271" i="40"/>
  <c r="B1272" i="40"/>
  <c r="B1273" i="40"/>
  <c r="B1274" i="40"/>
  <c r="B1275" i="40"/>
  <c r="B1276" i="40"/>
  <c r="B1277" i="40"/>
  <c r="B1278" i="40"/>
  <c r="B1279" i="40"/>
  <c r="B1280" i="40"/>
  <c r="B1281" i="40"/>
  <c r="B1282" i="40"/>
  <c r="B1283" i="40"/>
  <c r="B1284" i="40"/>
  <c r="B1285" i="40"/>
  <c r="B1286" i="40"/>
  <c r="B1287" i="40"/>
  <c r="B1288" i="40"/>
  <c r="B1289" i="40"/>
  <c r="B1290" i="40"/>
  <c r="B1291" i="40"/>
  <c r="B1292" i="40"/>
  <c r="B1293" i="40"/>
  <c r="B1294" i="40"/>
  <c r="B1295" i="40"/>
  <c r="B1296" i="40"/>
  <c r="B1297" i="40"/>
  <c r="B1298" i="40"/>
  <c r="B1299" i="40"/>
  <c r="B1300" i="40"/>
  <c r="B1301" i="40"/>
  <c r="B1302" i="40"/>
  <c r="B1303" i="40"/>
  <c r="B1304" i="40"/>
  <c r="B1305" i="40"/>
  <c r="B1306" i="40"/>
  <c r="B1307" i="40"/>
  <c r="B1308" i="40"/>
  <c r="B1309" i="40"/>
  <c r="B1310" i="40"/>
  <c r="B1311" i="40"/>
  <c r="B1312" i="40"/>
  <c r="B1313" i="40"/>
  <c r="B1314" i="40"/>
  <c r="B1315" i="40"/>
  <c r="B1316" i="40"/>
  <c r="B1317" i="40"/>
  <c r="B1318" i="40"/>
  <c r="B1319" i="40"/>
  <c r="B1320" i="40"/>
  <c r="B1321" i="40"/>
  <c r="B1322" i="40"/>
  <c r="B1323" i="40"/>
  <c r="B1324" i="40"/>
  <c r="B1325" i="40"/>
  <c r="B1326" i="40"/>
  <c r="B1327" i="40"/>
  <c r="B1328" i="40"/>
  <c r="B1329" i="40"/>
  <c r="B1330" i="40"/>
  <c r="B1331" i="40"/>
  <c r="B1332" i="40"/>
  <c r="B1333" i="40"/>
  <c r="B1334" i="40"/>
  <c r="B1335" i="40"/>
  <c r="B1336" i="40"/>
  <c r="B1337" i="40"/>
  <c r="B1338" i="40"/>
  <c r="B1339" i="40"/>
  <c r="B1340" i="40"/>
  <c r="B1341" i="40"/>
  <c r="B1342" i="40"/>
  <c r="B1343" i="40"/>
  <c r="B1344" i="40"/>
  <c r="B1345" i="40"/>
  <c r="B1346" i="40"/>
  <c r="B1347" i="40"/>
  <c r="B1348" i="40"/>
  <c r="B1349" i="40"/>
  <c r="B1350" i="40"/>
  <c r="B1351" i="40"/>
  <c r="B1352" i="40"/>
  <c r="B1353" i="40"/>
  <c r="B1354" i="40"/>
  <c r="B1355" i="40"/>
  <c r="B1356" i="40"/>
  <c r="B1357" i="40"/>
  <c r="B1358" i="40"/>
  <c r="B1359" i="40"/>
  <c r="B1360" i="40"/>
  <c r="B1361" i="40"/>
  <c r="B1362" i="40"/>
  <c r="B1363" i="40"/>
  <c r="B1364" i="40"/>
  <c r="B1365" i="40"/>
  <c r="B1366" i="40"/>
  <c r="B1367" i="40"/>
  <c r="B1368" i="40"/>
  <c r="B1369" i="40"/>
  <c r="B1370" i="40"/>
  <c r="B1371" i="40"/>
  <c r="B1372" i="40"/>
  <c r="B1373" i="40"/>
  <c r="B1374" i="40"/>
  <c r="B1375" i="40"/>
  <c r="B1376" i="40"/>
  <c r="B1377" i="40"/>
  <c r="B1378" i="40"/>
  <c r="B1379" i="40"/>
  <c r="B1380" i="40"/>
  <c r="B1381" i="40"/>
  <c r="B1382" i="40"/>
  <c r="B1383" i="40"/>
  <c r="B1384" i="40"/>
  <c r="B1385" i="40"/>
  <c r="B1386" i="40"/>
  <c r="B1387" i="40"/>
  <c r="B1388" i="40"/>
  <c r="B1389" i="40"/>
  <c r="B1390" i="40"/>
  <c r="B1391" i="40"/>
  <c r="B1392" i="40"/>
  <c r="B1393" i="40"/>
  <c r="B1394" i="40"/>
  <c r="B1395" i="40"/>
  <c r="B1396" i="40"/>
  <c r="B1397" i="40"/>
  <c r="B1398" i="40"/>
  <c r="B1399" i="40"/>
  <c r="B1400" i="40"/>
  <c r="B1401" i="40"/>
  <c r="B1402" i="40"/>
  <c r="B1403" i="40"/>
  <c r="B1404" i="40"/>
  <c r="B1405" i="40"/>
  <c r="B1406" i="40"/>
  <c r="B1407" i="40"/>
  <c r="B1408" i="40"/>
  <c r="B1409" i="40"/>
  <c r="B1410" i="40"/>
  <c r="B1411" i="40"/>
  <c r="B1412" i="40"/>
  <c r="B1413" i="40"/>
  <c r="B1414" i="40"/>
  <c r="B1415" i="40"/>
  <c r="B1416" i="40"/>
  <c r="B1417" i="40"/>
  <c r="B1418" i="40"/>
  <c r="B1419" i="40"/>
  <c r="B1420" i="40"/>
  <c r="B1421" i="40"/>
  <c r="B1422" i="40"/>
  <c r="B1423" i="40"/>
  <c r="B1424" i="40"/>
  <c r="B1425" i="40"/>
  <c r="B1426" i="40"/>
  <c r="B1427" i="40"/>
  <c r="B1428" i="40"/>
  <c r="B1429" i="40"/>
  <c r="B1430" i="40"/>
  <c r="B1431" i="40"/>
  <c r="B1432" i="40"/>
  <c r="B1433" i="40"/>
  <c r="B1434" i="40"/>
  <c r="B1435" i="40"/>
  <c r="B1436" i="40"/>
  <c r="B1437" i="40"/>
  <c r="B1438" i="40"/>
  <c r="B1439" i="40"/>
  <c r="B1440" i="40"/>
  <c r="B1441" i="40"/>
  <c r="B1442" i="40"/>
  <c r="B1443" i="40"/>
  <c r="B1444" i="40"/>
  <c r="B1445" i="40"/>
  <c r="B1446" i="40"/>
  <c r="B1447" i="40"/>
  <c r="B1448" i="40"/>
  <c r="B1449" i="40"/>
  <c r="B1450" i="40"/>
  <c r="B1451" i="40"/>
  <c r="B1452" i="40"/>
  <c r="B1453" i="40"/>
  <c r="B1454" i="40"/>
  <c r="B1455" i="40"/>
  <c r="B1456" i="40"/>
  <c r="B1457" i="40"/>
  <c r="B1458" i="40"/>
  <c r="B1459" i="40"/>
  <c r="B1460" i="40"/>
  <c r="B1461" i="40"/>
  <c r="B1462" i="40"/>
  <c r="B1463" i="40"/>
  <c r="B1464" i="40"/>
  <c r="B1465" i="40"/>
  <c r="B1466" i="40"/>
  <c r="B1467" i="40"/>
  <c r="B1468" i="40"/>
  <c r="B1469" i="40"/>
  <c r="B1470" i="40"/>
  <c r="B1471" i="40"/>
  <c r="B1472" i="40"/>
  <c r="B1473" i="40"/>
  <c r="B1474" i="40"/>
  <c r="B1475" i="40"/>
  <c r="B1476" i="40"/>
  <c r="B1477" i="40"/>
  <c r="B1478" i="40"/>
  <c r="B1479" i="40"/>
  <c r="B1480" i="40"/>
  <c r="B1481" i="40"/>
  <c r="B1482" i="40"/>
  <c r="B1483" i="40"/>
  <c r="B1484" i="40"/>
  <c r="B1485" i="40"/>
  <c r="B1486" i="40"/>
  <c r="B1487" i="40"/>
  <c r="B1488" i="40"/>
  <c r="B1489" i="40"/>
  <c r="B1490" i="40"/>
  <c r="B1491" i="40"/>
  <c r="B1492" i="40"/>
  <c r="B1493" i="40"/>
  <c r="B1494" i="40"/>
  <c r="B1495" i="40"/>
  <c r="B1496" i="40"/>
  <c r="B1497" i="40"/>
  <c r="B1498" i="40"/>
  <c r="B1499" i="40"/>
  <c r="B1500" i="40"/>
  <c r="B1501" i="40"/>
  <c r="B1502" i="40"/>
  <c r="B1503" i="40"/>
  <c r="B1504" i="40"/>
  <c r="B1505" i="40"/>
  <c r="B1506" i="40"/>
  <c r="B1507" i="40"/>
  <c r="B1508" i="40"/>
  <c r="B1509" i="40"/>
  <c r="B1510" i="40"/>
  <c r="B1511" i="40"/>
  <c r="B1512" i="40"/>
  <c r="B1513" i="40"/>
  <c r="B1514" i="40"/>
  <c r="B1515" i="40"/>
  <c r="B1516" i="40"/>
  <c r="B1517" i="40"/>
  <c r="B1518" i="40"/>
  <c r="B1519" i="40"/>
  <c r="B1520" i="40"/>
  <c r="B1521" i="40"/>
  <c r="B1522" i="40"/>
  <c r="B1523" i="40"/>
  <c r="B1524" i="40"/>
  <c r="B1525" i="40"/>
  <c r="B1526" i="40"/>
  <c r="B1527" i="40"/>
  <c r="B1528" i="40"/>
  <c r="B1529" i="40"/>
  <c r="B1530" i="40"/>
  <c r="B1531" i="40"/>
  <c r="B1532" i="40"/>
  <c r="B1533" i="40"/>
  <c r="B1534" i="40"/>
  <c r="B1535" i="40"/>
  <c r="B1536" i="40"/>
  <c r="B1537" i="40"/>
  <c r="B1538" i="40"/>
  <c r="B1539" i="40"/>
  <c r="B1540" i="40"/>
  <c r="B1541" i="40"/>
  <c r="B1542" i="40"/>
  <c r="B1543" i="40"/>
  <c r="B1544" i="40"/>
  <c r="B1545" i="40"/>
  <c r="B1546" i="40"/>
  <c r="B1547" i="40"/>
  <c r="B1548" i="40"/>
  <c r="B1549" i="40"/>
  <c r="B1550" i="40"/>
  <c r="B1551" i="40"/>
  <c r="B1552" i="40"/>
  <c r="B1553" i="40"/>
  <c r="B1554" i="40"/>
  <c r="B1555" i="40"/>
  <c r="B1556" i="40"/>
  <c r="B1557" i="40"/>
  <c r="B1558" i="40"/>
  <c r="B1559" i="40"/>
  <c r="B1560" i="40"/>
  <c r="B1561" i="40"/>
  <c r="B1562" i="40"/>
  <c r="B1563" i="40"/>
  <c r="B1564" i="40"/>
  <c r="B1565" i="40"/>
  <c r="B1566" i="40"/>
  <c r="B1567" i="40"/>
  <c r="B1568" i="40"/>
  <c r="B1569" i="40"/>
  <c r="B1570" i="40"/>
  <c r="B1571" i="40"/>
  <c r="B1572" i="40"/>
  <c r="B1573" i="40"/>
  <c r="B1574" i="40"/>
  <c r="B1575" i="40"/>
  <c r="B1576" i="40"/>
  <c r="B1577" i="40"/>
  <c r="B1578" i="40"/>
  <c r="B1579" i="40"/>
  <c r="B1580" i="40"/>
  <c r="B1581" i="40"/>
  <c r="B1582" i="40"/>
  <c r="B1583" i="40"/>
  <c r="B1584" i="40"/>
  <c r="B1585" i="40"/>
  <c r="B1586" i="40"/>
  <c r="B1587" i="40"/>
  <c r="B1588" i="40"/>
  <c r="B1589" i="40"/>
  <c r="B1590" i="40"/>
  <c r="B1591" i="40"/>
  <c r="B1592" i="40"/>
  <c r="B1593" i="40"/>
  <c r="B1594" i="40"/>
  <c r="B1595" i="40"/>
  <c r="B1596" i="40"/>
  <c r="B1597" i="40"/>
  <c r="B1598" i="40"/>
  <c r="B1599" i="40"/>
  <c r="B1600" i="40"/>
  <c r="B1601" i="40"/>
  <c r="B1602" i="40"/>
  <c r="B1603" i="40"/>
  <c r="B1604" i="40"/>
  <c r="B1605" i="40"/>
  <c r="B1606" i="40"/>
  <c r="B1607" i="40"/>
  <c r="B1608" i="40"/>
  <c r="B1609" i="40"/>
  <c r="B1610" i="40"/>
  <c r="B1611" i="40"/>
  <c r="B1612" i="40"/>
  <c r="B1613" i="40"/>
  <c r="B1614" i="40"/>
  <c r="B1615" i="40"/>
  <c r="B1616" i="40"/>
  <c r="B1617" i="40"/>
  <c r="B1618" i="40"/>
  <c r="B1619" i="40"/>
  <c r="B1620" i="40"/>
  <c r="B1621" i="40"/>
  <c r="B1622" i="40"/>
  <c r="B1623" i="40"/>
  <c r="B1624" i="40"/>
  <c r="B1625" i="40"/>
  <c r="B1626" i="40"/>
  <c r="B1627" i="40"/>
  <c r="B1628" i="40"/>
  <c r="B1629" i="40"/>
  <c r="B1630" i="40"/>
  <c r="B1631" i="40"/>
  <c r="B1632" i="40"/>
  <c r="B1633" i="40"/>
  <c r="B1634" i="40"/>
  <c r="B1635" i="40"/>
  <c r="B1636" i="40"/>
  <c r="B1637" i="40"/>
  <c r="B1638" i="40"/>
  <c r="B1639" i="40"/>
  <c r="B1640" i="40"/>
  <c r="B1641" i="40"/>
  <c r="B1642" i="40"/>
  <c r="B1643" i="40"/>
  <c r="B1644" i="40"/>
  <c r="B1645" i="40"/>
  <c r="B1646" i="40"/>
  <c r="B1647" i="40"/>
  <c r="B1648" i="40"/>
  <c r="B1649" i="40"/>
  <c r="B1650" i="40"/>
  <c r="B1651" i="40"/>
  <c r="B1652" i="40"/>
  <c r="B1653" i="40"/>
  <c r="B1654" i="40"/>
  <c r="B1655" i="40"/>
  <c r="B1656" i="40"/>
  <c r="B1657" i="40"/>
  <c r="B1658" i="40"/>
  <c r="B1659" i="40"/>
  <c r="B1660" i="40"/>
  <c r="B1661" i="40"/>
  <c r="B1662" i="40"/>
  <c r="B1663" i="40"/>
  <c r="B1664" i="40"/>
  <c r="B1665" i="40"/>
  <c r="B1666" i="40"/>
  <c r="B1667" i="40"/>
  <c r="B1668" i="40"/>
  <c r="B1669" i="40"/>
  <c r="B1670" i="40"/>
  <c r="B1671" i="40"/>
  <c r="B1672" i="40"/>
  <c r="B1673" i="40"/>
  <c r="B1674" i="40"/>
  <c r="B1675" i="40"/>
  <c r="B1676" i="40"/>
  <c r="B1677" i="40"/>
  <c r="B1678" i="40"/>
  <c r="B1679" i="40"/>
  <c r="B1680" i="40"/>
  <c r="B1681" i="40"/>
  <c r="B1682" i="40"/>
  <c r="B1683" i="40"/>
  <c r="B1684" i="40"/>
  <c r="B1685" i="40"/>
  <c r="B1686" i="40"/>
  <c r="B1687" i="40"/>
  <c r="B1688" i="40"/>
  <c r="B1689" i="40"/>
  <c r="B1690" i="40"/>
  <c r="B1691" i="40"/>
  <c r="B1692" i="40"/>
  <c r="B1693" i="40"/>
  <c r="B1694" i="40"/>
  <c r="B1695" i="40"/>
  <c r="B1696" i="40"/>
  <c r="B1697" i="40"/>
  <c r="B1698" i="40"/>
  <c r="B1699" i="40"/>
  <c r="B1700" i="40"/>
  <c r="B1701" i="40"/>
  <c r="B1702" i="40"/>
  <c r="B1703" i="40"/>
  <c r="B1704" i="40"/>
  <c r="B1705" i="40"/>
  <c r="B1706" i="40"/>
  <c r="B1707" i="40"/>
  <c r="B1708" i="40"/>
  <c r="B1709" i="40"/>
  <c r="B1710" i="40"/>
  <c r="B1711" i="40"/>
  <c r="B1712" i="40"/>
  <c r="B1713" i="40"/>
  <c r="B1714" i="40"/>
  <c r="B1715" i="40"/>
  <c r="B1716" i="40"/>
  <c r="B1717" i="40"/>
  <c r="B1718" i="40"/>
  <c r="B1719" i="40"/>
  <c r="B1720" i="40"/>
  <c r="B1721" i="40"/>
  <c r="B1722" i="40"/>
  <c r="B1723" i="40"/>
  <c r="B1724" i="40"/>
  <c r="B1725" i="40"/>
  <c r="B1726" i="40"/>
  <c r="B1727" i="40"/>
  <c r="B1728" i="40"/>
  <c r="B1729" i="40"/>
  <c r="B1730" i="40"/>
  <c r="B1731" i="40"/>
  <c r="B1732" i="40"/>
  <c r="B1733" i="40"/>
  <c r="B1734" i="40"/>
  <c r="B1735" i="40"/>
  <c r="B1736" i="40"/>
  <c r="B1737" i="40"/>
  <c r="B1738" i="40"/>
  <c r="B1739" i="40"/>
  <c r="B1740" i="40"/>
  <c r="B1741" i="40"/>
  <c r="B1742" i="40"/>
  <c r="B1743" i="40"/>
  <c r="B1744" i="40"/>
  <c r="B1745" i="40"/>
  <c r="B1746" i="40"/>
  <c r="B1747" i="40"/>
  <c r="B1748" i="40"/>
  <c r="B1749" i="40"/>
  <c r="B1750" i="40"/>
  <c r="B1751" i="40"/>
  <c r="B1752" i="40"/>
  <c r="B1753" i="40"/>
  <c r="B1754" i="40"/>
  <c r="B1755" i="40"/>
  <c r="B1756" i="40"/>
  <c r="B1757" i="40"/>
  <c r="B1758" i="40"/>
  <c r="B1759" i="40"/>
  <c r="B1760" i="40"/>
  <c r="B1761" i="40"/>
  <c r="B1762" i="40"/>
  <c r="B1763" i="40"/>
  <c r="B1764" i="40"/>
  <c r="B1765" i="40"/>
  <c r="B1766" i="40"/>
  <c r="B1767" i="40"/>
  <c r="B1768" i="40"/>
  <c r="B1769" i="40"/>
  <c r="B1770" i="40"/>
  <c r="B1771" i="40"/>
  <c r="B1772" i="40"/>
  <c r="B1773" i="40"/>
  <c r="B1774" i="40"/>
  <c r="B1775" i="40"/>
  <c r="B1776" i="40"/>
  <c r="B1777" i="40"/>
  <c r="B1778" i="40"/>
  <c r="B1779" i="40"/>
  <c r="B1780" i="40"/>
  <c r="B1781" i="40"/>
  <c r="B1782" i="40"/>
  <c r="B1783" i="40"/>
  <c r="B1784" i="40"/>
  <c r="B1785" i="40"/>
  <c r="B1786" i="40"/>
  <c r="B1787" i="40"/>
  <c r="B1788" i="40"/>
  <c r="B1789" i="40"/>
  <c r="B1790" i="40"/>
  <c r="B1791" i="40"/>
  <c r="B1792" i="40"/>
  <c r="B1793" i="40"/>
  <c r="B1794" i="40"/>
  <c r="B1795" i="40"/>
  <c r="B1796" i="40"/>
  <c r="B1797" i="40"/>
  <c r="B1798" i="40"/>
  <c r="B1799" i="40"/>
  <c r="B1800" i="40"/>
  <c r="B1801" i="40"/>
  <c r="B1802" i="40"/>
  <c r="B1803" i="40"/>
  <c r="B1804" i="40"/>
  <c r="B1805" i="40"/>
  <c r="B1806" i="40"/>
  <c r="B1807" i="40"/>
  <c r="B1808" i="40"/>
  <c r="B1809" i="40"/>
  <c r="B1810" i="40"/>
  <c r="B1811" i="40"/>
  <c r="B1812" i="40"/>
  <c r="B1813" i="40"/>
  <c r="B1814" i="40"/>
  <c r="B1815" i="40"/>
  <c r="B1816" i="40"/>
  <c r="B1817" i="40"/>
  <c r="B1818" i="40"/>
  <c r="B1819" i="40"/>
  <c r="B1820" i="40"/>
  <c r="B1821" i="40"/>
  <c r="B1822" i="40"/>
  <c r="B1823" i="40"/>
  <c r="B1824" i="40"/>
  <c r="B1825" i="40"/>
  <c r="B1826" i="40"/>
  <c r="B1827" i="40"/>
  <c r="B1828" i="40"/>
  <c r="B1829" i="40"/>
  <c r="B1830" i="40"/>
  <c r="B1831" i="40"/>
  <c r="B1832" i="40"/>
  <c r="B1833" i="40"/>
  <c r="B1834" i="40"/>
  <c r="B1835" i="40"/>
  <c r="B1836" i="40"/>
  <c r="B1837" i="40"/>
  <c r="B1838" i="40"/>
  <c r="B1839" i="40"/>
  <c r="B1840" i="40"/>
  <c r="B1841" i="40"/>
  <c r="B1842" i="40"/>
  <c r="B1843" i="40"/>
  <c r="B1844" i="40"/>
  <c r="B1845" i="40"/>
  <c r="B1846" i="40"/>
  <c r="B1847" i="40"/>
  <c r="B1848" i="40"/>
  <c r="B1849" i="40"/>
  <c r="B1850" i="40"/>
  <c r="B1851" i="40"/>
  <c r="B1852" i="40"/>
  <c r="B1853" i="40"/>
  <c r="B1854" i="40"/>
  <c r="B1855" i="40"/>
  <c r="B1856" i="40"/>
  <c r="B1857" i="40"/>
  <c r="B1858" i="40"/>
  <c r="B1859" i="40"/>
  <c r="B1860" i="40"/>
  <c r="B1861" i="40"/>
  <c r="B1862" i="40"/>
  <c r="B1863" i="40"/>
  <c r="B1864" i="40"/>
  <c r="B1865" i="40"/>
  <c r="B1866" i="40"/>
  <c r="B1867" i="40"/>
  <c r="B1868" i="40"/>
  <c r="B1869" i="40"/>
  <c r="B1870" i="40"/>
  <c r="B1871" i="40"/>
  <c r="B1872" i="40"/>
  <c r="B1873" i="40"/>
  <c r="B1874" i="40"/>
  <c r="B1875" i="40"/>
  <c r="B1876" i="40"/>
  <c r="B1877" i="40"/>
  <c r="B1878" i="40"/>
  <c r="B1879" i="40"/>
  <c r="B1880" i="40"/>
  <c r="B1881" i="40"/>
  <c r="B1882" i="40"/>
  <c r="B1883" i="40"/>
  <c r="B1884" i="40"/>
  <c r="B1885" i="40"/>
  <c r="B1886" i="40"/>
  <c r="B1887" i="40"/>
  <c r="B1888" i="40"/>
  <c r="B1889" i="40"/>
  <c r="B1890" i="40"/>
  <c r="B1891" i="40"/>
  <c r="B1892" i="40"/>
  <c r="B1893" i="40"/>
  <c r="B1894" i="40"/>
  <c r="B1895" i="40"/>
  <c r="B1896" i="40"/>
  <c r="B1897" i="40"/>
  <c r="B1898" i="40"/>
  <c r="B1899" i="40"/>
  <c r="B1900" i="40"/>
  <c r="B1901" i="40"/>
  <c r="B1902" i="40"/>
  <c r="B1903" i="40"/>
  <c r="B1904" i="40"/>
  <c r="B1905" i="40"/>
  <c r="B1906" i="40"/>
  <c r="B1907" i="40"/>
  <c r="B1908" i="40"/>
  <c r="B1909" i="40"/>
  <c r="B1910" i="40"/>
  <c r="B1911" i="40"/>
  <c r="B1912" i="40"/>
  <c r="B1913" i="40"/>
  <c r="B1914" i="40"/>
  <c r="B1915" i="40"/>
  <c r="B1916" i="40"/>
  <c r="B1917" i="40"/>
  <c r="B1918" i="40"/>
  <c r="B1919" i="40"/>
  <c r="B1920" i="40"/>
  <c r="B1921" i="40"/>
  <c r="B1922" i="40"/>
  <c r="B1923" i="40"/>
  <c r="B1924" i="40"/>
  <c r="B1925" i="40"/>
  <c r="B1926" i="40"/>
  <c r="B1927" i="40"/>
  <c r="B1928" i="40"/>
  <c r="B1929" i="40"/>
  <c r="B1930" i="40"/>
  <c r="B1931" i="40"/>
  <c r="B1932" i="40"/>
  <c r="B1933" i="40"/>
  <c r="B1934" i="40"/>
  <c r="B1935" i="40"/>
  <c r="B1936" i="40"/>
  <c r="B1937" i="40"/>
  <c r="B1938" i="40"/>
  <c r="B1939" i="40"/>
  <c r="B1940" i="40"/>
  <c r="B1941" i="40"/>
  <c r="B1942" i="40"/>
  <c r="B1943" i="40"/>
  <c r="B1944" i="40"/>
  <c r="B1945" i="40"/>
  <c r="B1946" i="40"/>
  <c r="B1947" i="40"/>
  <c r="B1948" i="40"/>
  <c r="B1949" i="40"/>
  <c r="B1950" i="40"/>
  <c r="B1951" i="40"/>
  <c r="B1952" i="40"/>
  <c r="B1953" i="40"/>
  <c r="B1954" i="40"/>
  <c r="B1955" i="40"/>
  <c r="B1956" i="40"/>
  <c r="B1957" i="40"/>
  <c r="B1958" i="40"/>
  <c r="B1959" i="40"/>
  <c r="B1960" i="40"/>
  <c r="B1961" i="40"/>
  <c r="B1962" i="40"/>
  <c r="B1963" i="40"/>
  <c r="B1964" i="40"/>
  <c r="B1965" i="40"/>
  <c r="B1966" i="40"/>
  <c r="B1967" i="40"/>
  <c r="B1968" i="40"/>
  <c r="B1969" i="40"/>
  <c r="B1970" i="40"/>
  <c r="B1971" i="40"/>
  <c r="B1972" i="40"/>
  <c r="B1973" i="40"/>
  <c r="B1974" i="40"/>
  <c r="B1975" i="40"/>
  <c r="B1976" i="40"/>
  <c r="B1977" i="40"/>
  <c r="B1978" i="40"/>
  <c r="B1979" i="40"/>
  <c r="B1980" i="40"/>
  <c r="B1981" i="40"/>
  <c r="B1982" i="40"/>
  <c r="B1983" i="40"/>
  <c r="B1984" i="40"/>
  <c r="B1985" i="40"/>
  <c r="B1986" i="40"/>
  <c r="B1987" i="40"/>
  <c r="B1988" i="40"/>
  <c r="B1989" i="40"/>
  <c r="B1990" i="40"/>
  <c r="B1991" i="40"/>
  <c r="B1992" i="40"/>
  <c r="B1993" i="40"/>
  <c r="B1994" i="40"/>
  <c r="B1995" i="40"/>
  <c r="B1996" i="40"/>
  <c r="B1997" i="40"/>
  <c r="B1998" i="40"/>
  <c r="B1999" i="40"/>
  <c r="B2000" i="40"/>
  <c r="B2001" i="40"/>
  <c r="B2002" i="40"/>
  <c r="B2003" i="40"/>
  <c r="B2004" i="40"/>
  <c r="B2005" i="40"/>
  <c r="B2006" i="40"/>
  <c r="B2007" i="40"/>
  <c r="B2008" i="40"/>
  <c r="B2009" i="40"/>
  <c r="B2010" i="40"/>
  <c r="B2011" i="40"/>
  <c r="B2012" i="40"/>
  <c r="B2013" i="40"/>
  <c r="B2014" i="40"/>
  <c r="B2015" i="40"/>
  <c r="B2016" i="40"/>
  <c r="B2017" i="40"/>
  <c r="B2018" i="40"/>
  <c r="B2019" i="40"/>
  <c r="B2020" i="40"/>
  <c r="B2021" i="40"/>
  <c r="B2022" i="40"/>
  <c r="B2023" i="40"/>
  <c r="B2024" i="40"/>
  <c r="B2025" i="40"/>
  <c r="B2026" i="40"/>
  <c r="B2027" i="40"/>
  <c r="B2028" i="40"/>
  <c r="B2029" i="40"/>
  <c r="B2030" i="40"/>
  <c r="B2031" i="40"/>
  <c r="B2032" i="40"/>
  <c r="B2033" i="40"/>
  <c r="B2034" i="40"/>
  <c r="B2035" i="40"/>
  <c r="B2036" i="40"/>
  <c r="B2037" i="40"/>
  <c r="B2038" i="40"/>
  <c r="B2039" i="40"/>
  <c r="B2040" i="40"/>
  <c r="B2041" i="40"/>
  <c r="B2042" i="40"/>
  <c r="B2043" i="40"/>
  <c r="B2044" i="40"/>
  <c r="B2045" i="40"/>
  <c r="B2046" i="40"/>
  <c r="B2047" i="40"/>
  <c r="B2048" i="40"/>
  <c r="B2049" i="40"/>
  <c r="B2050" i="40"/>
  <c r="B2051" i="40"/>
  <c r="B2052" i="40"/>
  <c r="B2053" i="40"/>
  <c r="B2054" i="40"/>
  <c r="B2055" i="40"/>
  <c r="B2056" i="40"/>
  <c r="B2057" i="40"/>
  <c r="B2058" i="40"/>
  <c r="B2059" i="40"/>
  <c r="B2060" i="40"/>
  <c r="B2061" i="40"/>
  <c r="B2062" i="40"/>
  <c r="B2063" i="40"/>
  <c r="B2064" i="40"/>
  <c r="B2065" i="40"/>
  <c r="B2066" i="40"/>
  <c r="B2067" i="40"/>
  <c r="B2068" i="40"/>
  <c r="B2069" i="40"/>
  <c r="B2070" i="40"/>
  <c r="B2071" i="40"/>
  <c r="B2072" i="40"/>
  <c r="B2073" i="40"/>
  <c r="B2074" i="40"/>
  <c r="B2075" i="40"/>
  <c r="B2076" i="40"/>
  <c r="B2077" i="40"/>
  <c r="B2078" i="40"/>
  <c r="B2079" i="40"/>
  <c r="B2080" i="40"/>
  <c r="B2081" i="40"/>
  <c r="B2082" i="40"/>
  <c r="B2083" i="40"/>
  <c r="B2084" i="40"/>
  <c r="B2085" i="40"/>
  <c r="B2086" i="40"/>
  <c r="B2087" i="40"/>
  <c r="B2088" i="40"/>
  <c r="B2089" i="40"/>
  <c r="B2090" i="40"/>
  <c r="B2091" i="40"/>
  <c r="B2092" i="40"/>
  <c r="B2093" i="40"/>
  <c r="B2094" i="40"/>
  <c r="B2095" i="40"/>
  <c r="B2096" i="40"/>
  <c r="B2097" i="40"/>
  <c r="B2098" i="40"/>
  <c r="B2099" i="40"/>
  <c r="B2100" i="40"/>
  <c r="B2101" i="40"/>
  <c r="B2102" i="40"/>
  <c r="B2103" i="40"/>
  <c r="B2104" i="40"/>
  <c r="B2105" i="40"/>
  <c r="B2106" i="40"/>
  <c r="B2107" i="40"/>
  <c r="B2108" i="40"/>
  <c r="B2109" i="40"/>
  <c r="B2110" i="40"/>
  <c r="B2111" i="40"/>
  <c r="B2112" i="40"/>
  <c r="B2113" i="40"/>
  <c r="B2114" i="40"/>
  <c r="B2115" i="40"/>
  <c r="B2116" i="40"/>
  <c r="B2117" i="40"/>
  <c r="B2118" i="40"/>
  <c r="B2119" i="40"/>
  <c r="B2120" i="40"/>
  <c r="B2121" i="40"/>
  <c r="B2122" i="40"/>
  <c r="B2123" i="40"/>
  <c r="B2124" i="40"/>
  <c r="B2125" i="40"/>
  <c r="B2126" i="40"/>
  <c r="B2127" i="40"/>
  <c r="B2128" i="40"/>
  <c r="B2129" i="40"/>
  <c r="B2130" i="40"/>
  <c r="B2131" i="40"/>
  <c r="B2132" i="40"/>
  <c r="B2133" i="40"/>
  <c r="B2134" i="40"/>
  <c r="B2135" i="40"/>
  <c r="B2136" i="40"/>
  <c r="B2137" i="40"/>
  <c r="B2138" i="40"/>
  <c r="B2139" i="40"/>
  <c r="B2140" i="40"/>
  <c r="B2141" i="40"/>
  <c r="B2142" i="40"/>
  <c r="B2143" i="40"/>
  <c r="B2144" i="40"/>
  <c r="B2145" i="40"/>
  <c r="B2146" i="40"/>
  <c r="B2147" i="40"/>
  <c r="B2148" i="40"/>
  <c r="B2149" i="40"/>
  <c r="B2150" i="40"/>
  <c r="B2151" i="40"/>
  <c r="B2152" i="40"/>
  <c r="B2153" i="40"/>
  <c r="B2154" i="40"/>
  <c r="B2155" i="40"/>
  <c r="B2156" i="40"/>
  <c r="B2157" i="40"/>
  <c r="B2158" i="40"/>
  <c r="B2159" i="40"/>
  <c r="B2160" i="40"/>
  <c r="B2161" i="40"/>
  <c r="B2162" i="40"/>
  <c r="B2163" i="40"/>
  <c r="B2164" i="40"/>
  <c r="B2165" i="40"/>
  <c r="B2166" i="40"/>
  <c r="B2167" i="40"/>
  <c r="B2168" i="40"/>
  <c r="B2169" i="40"/>
  <c r="B2170" i="40"/>
  <c r="B2171" i="40"/>
  <c r="B2172" i="40"/>
  <c r="B2173" i="40"/>
  <c r="B2174" i="40"/>
  <c r="B2175" i="40"/>
  <c r="B2176" i="40"/>
  <c r="B2177" i="40"/>
  <c r="B2178" i="40"/>
  <c r="B2179" i="40"/>
  <c r="B2180" i="40"/>
  <c r="B2181" i="40"/>
  <c r="B2182" i="40"/>
  <c r="B2183" i="40"/>
  <c r="B2184" i="40"/>
  <c r="B2185" i="40"/>
  <c r="B2186" i="40"/>
  <c r="B2187" i="40"/>
  <c r="B2188" i="40"/>
  <c r="B2189" i="40"/>
  <c r="B2190" i="40"/>
  <c r="B2191" i="40"/>
  <c r="B2192" i="40"/>
  <c r="B2193" i="40"/>
  <c r="B2194" i="40"/>
  <c r="B2195" i="40"/>
  <c r="B2196" i="40"/>
  <c r="B2197" i="40"/>
  <c r="B2198" i="40"/>
  <c r="B2199" i="40"/>
  <c r="B2200" i="40"/>
  <c r="B2201" i="40"/>
  <c r="B2202" i="40"/>
  <c r="B2203" i="40"/>
  <c r="B2204" i="40"/>
  <c r="B2205" i="40"/>
  <c r="B2206" i="40"/>
  <c r="B2207" i="40"/>
  <c r="B2208" i="40"/>
  <c r="B2209" i="40"/>
  <c r="B2210" i="40"/>
  <c r="B2211" i="40"/>
  <c r="B2212" i="40"/>
  <c r="B2213" i="40"/>
  <c r="B2214" i="40"/>
  <c r="B2215" i="40"/>
  <c r="B2216" i="40"/>
  <c r="B2217" i="40"/>
  <c r="B2218" i="40"/>
  <c r="B2219" i="40"/>
  <c r="B2220" i="40"/>
  <c r="B2221" i="40"/>
  <c r="B2222" i="40"/>
  <c r="B2223" i="40"/>
  <c r="B2224" i="40"/>
  <c r="B2225" i="40"/>
  <c r="B2226" i="40"/>
  <c r="B2227" i="40"/>
  <c r="B2228" i="40"/>
  <c r="B2229" i="40"/>
  <c r="B2230" i="40"/>
  <c r="B2231" i="40"/>
  <c r="B2232" i="40"/>
  <c r="B2233" i="40"/>
  <c r="B2234" i="40"/>
  <c r="B2235" i="40"/>
  <c r="B2236" i="40"/>
  <c r="B2237" i="40"/>
  <c r="B2238" i="40"/>
  <c r="B2239" i="40"/>
  <c r="B2240" i="40"/>
  <c r="B2241" i="40"/>
  <c r="B2242" i="40"/>
  <c r="B2243" i="40"/>
  <c r="B2244" i="40"/>
  <c r="B2245" i="40"/>
  <c r="B2246" i="40"/>
  <c r="B2247" i="40"/>
  <c r="B2248" i="40"/>
  <c r="B2249" i="40"/>
  <c r="B2250" i="40"/>
  <c r="B2251" i="40"/>
  <c r="B2252" i="40"/>
  <c r="B2253" i="40"/>
  <c r="B2254" i="40"/>
  <c r="B2255" i="40"/>
  <c r="B2256" i="40"/>
  <c r="B2257" i="40"/>
  <c r="B2258" i="40"/>
  <c r="B2259" i="40"/>
  <c r="B2260" i="40"/>
  <c r="B2261" i="40"/>
  <c r="B2262" i="40"/>
  <c r="B2263" i="40"/>
  <c r="B2264" i="40"/>
  <c r="B2265" i="40"/>
  <c r="B2266" i="40"/>
  <c r="B2267" i="40"/>
  <c r="B2268" i="40"/>
  <c r="B2269" i="40"/>
  <c r="B2270" i="40"/>
  <c r="B2271" i="40"/>
  <c r="B2272" i="40"/>
  <c r="B2273" i="40"/>
  <c r="B2274" i="40"/>
  <c r="B2275" i="40"/>
  <c r="B2276" i="40"/>
  <c r="B2277" i="40"/>
  <c r="B2278" i="40"/>
  <c r="B2279" i="40"/>
  <c r="B2280" i="40"/>
  <c r="B2281" i="40"/>
  <c r="B2282" i="40"/>
  <c r="B2283" i="40"/>
  <c r="B2284" i="40"/>
  <c r="B2285" i="40"/>
  <c r="B2286" i="40"/>
  <c r="B2287" i="40"/>
  <c r="B2288" i="40"/>
  <c r="B2289" i="40"/>
  <c r="B2290" i="40"/>
  <c r="B2291" i="40"/>
  <c r="B2292" i="40"/>
  <c r="B2293" i="40"/>
  <c r="B2294" i="40"/>
  <c r="B2295" i="40"/>
  <c r="B2296" i="40"/>
  <c r="B2297" i="40"/>
  <c r="B2298" i="40"/>
  <c r="B2299" i="40"/>
  <c r="B2300" i="40"/>
  <c r="B2301" i="40"/>
  <c r="B2302" i="40"/>
  <c r="B2303" i="40"/>
  <c r="B2304" i="40"/>
  <c r="B2305" i="40"/>
  <c r="B2306" i="40"/>
  <c r="B2307" i="40"/>
  <c r="B2308" i="40"/>
  <c r="B2309" i="40"/>
  <c r="B2310" i="40"/>
  <c r="B2311" i="40"/>
  <c r="B2312" i="40"/>
  <c r="B2313" i="40"/>
  <c r="B2314" i="40"/>
  <c r="B2315" i="40"/>
  <c r="B2316" i="40"/>
  <c r="B2317" i="40"/>
  <c r="B2318" i="40"/>
  <c r="B2319" i="40"/>
  <c r="B2320" i="40"/>
  <c r="B2321" i="40"/>
  <c r="B2322" i="40"/>
  <c r="B2323" i="40"/>
  <c r="B2324" i="40"/>
  <c r="B2325" i="40"/>
  <c r="B2326" i="40"/>
  <c r="B2327" i="40"/>
  <c r="B2328" i="40"/>
  <c r="B2329" i="40"/>
  <c r="B2330" i="40"/>
  <c r="B2331" i="40"/>
  <c r="B2332" i="40"/>
  <c r="B2333" i="40"/>
  <c r="B2334" i="40"/>
  <c r="B2335" i="40"/>
  <c r="B2336" i="40"/>
  <c r="B2337" i="40"/>
  <c r="B2338" i="40"/>
  <c r="B2339" i="40"/>
  <c r="B2340" i="40"/>
  <c r="B2341" i="40"/>
  <c r="B2342" i="40"/>
  <c r="B2343" i="40"/>
  <c r="B2344" i="40"/>
  <c r="B2345" i="40"/>
  <c r="B2346" i="40"/>
  <c r="B2347" i="40"/>
  <c r="B2348" i="40"/>
  <c r="B2349" i="40"/>
  <c r="B2350" i="40"/>
  <c r="B2351" i="40"/>
  <c r="B2352" i="40"/>
  <c r="B2353" i="40"/>
  <c r="B2354" i="40"/>
  <c r="B2355" i="40"/>
  <c r="B2356" i="40"/>
  <c r="B2357" i="40"/>
  <c r="B2358" i="40"/>
  <c r="B2359" i="40"/>
  <c r="B2360" i="40"/>
  <c r="B2361" i="40"/>
  <c r="B2362" i="40"/>
  <c r="B2363" i="40"/>
  <c r="B2364" i="40"/>
  <c r="B2365" i="40"/>
  <c r="B2366" i="40"/>
  <c r="B2367" i="40"/>
  <c r="B2368" i="40"/>
  <c r="B2369" i="40"/>
  <c r="B2370" i="40"/>
  <c r="B2371" i="40"/>
  <c r="B2372" i="40"/>
  <c r="B2373" i="40"/>
  <c r="B2374" i="40"/>
  <c r="B2375" i="40"/>
  <c r="B2376" i="40"/>
  <c r="B2377" i="40"/>
  <c r="B2378" i="40"/>
  <c r="B2379" i="40"/>
  <c r="B2380" i="40"/>
  <c r="B2381" i="40"/>
  <c r="B2382" i="40"/>
  <c r="B2383" i="40"/>
  <c r="B2384" i="40"/>
  <c r="B2385" i="40"/>
  <c r="B2386" i="40"/>
  <c r="B2387" i="40"/>
  <c r="B2388" i="40"/>
  <c r="B2389" i="40"/>
  <c r="B2390" i="40"/>
  <c r="B2391" i="40"/>
  <c r="B2392" i="40"/>
  <c r="B2393" i="40"/>
  <c r="B2394" i="40"/>
  <c r="B2395" i="40"/>
  <c r="B2396" i="40"/>
  <c r="B2397" i="40"/>
  <c r="B2398" i="40"/>
  <c r="B2399" i="40"/>
  <c r="B2400" i="40"/>
  <c r="B2401" i="40"/>
  <c r="B2402" i="40"/>
  <c r="B2403" i="40"/>
  <c r="B2404" i="40"/>
  <c r="B2405" i="40"/>
  <c r="B2406" i="40"/>
  <c r="B2407" i="40"/>
  <c r="B2408" i="40"/>
  <c r="B2409" i="40"/>
  <c r="B2410" i="40"/>
  <c r="B2411" i="40"/>
  <c r="B2412" i="40"/>
  <c r="B2413" i="40"/>
  <c r="B2414" i="40"/>
  <c r="B2415" i="40"/>
  <c r="B2416" i="40"/>
  <c r="B2417" i="40"/>
  <c r="B2418" i="40"/>
  <c r="B2419" i="40"/>
  <c r="B2420" i="40"/>
  <c r="B2421" i="40"/>
  <c r="B2422" i="40"/>
  <c r="B2423" i="40"/>
  <c r="B2424" i="40"/>
  <c r="B2425" i="40"/>
  <c r="B2426" i="40"/>
  <c r="B2427" i="40"/>
  <c r="B2428" i="40"/>
  <c r="B2429" i="40"/>
  <c r="B2430" i="40"/>
  <c r="B2431" i="40"/>
  <c r="B2432" i="40"/>
  <c r="B2433" i="40"/>
  <c r="B2434" i="40"/>
  <c r="B2435" i="40"/>
  <c r="B2436" i="40"/>
  <c r="B2437" i="40"/>
  <c r="B2438" i="40"/>
  <c r="B2439" i="40"/>
  <c r="B2440" i="40"/>
  <c r="B2441" i="40"/>
  <c r="B2442" i="40"/>
  <c r="B2443" i="40"/>
  <c r="B2444" i="40"/>
  <c r="B2445" i="40"/>
  <c r="B2446" i="40"/>
  <c r="B2447" i="40"/>
  <c r="B2448" i="40"/>
  <c r="B2449" i="40"/>
  <c r="B2450" i="40"/>
  <c r="B2451" i="40"/>
  <c r="B2452" i="40"/>
  <c r="B2453" i="40"/>
  <c r="B2454" i="40"/>
  <c r="B2455" i="40"/>
  <c r="B2456" i="40"/>
  <c r="B2457" i="40"/>
  <c r="B2458" i="40"/>
  <c r="B2459" i="40"/>
  <c r="B2460" i="40"/>
  <c r="B2461" i="40"/>
  <c r="B2462" i="40"/>
  <c r="B2463" i="40"/>
  <c r="B2464" i="40"/>
  <c r="B2465" i="40"/>
  <c r="B2466" i="40"/>
  <c r="B2467" i="40"/>
  <c r="B2468" i="40"/>
  <c r="B2469" i="40"/>
  <c r="B2470" i="40"/>
  <c r="B2471" i="40"/>
  <c r="B2472" i="40"/>
  <c r="B2473" i="40"/>
  <c r="B2474" i="40"/>
  <c r="B2475" i="40"/>
  <c r="B2476" i="40"/>
  <c r="B2477" i="40"/>
  <c r="B2478" i="40"/>
  <c r="B2479" i="40"/>
  <c r="B2480" i="40"/>
  <c r="B2481" i="40"/>
  <c r="B2482" i="40"/>
  <c r="B2483" i="40"/>
  <c r="B2484" i="40"/>
  <c r="B2485" i="40"/>
  <c r="B2486" i="40"/>
  <c r="B2487" i="40"/>
  <c r="B2488" i="40"/>
  <c r="B2489" i="40"/>
  <c r="B2490" i="40"/>
  <c r="B2491" i="40"/>
  <c r="B2492" i="40"/>
  <c r="B2493" i="40"/>
  <c r="B2494" i="40"/>
  <c r="B2495" i="40"/>
  <c r="B2496" i="40"/>
  <c r="B2497" i="40"/>
  <c r="B2498" i="40"/>
  <c r="B2499" i="40"/>
  <c r="B2500" i="40"/>
  <c r="B2501" i="40"/>
  <c r="B2502" i="40"/>
  <c r="B2503" i="40"/>
  <c r="B2504" i="40"/>
  <c r="B2505" i="40"/>
  <c r="B2506" i="40"/>
  <c r="B2507" i="40"/>
  <c r="B2508" i="40"/>
  <c r="B2509" i="40"/>
  <c r="B2510" i="40"/>
  <c r="B2511" i="40"/>
  <c r="B2512" i="40"/>
  <c r="B2513" i="40"/>
  <c r="B2514" i="40"/>
  <c r="B2515" i="40"/>
  <c r="B2516" i="40"/>
  <c r="B2517" i="40"/>
  <c r="B2518" i="40"/>
  <c r="B2519" i="40"/>
  <c r="B2520" i="40"/>
  <c r="B2521" i="40"/>
  <c r="B2522" i="40"/>
  <c r="B2523" i="40"/>
  <c r="B2524" i="40"/>
  <c r="B2525" i="40"/>
  <c r="B2526" i="40"/>
  <c r="B2527" i="40"/>
  <c r="B2528" i="40"/>
  <c r="B2529" i="40"/>
  <c r="B2530" i="40"/>
  <c r="B2531" i="40"/>
  <c r="B2532" i="40"/>
  <c r="B2533" i="40"/>
  <c r="B2534" i="40"/>
  <c r="B2535" i="40"/>
  <c r="B2536" i="40"/>
  <c r="B2537" i="40"/>
  <c r="B2538" i="40"/>
  <c r="B2539" i="40"/>
  <c r="B2540" i="40"/>
  <c r="B2541" i="40"/>
  <c r="B2542" i="40"/>
  <c r="B2543" i="40"/>
  <c r="B2544" i="40"/>
  <c r="B2545" i="40"/>
  <c r="B2546" i="40"/>
  <c r="B2547" i="40"/>
  <c r="B2548" i="40"/>
  <c r="B2549" i="40"/>
  <c r="B2550" i="40"/>
  <c r="B2551" i="40"/>
  <c r="B2552" i="40"/>
  <c r="B2553" i="40"/>
  <c r="B2554" i="40"/>
  <c r="B2555" i="40"/>
  <c r="B2556" i="40"/>
  <c r="B2557" i="40"/>
  <c r="B2558" i="40"/>
  <c r="B2559" i="40"/>
  <c r="B2560" i="40"/>
  <c r="B2561" i="40"/>
  <c r="B2562" i="40"/>
  <c r="B2563" i="40"/>
  <c r="B2564" i="40"/>
  <c r="B2565" i="40"/>
  <c r="B2566" i="40"/>
  <c r="B2567" i="40"/>
  <c r="B2568" i="40"/>
  <c r="B2569" i="40"/>
  <c r="B2570" i="40"/>
  <c r="B2571" i="40"/>
  <c r="B2572" i="40"/>
  <c r="B2573" i="40"/>
  <c r="B2574" i="40"/>
  <c r="B2575" i="40"/>
  <c r="B2576" i="40"/>
  <c r="B2577" i="40"/>
  <c r="B2578" i="40"/>
  <c r="B2579" i="40"/>
  <c r="B2580" i="40"/>
  <c r="B2581" i="40"/>
  <c r="B2582" i="40"/>
  <c r="B2583" i="40"/>
  <c r="B2584" i="40"/>
  <c r="B2585" i="40"/>
  <c r="B2586" i="40"/>
  <c r="B2587" i="40"/>
  <c r="B2588" i="40"/>
  <c r="B2589" i="40"/>
  <c r="B2590" i="40"/>
  <c r="B2591" i="40"/>
  <c r="B2592" i="40"/>
  <c r="B2593" i="40"/>
  <c r="B2594" i="40"/>
  <c r="B2595" i="40"/>
  <c r="B2596" i="40"/>
  <c r="B2597" i="40"/>
  <c r="B2598" i="40"/>
  <c r="B2599" i="40"/>
  <c r="B2600" i="40"/>
  <c r="B2601" i="40"/>
  <c r="B2602" i="40"/>
  <c r="B2603" i="40"/>
  <c r="B2604" i="40"/>
  <c r="B2605" i="40"/>
  <c r="B2606" i="40"/>
  <c r="B2607" i="40"/>
  <c r="B2608" i="40"/>
  <c r="B2609" i="40"/>
  <c r="B2610" i="40"/>
  <c r="B2611" i="40"/>
  <c r="B2612" i="40"/>
  <c r="B2613" i="40"/>
  <c r="B2614" i="40"/>
  <c r="B2615" i="40"/>
  <c r="B2616" i="40"/>
  <c r="B2617" i="40"/>
  <c r="B2618" i="40"/>
  <c r="B2619" i="40"/>
  <c r="B2620" i="40"/>
  <c r="B2621" i="40"/>
  <c r="B2622" i="40"/>
  <c r="B2623" i="40"/>
  <c r="B2624" i="40"/>
  <c r="B2625" i="40"/>
  <c r="B2626" i="40"/>
  <c r="B2627" i="40"/>
  <c r="B2628" i="40"/>
  <c r="B2629" i="40"/>
  <c r="B2630" i="40"/>
  <c r="B2631" i="40"/>
  <c r="B2632" i="40"/>
  <c r="B2633" i="40"/>
  <c r="B2634" i="40"/>
  <c r="B2635" i="40"/>
  <c r="B2636" i="40"/>
  <c r="B2637" i="40"/>
  <c r="B2638" i="40"/>
  <c r="B2639" i="40"/>
  <c r="B2640" i="40"/>
  <c r="B2641" i="40"/>
  <c r="B2642" i="40"/>
  <c r="B2643" i="40"/>
  <c r="B2644" i="40"/>
  <c r="B2645" i="40"/>
  <c r="B2646" i="40"/>
  <c r="B2647" i="40"/>
  <c r="B2648" i="40"/>
  <c r="B2649" i="40"/>
  <c r="B2650" i="40"/>
  <c r="B2651" i="40"/>
  <c r="B2652" i="40"/>
  <c r="B2653" i="40"/>
  <c r="B2654" i="40"/>
  <c r="B2655" i="40"/>
  <c r="B2656" i="40"/>
  <c r="B2657" i="40"/>
  <c r="B2658" i="40"/>
  <c r="B2659" i="40"/>
  <c r="B2660" i="40"/>
  <c r="B2661" i="40"/>
  <c r="B2662" i="40"/>
  <c r="B2663" i="40"/>
  <c r="B2664" i="40"/>
  <c r="B2665" i="40"/>
  <c r="B2666" i="40"/>
  <c r="B2667" i="40"/>
  <c r="B2668" i="40"/>
  <c r="B2669" i="40"/>
  <c r="B2670" i="40"/>
  <c r="B2671" i="40"/>
  <c r="B2672" i="40"/>
  <c r="B2673" i="40"/>
  <c r="B2674" i="40"/>
  <c r="B2675" i="40"/>
  <c r="B2676" i="40"/>
  <c r="B2677" i="40"/>
  <c r="B2678" i="40"/>
  <c r="B2679" i="40"/>
  <c r="B2680" i="40"/>
  <c r="B2681" i="40"/>
  <c r="B2682" i="40"/>
  <c r="B2683" i="40"/>
  <c r="B2684" i="40"/>
  <c r="B2685" i="40"/>
  <c r="B2686" i="40"/>
  <c r="B2687" i="40"/>
  <c r="B2688" i="40"/>
  <c r="B2689" i="40"/>
  <c r="B2690" i="40"/>
  <c r="B2691" i="40"/>
  <c r="B2692" i="40"/>
  <c r="B2693" i="40"/>
  <c r="B2694" i="40"/>
  <c r="B2695" i="40"/>
  <c r="B2696" i="40"/>
  <c r="B2697" i="40"/>
  <c r="B2698" i="40"/>
  <c r="B2699" i="40"/>
  <c r="B2700" i="40"/>
  <c r="B2701" i="40"/>
  <c r="B2702" i="40"/>
  <c r="B2703" i="40"/>
  <c r="B2704" i="40"/>
  <c r="B2705" i="40"/>
  <c r="B2706" i="40"/>
  <c r="B2707" i="40"/>
  <c r="B2708" i="40"/>
  <c r="B2709" i="40"/>
  <c r="B2710" i="40"/>
  <c r="B2711" i="40"/>
  <c r="B2712" i="40"/>
  <c r="B2713" i="40"/>
  <c r="B2714" i="40"/>
  <c r="B2715" i="40"/>
  <c r="B2716" i="40"/>
  <c r="B2717" i="40"/>
  <c r="B2718" i="40"/>
  <c r="B2719" i="40"/>
  <c r="B2720" i="40"/>
  <c r="B2721" i="40"/>
  <c r="B2722" i="40"/>
  <c r="B2723" i="40"/>
  <c r="B2724" i="40"/>
  <c r="B2725" i="40"/>
  <c r="B2726" i="40"/>
  <c r="B2727" i="40"/>
  <c r="B2728" i="40"/>
  <c r="B2729" i="40"/>
  <c r="B2730" i="40"/>
  <c r="B2731" i="40"/>
  <c r="B2732" i="40"/>
  <c r="B2733" i="40"/>
  <c r="B2734" i="40"/>
  <c r="B2735" i="40"/>
  <c r="B2736" i="40"/>
  <c r="B2737" i="40"/>
  <c r="B2738" i="40"/>
  <c r="B2739" i="40"/>
  <c r="B2740" i="40"/>
  <c r="B2741" i="40"/>
  <c r="B2742" i="40"/>
  <c r="B2743" i="40"/>
  <c r="B2744" i="40"/>
  <c r="B2745" i="40"/>
  <c r="B2746" i="40"/>
  <c r="B2747" i="40"/>
  <c r="B2748" i="40"/>
  <c r="B2749" i="40"/>
  <c r="B2750" i="40"/>
  <c r="B2751" i="40"/>
  <c r="B2752" i="40"/>
  <c r="B2753" i="40"/>
  <c r="B2754" i="40"/>
  <c r="B2755" i="40"/>
  <c r="B2756" i="40"/>
  <c r="B2757" i="40"/>
  <c r="B2758" i="40"/>
  <c r="B2759" i="40"/>
  <c r="B2760" i="40"/>
  <c r="B2761" i="40"/>
  <c r="B2762" i="40"/>
  <c r="B2763" i="40"/>
  <c r="B2764" i="40"/>
  <c r="B2765" i="40"/>
  <c r="B2766" i="40"/>
  <c r="B2767" i="40"/>
  <c r="B2768" i="40"/>
  <c r="B2769" i="40"/>
  <c r="B2770" i="40"/>
  <c r="B2771" i="40"/>
  <c r="B2772" i="40"/>
  <c r="B2773" i="40"/>
  <c r="B2774" i="40"/>
  <c r="B2775" i="40"/>
  <c r="B2776" i="40"/>
  <c r="B2777" i="40"/>
  <c r="B2778" i="40"/>
  <c r="B2779" i="40"/>
  <c r="B2780" i="40"/>
  <c r="B2781" i="40"/>
  <c r="B2782" i="40"/>
  <c r="B2783" i="40"/>
  <c r="B2784" i="40"/>
  <c r="B2785" i="40"/>
  <c r="B2786" i="40"/>
  <c r="B2787" i="40"/>
  <c r="B2788" i="40"/>
  <c r="B2789" i="40"/>
  <c r="B2790" i="40"/>
  <c r="B2791" i="40"/>
  <c r="B2792" i="40"/>
  <c r="B2793" i="40"/>
  <c r="B2794" i="40"/>
  <c r="B2795" i="40"/>
  <c r="B2796" i="40"/>
  <c r="B2797" i="40"/>
  <c r="B2798" i="40"/>
  <c r="B2799" i="40"/>
  <c r="B2800" i="40"/>
  <c r="B2801" i="40"/>
  <c r="B2802" i="40"/>
  <c r="B2803" i="40"/>
  <c r="B2804" i="40"/>
  <c r="B2805" i="40"/>
  <c r="B2806" i="40"/>
  <c r="B2807" i="40"/>
  <c r="B2808" i="40"/>
  <c r="B2809" i="40"/>
  <c r="B2810" i="40"/>
  <c r="B2811" i="40"/>
  <c r="B2812" i="40"/>
  <c r="B2813" i="40"/>
  <c r="B2814" i="40"/>
  <c r="B2815" i="40"/>
  <c r="B2816" i="40"/>
  <c r="B2817" i="40"/>
  <c r="B2818" i="40"/>
  <c r="B2819" i="40"/>
  <c r="B2820" i="40"/>
  <c r="B2821" i="40"/>
  <c r="B2822" i="40"/>
  <c r="B2823" i="40"/>
  <c r="B2824" i="40"/>
  <c r="B2825" i="40"/>
  <c r="B2826" i="40"/>
  <c r="B2827" i="40"/>
  <c r="B2828" i="40"/>
  <c r="B2829" i="40"/>
  <c r="B2830" i="40"/>
  <c r="B2831" i="40"/>
  <c r="B2832" i="40"/>
  <c r="B2833" i="40"/>
  <c r="B2834" i="40"/>
  <c r="B2835" i="40"/>
  <c r="B2836" i="40"/>
  <c r="B2837" i="40"/>
  <c r="B2838" i="40"/>
  <c r="B2839" i="40"/>
  <c r="B2840" i="40"/>
  <c r="B2841" i="40"/>
  <c r="B2842" i="40"/>
  <c r="B2843" i="40"/>
  <c r="B2844" i="40"/>
  <c r="B2845" i="40"/>
  <c r="B2846" i="40"/>
  <c r="B2847" i="40"/>
  <c r="B2848" i="40"/>
  <c r="B2849" i="40"/>
  <c r="B2850" i="40"/>
  <c r="B2851" i="40"/>
  <c r="B2852" i="40"/>
  <c r="B2853" i="40"/>
  <c r="B2854" i="40"/>
  <c r="B2855" i="40"/>
  <c r="B2856" i="40"/>
  <c r="B2857" i="40"/>
  <c r="B2858" i="40"/>
  <c r="B2859" i="40"/>
  <c r="B2860" i="40"/>
  <c r="B2861" i="40"/>
  <c r="B2862" i="40"/>
  <c r="B2863" i="40"/>
  <c r="B2864" i="40"/>
  <c r="B2865" i="40"/>
  <c r="B2866" i="40"/>
  <c r="B2867" i="40"/>
  <c r="B2868" i="40"/>
  <c r="B2869" i="40"/>
  <c r="B2870" i="40"/>
  <c r="B2871" i="40"/>
  <c r="B2872" i="40"/>
  <c r="B2873" i="40"/>
  <c r="B2874" i="40"/>
  <c r="B2875" i="40"/>
  <c r="B2876" i="40"/>
  <c r="B2877" i="40"/>
  <c r="B2878" i="40"/>
  <c r="B2879" i="40"/>
  <c r="B2880" i="40"/>
  <c r="B2881" i="40"/>
  <c r="B2882" i="40"/>
  <c r="B2883" i="40"/>
  <c r="B2884" i="40"/>
  <c r="B2885" i="40"/>
  <c r="B2886" i="40"/>
  <c r="B2887" i="40"/>
  <c r="B2888" i="40"/>
  <c r="B2889" i="40"/>
  <c r="B2890" i="40"/>
  <c r="B2891" i="40"/>
  <c r="B2892" i="40"/>
  <c r="B2893" i="40"/>
  <c r="B2894" i="40"/>
  <c r="B2895" i="40"/>
  <c r="B2896" i="40"/>
  <c r="B2897" i="40"/>
  <c r="B2898" i="40"/>
  <c r="B2899" i="40"/>
  <c r="B2900" i="40"/>
  <c r="B2901" i="40"/>
  <c r="B2902" i="40"/>
  <c r="B2903" i="40"/>
  <c r="B2904" i="40"/>
  <c r="B2905" i="40"/>
  <c r="B2906" i="40"/>
  <c r="B2907" i="40"/>
  <c r="B2908" i="40"/>
  <c r="B2909" i="40"/>
  <c r="B2910" i="40"/>
  <c r="B2911" i="40"/>
  <c r="B2912" i="40"/>
  <c r="B2913" i="40"/>
  <c r="B2914" i="40"/>
  <c r="B2915" i="40"/>
  <c r="B2916" i="40"/>
  <c r="B2917" i="40"/>
  <c r="B2918" i="40"/>
  <c r="B2919" i="40"/>
  <c r="B2920" i="40"/>
  <c r="B2921" i="40"/>
  <c r="B2922" i="40"/>
  <c r="B2923" i="40"/>
  <c r="B2924" i="40"/>
  <c r="B2925" i="40"/>
  <c r="B2926" i="40"/>
  <c r="B2927" i="40"/>
  <c r="B2928" i="40"/>
  <c r="B2929" i="40"/>
  <c r="B2930" i="40"/>
  <c r="B2931" i="40"/>
  <c r="B2932" i="40"/>
  <c r="B2933" i="40"/>
  <c r="B2934" i="40"/>
  <c r="B2935" i="40"/>
  <c r="B2936" i="40"/>
  <c r="B2937" i="40"/>
  <c r="B2938" i="40"/>
  <c r="B2939" i="40"/>
  <c r="B2940" i="40"/>
  <c r="B2941" i="40"/>
  <c r="B2942" i="40"/>
  <c r="B2943" i="40"/>
  <c r="B2944" i="40"/>
  <c r="B2945" i="40"/>
  <c r="B2946" i="40"/>
  <c r="B2947" i="40"/>
  <c r="B2948" i="40"/>
  <c r="B2949" i="40"/>
  <c r="B2950" i="40"/>
  <c r="B2951" i="40"/>
  <c r="B2952" i="40"/>
  <c r="B2953" i="40"/>
  <c r="B2954" i="40"/>
  <c r="B2955" i="40"/>
  <c r="B2956" i="40"/>
  <c r="B2957" i="40"/>
  <c r="B2958" i="40"/>
  <c r="B2959" i="40"/>
  <c r="B2960" i="40"/>
  <c r="B2961" i="40"/>
  <c r="B2962" i="40"/>
  <c r="B2963" i="40"/>
  <c r="B2964" i="40"/>
  <c r="B2965" i="40"/>
  <c r="B2966" i="40"/>
  <c r="B2967" i="40"/>
  <c r="B2968" i="40"/>
  <c r="B2969" i="40"/>
  <c r="B2970" i="40"/>
  <c r="B2971" i="40"/>
  <c r="B2972" i="40"/>
  <c r="B2973" i="40"/>
  <c r="B2974" i="40"/>
  <c r="B2975" i="40"/>
  <c r="B2976" i="40"/>
  <c r="B2977" i="40"/>
  <c r="B2978" i="40"/>
  <c r="B2979" i="40"/>
  <c r="B2980" i="40"/>
  <c r="B2981" i="40"/>
  <c r="B2982" i="40"/>
  <c r="B2983" i="40"/>
  <c r="B2984" i="40"/>
  <c r="B2985" i="40"/>
  <c r="B2986" i="40"/>
  <c r="B2987" i="40"/>
  <c r="B2988" i="40"/>
  <c r="B2989" i="40"/>
  <c r="B2990" i="40"/>
  <c r="B2991" i="40"/>
  <c r="B2992" i="40"/>
  <c r="B2993" i="40"/>
  <c r="B2994" i="40"/>
  <c r="B2995" i="40"/>
  <c r="B2996" i="40"/>
  <c r="B2997" i="40"/>
  <c r="B2998" i="40"/>
  <c r="B2999" i="40"/>
  <c r="B3000" i="40"/>
  <c r="B3001" i="40"/>
  <c r="B3002" i="40"/>
  <c r="B3003" i="40"/>
  <c r="B3004" i="40"/>
  <c r="B3005" i="40"/>
  <c r="B3006" i="40"/>
  <c r="B3007" i="40"/>
  <c r="B3008" i="40"/>
  <c r="B3009" i="40"/>
  <c r="B3010" i="40"/>
  <c r="B3011" i="40"/>
  <c r="B3012" i="40"/>
  <c r="B3013" i="40"/>
  <c r="B3014" i="40"/>
  <c r="B3015" i="40"/>
  <c r="B3016" i="40"/>
  <c r="B3017" i="40"/>
  <c r="B3018" i="40"/>
  <c r="B3019" i="40"/>
  <c r="B3020" i="40"/>
  <c r="B3021" i="40"/>
  <c r="B3022" i="40"/>
  <c r="B3023" i="40"/>
  <c r="B3024" i="40"/>
  <c r="B3025" i="40"/>
  <c r="B3026" i="40"/>
  <c r="B3027" i="40"/>
  <c r="B3028" i="40"/>
  <c r="B3029" i="40"/>
  <c r="B3030" i="40"/>
  <c r="B3031" i="40"/>
  <c r="B3032" i="40"/>
  <c r="B3033" i="40"/>
  <c r="B3034" i="40"/>
  <c r="B3035" i="40"/>
  <c r="B3036" i="40"/>
  <c r="B3037" i="40"/>
  <c r="B3038" i="40"/>
  <c r="B3039" i="40"/>
  <c r="B3040" i="40"/>
  <c r="B3041" i="40"/>
  <c r="B3042" i="40"/>
  <c r="B3043" i="40"/>
  <c r="B3044" i="40"/>
  <c r="B3045" i="40"/>
  <c r="B3046" i="40"/>
  <c r="B3047" i="40"/>
  <c r="B3048" i="40"/>
  <c r="B3049" i="40"/>
  <c r="B3050" i="40"/>
  <c r="B3051" i="40"/>
  <c r="B3052" i="40"/>
  <c r="B3053" i="40"/>
  <c r="B3054" i="40"/>
  <c r="B3055" i="40"/>
  <c r="B3056" i="40"/>
  <c r="B3057" i="40"/>
  <c r="B3058" i="40"/>
  <c r="B3059" i="40"/>
  <c r="B3060" i="40"/>
  <c r="B3061" i="40"/>
  <c r="B3062" i="40"/>
  <c r="B3063" i="40"/>
  <c r="B3064" i="40"/>
  <c r="B3065" i="40"/>
  <c r="B3066" i="40"/>
  <c r="B3067" i="40"/>
  <c r="B3068" i="40"/>
  <c r="B3069" i="40"/>
  <c r="B3070" i="40"/>
  <c r="B3071" i="40"/>
  <c r="B3072" i="40"/>
  <c r="B3073" i="40"/>
  <c r="B3074" i="40"/>
  <c r="B3075" i="40"/>
  <c r="B3076" i="40"/>
  <c r="B3077" i="40"/>
  <c r="B3078" i="40"/>
  <c r="B3079" i="40"/>
  <c r="B3080" i="40"/>
  <c r="B3081" i="40"/>
  <c r="B3082" i="40"/>
  <c r="B3083" i="40"/>
  <c r="B3084" i="40"/>
  <c r="B3085" i="40"/>
  <c r="B3086" i="40"/>
  <c r="B3087" i="40"/>
  <c r="B3088" i="40"/>
  <c r="B3089" i="40"/>
  <c r="B3090" i="40"/>
  <c r="B3091" i="40"/>
  <c r="B3092" i="40"/>
  <c r="B3093" i="40"/>
  <c r="B3094" i="40"/>
  <c r="B3095" i="40"/>
  <c r="B3096" i="40"/>
  <c r="B3097" i="40"/>
  <c r="B3098" i="40"/>
  <c r="B3099" i="40"/>
  <c r="B3100" i="40"/>
  <c r="B3101" i="40"/>
  <c r="B3102" i="40"/>
  <c r="B3103" i="40"/>
  <c r="B3104" i="40"/>
  <c r="B3105" i="40"/>
  <c r="B3106" i="40"/>
  <c r="B3107" i="40"/>
  <c r="B3108" i="40"/>
  <c r="B3109" i="40"/>
  <c r="B3110" i="40"/>
  <c r="B3111" i="40"/>
  <c r="B3112" i="40"/>
  <c r="B3113" i="40"/>
  <c r="B3114" i="40"/>
  <c r="B3115" i="40"/>
  <c r="B3116" i="40"/>
  <c r="B3117" i="40"/>
  <c r="B3118" i="40"/>
  <c r="B3119" i="40"/>
  <c r="B3120" i="40"/>
  <c r="B3121" i="40"/>
  <c r="B3122" i="40"/>
  <c r="B3123" i="40"/>
  <c r="B3124" i="40"/>
  <c r="B3125" i="40"/>
  <c r="B3126" i="40"/>
  <c r="B3127" i="40"/>
  <c r="B3128" i="40"/>
  <c r="B3129" i="40"/>
  <c r="B3130" i="40"/>
  <c r="B3131" i="40"/>
  <c r="B3132" i="40"/>
  <c r="B3133" i="40"/>
  <c r="B3134" i="40"/>
  <c r="B3135" i="40"/>
  <c r="B3136" i="40"/>
  <c r="B3137" i="40"/>
  <c r="B3138" i="40"/>
  <c r="B3139" i="40"/>
  <c r="B3140" i="40"/>
  <c r="B3141" i="40"/>
  <c r="B3142" i="40"/>
  <c r="B3143" i="40"/>
  <c r="B3144" i="40"/>
  <c r="B3145" i="40"/>
  <c r="B3146" i="40"/>
  <c r="B3147" i="40"/>
  <c r="B3148" i="40"/>
  <c r="B3149" i="40"/>
  <c r="B3150" i="40"/>
  <c r="B3151" i="40"/>
  <c r="B3152" i="40"/>
  <c r="B3153" i="40"/>
  <c r="B3154" i="40"/>
  <c r="B3155" i="40"/>
  <c r="B3156" i="40"/>
  <c r="B3157" i="40"/>
  <c r="B3158" i="40"/>
  <c r="B3159" i="40"/>
  <c r="B3160" i="40"/>
  <c r="B3161" i="40"/>
  <c r="B3162" i="40"/>
  <c r="B3163" i="40"/>
  <c r="B3164" i="40"/>
  <c r="B3165" i="40"/>
  <c r="B3166" i="40"/>
  <c r="B3167" i="40"/>
  <c r="B3168" i="40"/>
  <c r="B3169" i="40"/>
  <c r="B3170" i="40"/>
  <c r="B3171" i="40"/>
  <c r="B3172" i="40"/>
  <c r="B3173" i="40"/>
  <c r="B3174" i="40"/>
  <c r="B3175" i="40"/>
  <c r="B3176" i="40"/>
  <c r="B3177" i="40"/>
  <c r="B3178" i="40"/>
  <c r="B3179" i="40"/>
  <c r="B3180" i="40"/>
  <c r="B3181" i="40"/>
  <c r="B3182" i="40"/>
  <c r="B3183" i="40"/>
  <c r="B3184" i="40"/>
  <c r="B3185" i="40"/>
  <c r="B3186" i="40"/>
  <c r="B3187" i="40"/>
  <c r="B3188" i="40"/>
  <c r="B3189" i="40"/>
  <c r="B3190" i="40"/>
  <c r="B3191" i="40"/>
  <c r="B3192" i="40"/>
  <c r="B3193" i="40"/>
  <c r="B3194" i="40"/>
  <c r="B3195" i="40"/>
  <c r="B3196" i="40"/>
  <c r="B3197" i="40"/>
  <c r="B3198" i="40"/>
  <c r="B3199" i="40"/>
  <c r="B3200" i="40"/>
  <c r="B3201" i="40"/>
  <c r="B3202" i="40"/>
  <c r="B3203" i="40"/>
  <c r="B3204" i="40"/>
  <c r="B3205" i="40"/>
  <c r="B3206" i="40"/>
  <c r="B3207" i="40"/>
  <c r="B3208" i="40"/>
  <c r="B3209" i="40"/>
  <c r="B3210" i="40"/>
  <c r="B3211" i="40"/>
  <c r="B3212" i="40"/>
  <c r="B3213" i="40"/>
  <c r="B3214" i="40"/>
  <c r="B3215" i="40"/>
  <c r="B3216" i="40"/>
  <c r="B3217" i="40"/>
  <c r="B3218" i="40"/>
  <c r="B3219" i="40"/>
  <c r="B3220" i="40"/>
  <c r="B3221" i="40"/>
  <c r="B3222" i="40"/>
  <c r="B3223" i="40"/>
  <c r="B3224" i="40"/>
  <c r="B3225" i="40"/>
  <c r="B3226" i="40"/>
  <c r="B3227" i="40"/>
  <c r="B3228" i="40"/>
  <c r="B3229" i="40"/>
  <c r="B3230" i="40"/>
  <c r="B3231" i="40"/>
  <c r="B3232" i="40"/>
  <c r="B3233" i="40"/>
  <c r="B3234" i="40"/>
  <c r="B3235" i="40"/>
  <c r="B3236" i="40"/>
  <c r="B3237" i="40"/>
  <c r="B3238" i="40"/>
  <c r="B3239" i="40"/>
  <c r="B3240" i="40"/>
  <c r="B3241" i="40"/>
  <c r="B3242" i="40"/>
  <c r="B3243" i="40"/>
  <c r="B3244" i="40"/>
  <c r="B3245" i="40"/>
  <c r="B3246" i="40"/>
  <c r="B3247" i="40"/>
  <c r="B3248" i="40"/>
  <c r="B3249" i="40"/>
  <c r="B3250" i="40"/>
  <c r="B3251" i="40"/>
  <c r="B3252" i="40"/>
  <c r="B3253" i="40"/>
  <c r="B3254" i="40"/>
  <c r="B3255" i="40"/>
  <c r="B3256" i="40"/>
  <c r="B3257" i="40"/>
  <c r="B3258" i="40"/>
  <c r="B3259" i="40"/>
  <c r="B3260" i="40"/>
  <c r="B3261" i="40"/>
  <c r="B3262" i="40"/>
  <c r="B3263" i="40"/>
  <c r="B3264" i="40"/>
  <c r="B3265" i="40"/>
  <c r="B3266" i="40"/>
  <c r="B3267" i="40"/>
  <c r="B3268" i="40"/>
  <c r="B3269" i="40"/>
  <c r="B3270" i="40"/>
  <c r="B3271" i="40"/>
  <c r="B3272" i="40"/>
  <c r="B3273" i="40"/>
  <c r="B3274" i="40"/>
  <c r="B3275" i="40"/>
  <c r="B3276" i="40"/>
  <c r="B3277" i="40"/>
  <c r="B3278" i="40"/>
  <c r="B3279" i="40"/>
  <c r="B3280" i="40"/>
  <c r="B3281" i="40"/>
  <c r="B3282" i="40"/>
  <c r="B3283" i="40"/>
  <c r="B3284" i="40"/>
  <c r="B3285" i="40"/>
  <c r="B3286" i="40"/>
  <c r="B3287" i="40"/>
  <c r="B3288" i="40"/>
  <c r="B3289" i="40"/>
  <c r="B3290" i="40"/>
  <c r="B3291" i="40"/>
  <c r="B3292" i="40"/>
  <c r="B3293" i="40"/>
  <c r="B3294" i="40"/>
  <c r="B3295" i="40"/>
  <c r="B3296" i="40"/>
  <c r="B3297" i="40"/>
  <c r="B3298" i="40"/>
  <c r="B3299" i="40"/>
  <c r="B3300" i="40"/>
  <c r="B3301" i="40"/>
  <c r="B3302" i="40"/>
  <c r="B3303" i="40"/>
  <c r="B3304" i="40"/>
  <c r="B3305" i="40"/>
  <c r="B3306" i="40"/>
  <c r="B3307" i="40"/>
  <c r="B3308" i="40"/>
  <c r="B3309" i="40"/>
  <c r="B3310" i="40"/>
  <c r="B3311" i="40"/>
  <c r="B3312" i="40"/>
  <c r="B3313" i="40"/>
  <c r="B3314" i="40"/>
  <c r="B3315" i="40"/>
  <c r="B3316" i="40"/>
  <c r="B3317" i="40"/>
  <c r="B3318" i="40"/>
  <c r="B3319" i="40"/>
  <c r="B3320" i="40"/>
  <c r="B3321" i="40"/>
  <c r="B3322" i="40"/>
  <c r="B3323" i="40"/>
  <c r="B3324" i="40"/>
  <c r="B3325" i="40"/>
  <c r="B3326" i="40"/>
  <c r="B3327" i="40"/>
  <c r="B3328" i="40"/>
  <c r="B3329" i="40"/>
  <c r="B3330" i="40"/>
  <c r="B3331" i="40"/>
  <c r="B3332" i="40"/>
  <c r="B3333" i="40"/>
  <c r="B3334" i="40"/>
  <c r="B3335" i="40"/>
  <c r="B3336" i="40"/>
  <c r="B3337" i="40"/>
  <c r="B3338" i="40"/>
  <c r="B3339" i="40"/>
  <c r="B3340" i="40"/>
  <c r="B3341" i="40"/>
  <c r="B3342" i="40"/>
  <c r="B3343" i="40"/>
  <c r="B3344" i="40"/>
  <c r="B3345" i="40"/>
  <c r="B3346" i="40"/>
  <c r="B3347" i="40"/>
  <c r="B3348" i="40"/>
  <c r="B3349" i="40"/>
  <c r="B3350" i="40"/>
  <c r="B3351" i="40"/>
  <c r="B3352" i="40"/>
  <c r="B3353" i="40"/>
  <c r="B3354" i="40"/>
  <c r="B3355" i="40"/>
  <c r="B3356" i="40"/>
  <c r="B3357" i="40"/>
  <c r="B3358" i="40"/>
  <c r="B3359" i="40"/>
  <c r="B3360" i="40"/>
  <c r="B3361" i="40"/>
  <c r="B3362" i="40"/>
  <c r="B3363" i="40"/>
  <c r="B3364" i="40"/>
  <c r="B3365" i="40"/>
  <c r="B3366" i="40"/>
  <c r="B3367" i="40"/>
  <c r="B3368" i="40"/>
  <c r="B3369" i="40"/>
  <c r="B3370" i="40"/>
  <c r="B3371" i="40"/>
  <c r="B3372" i="40"/>
  <c r="B3373" i="40"/>
  <c r="B3374" i="40"/>
  <c r="B3375" i="40"/>
  <c r="B3376" i="40"/>
  <c r="B3377" i="40"/>
  <c r="B3378" i="40"/>
  <c r="B3379" i="40"/>
  <c r="B3380" i="40"/>
  <c r="B3381" i="40"/>
  <c r="B3382" i="40"/>
  <c r="B3383" i="40"/>
  <c r="B3384" i="40"/>
  <c r="B3385" i="40"/>
  <c r="B3386" i="40"/>
  <c r="B3387" i="40"/>
  <c r="B3388" i="40"/>
  <c r="B3389" i="40"/>
  <c r="B3390" i="40"/>
  <c r="B3391" i="40"/>
  <c r="B3392" i="40"/>
  <c r="B3393" i="40"/>
  <c r="B3394" i="40"/>
  <c r="B3395" i="40"/>
  <c r="B3396" i="40"/>
  <c r="B3397" i="40"/>
  <c r="B3398" i="40"/>
  <c r="B3399" i="40"/>
  <c r="B3400" i="40"/>
  <c r="B3401" i="40"/>
  <c r="B3402" i="40"/>
  <c r="B3403" i="40"/>
  <c r="B3404" i="40"/>
  <c r="B3405" i="40"/>
  <c r="B3406" i="40"/>
  <c r="B3407" i="40"/>
  <c r="B3408" i="40"/>
  <c r="B3409" i="40"/>
  <c r="B3410" i="40"/>
  <c r="B3411" i="40"/>
  <c r="B3412" i="40"/>
  <c r="B3413" i="40"/>
  <c r="B3414" i="40"/>
  <c r="B3415" i="40"/>
  <c r="B3416" i="40"/>
  <c r="B3417" i="40"/>
  <c r="B3418" i="40"/>
  <c r="B3419" i="40"/>
  <c r="B3420" i="40"/>
  <c r="B3421" i="40"/>
  <c r="B3422" i="40"/>
  <c r="B3423" i="40"/>
  <c r="B3424" i="40"/>
  <c r="B3425" i="40"/>
  <c r="B3426" i="40"/>
  <c r="B3427" i="40"/>
  <c r="B3428" i="40"/>
  <c r="B3429" i="40"/>
  <c r="B3430" i="40"/>
  <c r="B3431" i="40"/>
  <c r="B3432" i="40"/>
  <c r="B3433" i="40"/>
  <c r="B3434" i="40"/>
  <c r="B3435" i="40"/>
  <c r="B3436" i="40"/>
  <c r="B3437" i="40"/>
  <c r="B3438" i="40"/>
  <c r="B3439" i="40"/>
  <c r="B3440" i="40"/>
  <c r="B3441" i="40"/>
  <c r="B3442" i="40"/>
  <c r="B3443" i="40"/>
  <c r="B3444" i="40"/>
  <c r="B3445" i="40"/>
  <c r="B3446" i="40"/>
  <c r="B3447" i="40"/>
  <c r="B3448" i="40"/>
  <c r="B3449" i="40"/>
  <c r="B3450" i="40"/>
  <c r="B3451" i="40"/>
  <c r="B3452" i="40"/>
  <c r="B3453" i="40"/>
  <c r="B3454" i="40"/>
  <c r="B3455" i="40"/>
  <c r="B3456" i="40"/>
  <c r="B3457" i="40"/>
  <c r="B3458" i="40"/>
  <c r="B3459" i="40"/>
  <c r="B3460" i="40"/>
  <c r="B3461" i="40"/>
  <c r="B3462" i="40"/>
  <c r="B3463" i="40"/>
  <c r="B3464" i="40"/>
  <c r="B3465" i="40"/>
  <c r="B3466" i="40"/>
  <c r="B3467" i="40"/>
  <c r="B3468" i="40"/>
  <c r="B3469" i="40"/>
  <c r="B3470" i="40"/>
  <c r="B3471" i="40"/>
  <c r="B3472" i="40"/>
  <c r="B3473" i="40"/>
  <c r="B3474" i="40"/>
  <c r="B3475" i="40"/>
  <c r="B3476" i="40"/>
  <c r="B3477" i="40"/>
  <c r="B3478" i="40"/>
  <c r="B3479" i="40"/>
  <c r="B3480" i="40"/>
  <c r="B3481" i="40"/>
  <c r="B3482" i="40"/>
  <c r="B3483" i="40"/>
  <c r="B3484" i="40"/>
  <c r="B3485" i="40"/>
  <c r="B3486" i="40"/>
  <c r="B3487" i="40"/>
  <c r="B3488" i="40"/>
  <c r="B3489" i="40"/>
  <c r="B3490" i="40"/>
  <c r="B3491" i="40"/>
  <c r="B3492" i="40"/>
  <c r="B3493" i="40"/>
  <c r="B3494" i="40"/>
  <c r="B3495" i="40"/>
  <c r="B3496" i="40"/>
  <c r="B3497" i="40"/>
  <c r="B3498" i="40"/>
  <c r="B3499" i="40"/>
  <c r="B3500" i="40"/>
  <c r="B3501" i="40"/>
  <c r="B3502" i="40"/>
  <c r="B3503" i="40"/>
  <c r="B3504" i="40"/>
  <c r="B3505" i="40"/>
  <c r="B3506" i="40"/>
  <c r="B3507" i="40"/>
  <c r="B3508" i="40"/>
  <c r="B3509" i="40"/>
  <c r="B3510" i="40"/>
  <c r="B3511" i="40"/>
  <c r="B3512" i="40"/>
  <c r="B3513" i="40"/>
  <c r="B3514" i="40"/>
  <c r="B3515" i="40"/>
  <c r="B3516" i="40"/>
  <c r="B3517" i="40"/>
  <c r="B3518" i="40"/>
  <c r="B3519" i="40"/>
  <c r="B3520" i="40"/>
  <c r="B3521" i="40"/>
  <c r="B3522" i="40"/>
  <c r="B3523" i="40"/>
  <c r="B3524" i="40"/>
  <c r="B3525" i="40"/>
  <c r="B3526" i="40"/>
  <c r="B3527" i="40"/>
  <c r="B3528" i="40"/>
  <c r="B3529" i="40"/>
  <c r="B3530" i="40"/>
  <c r="B3531" i="40"/>
  <c r="B3532" i="40"/>
  <c r="B3533" i="40"/>
  <c r="B3534" i="40"/>
  <c r="B3535" i="40"/>
  <c r="B3536" i="40"/>
  <c r="B3537" i="40"/>
  <c r="B3538" i="40"/>
  <c r="B3539" i="40"/>
  <c r="B3540" i="40"/>
  <c r="B3541" i="40"/>
  <c r="B3542" i="40"/>
  <c r="B3543" i="40"/>
  <c r="B3544" i="40"/>
  <c r="B3545" i="40"/>
  <c r="B3546" i="40"/>
  <c r="B3547" i="40"/>
  <c r="B3548" i="40"/>
  <c r="B3549" i="40"/>
  <c r="B3550" i="40"/>
  <c r="B3551" i="40"/>
  <c r="B3552" i="40"/>
  <c r="B3553" i="40"/>
  <c r="B3554" i="40"/>
  <c r="B3555" i="40"/>
  <c r="B3556" i="40"/>
  <c r="B3557" i="40"/>
  <c r="B3558" i="40"/>
  <c r="B3559" i="40"/>
  <c r="B3560" i="40"/>
  <c r="B3561" i="40"/>
  <c r="B3562" i="40"/>
  <c r="B3563" i="40"/>
  <c r="B3564" i="40"/>
  <c r="B3565" i="40"/>
  <c r="B3566" i="40"/>
  <c r="B3567" i="40"/>
  <c r="B3568" i="40"/>
  <c r="B3569" i="40"/>
  <c r="B3570" i="40"/>
  <c r="B3571" i="40"/>
  <c r="B3572" i="40"/>
  <c r="B3573" i="40"/>
  <c r="B3574" i="40"/>
  <c r="B3575" i="40"/>
  <c r="B3576" i="40"/>
  <c r="B3577" i="40"/>
  <c r="B3578" i="40"/>
  <c r="B3579" i="40"/>
  <c r="B3580" i="40"/>
  <c r="B3581" i="40"/>
  <c r="B3582" i="40"/>
  <c r="B3583" i="40"/>
  <c r="B3584" i="40"/>
  <c r="B3585" i="40"/>
  <c r="B3586" i="40"/>
  <c r="B3587" i="40"/>
  <c r="B3588" i="40"/>
  <c r="B3589" i="40"/>
  <c r="B3590" i="40"/>
  <c r="B3591" i="40"/>
  <c r="B3592" i="40"/>
  <c r="B3593" i="40"/>
  <c r="B3594" i="40"/>
  <c r="B3595" i="40"/>
  <c r="B3596" i="40"/>
  <c r="B3597" i="40"/>
  <c r="B3598" i="40"/>
  <c r="B3599" i="40"/>
  <c r="B3600" i="40"/>
  <c r="B3601" i="40"/>
  <c r="B3602" i="40"/>
  <c r="B3603" i="40"/>
  <c r="B3604" i="40"/>
  <c r="B3605" i="40"/>
  <c r="B3606" i="40"/>
  <c r="B3607" i="40"/>
  <c r="B3608" i="40"/>
  <c r="B3609" i="40"/>
  <c r="B3610" i="40"/>
  <c r="B3611" i="40"/>
  <c r="B3612" i="40"/>
  <c r="B3613" i="40"/>
  <c r="B3614" i="40"/>
  <c r="B3615" i="40"/>
  <c r="B3616" i="40"/>
  <c r="B3617" i="40"/>
  <c r="B3618" i="40"/>
  <c r="B3619" i="40"/>
  <c r="B3620" i="40"/>
  <c r="B3621" i="40"/>
  <c r="B3622" i="40"/>
  <c r="B3623" i="40"/>
  <c r="B3624" i="40"/>
  <c r="B3625" i="40"/>
  <c r="B3626" i="40"/>
  <c r="B3627" i="40"/>
  <c r="B3628" i="40"/>
  <c r="B3629" i="40"/>
  <c r="B3630" i="40"/>
  <c r="B3631" i="40"/>
  <c r="B3632" i="40"/>
  <c r="B3633" i="40"/>
  <c r="B3634" i="40"/>
  <c r="B3635" i="40"/>
  <c r="B3636" i="40"/>
  <c r="B3637" i="40"/>
  <c r="B3638" i="40"/>
  <c r="B3639" i="40"/>
  <c r="B3640" i="40"/>
  <c r="B3641" i="40"/>
  <c r="B3642" i="40"/>
  <c r="B3643" i="40"/>
  <c r="B3644" i="40"/>
  <c r="B3645" i="40"/>
  <c r="B3646" i="40"/>
  <c r="B3647" i="40"/>
  <c r="B3648" i="40"/>
  <c r="B3649" i="40"/>
  <c r="B3650" i="40"/>
  <c r="B3651" i="40"/>
  <c r="B3652" i="40"/>
  <c r="B3653" i="40"/>
  <c r="B3654" i="40"/>
  <c r="B3655" i="40"/>
  <c r="B3656" i="40"/>
  <c r="B3657" i="40"/>
  <c r="B3658" i="40"/>
  <c r="B3659" i="40"/>
  <c r="B3660" i="40"/>
  <c r="B3661" i="40"/>
  <c r="B3662" i="40"/>
  <c r="B3663" i="40"/>
  <c r="B3664" i="40"/>
  <c r="B3665" i="40"/>
  <c r="B3666" i="40"/>
  <c r="B3667" i="40"/>
  <c r="B3668" i="40"/>
  <c r="B3669" i="40"/>
  <c r="B3670" i="40"/>
  <c r="B3671" i="40"/>
  <c r="B3672" i="40"/>
  <c r="B3673" i="40"/>
  <c r="B3674" i="40"/>
  <c r="B3675" i="40"/>
  <c r="B3676" i="40"/>
  <c r="B3677" i="40"/>
  <c r="B3678" i="40"/>
  <c r="B3679" i="40"/>
  <c r="B3680" i="40"/>
  <c r="B3681" i="40"/>
  <c r="B3682" i="40"/>
  <c r="B3683" i="40"/>
  <c r="B3684" i="40"/>
  <c r="B3685" i="40"/>
  <c r="B3686" i="40"/>
  <c r="B3687" i="40"/>
  <c r="B3688" i="40"/>
  <c r="B3689" i="40"/>
  <c r="B3690" i="40"/>
  <c r="B3691" i="40"/>
  <c r="B3692" i="40"/>
  <c r="B3693" i="40"/>
  <c r="B3694" i="40"/>
  <c r="B3695" i="40"/>
  <c r="B3696" i="40"/>
  <c r="B3697" i="40"/>
  <c r="B3698" i="40"/>
  <c r="B3699" i="40"/>
  <c r="B3700" i="40"/>
  <c r="B3701" i="40"/>
  <c r="B3702" i="40"/>
  <c r="B3703" i="40"/>
  <c r="B3704" i="40"/>
  <c r="B3705" i="40"/>
  <c r="B3706" i="40"/>
  <c r="B3707" i="40"/>
  <c r="B3708" i="40"/>
  <c r="B3709" i="40"/>
  <c r="B3710" i="40"/>
  <c r="B3711" i="40"/>
  <c r="B3712" i="40"/>
  <c r="B3713" i="40"/>
  <c r="B3714" i="40"/>
  <c r="B3715" i="40"/>
  <c r="B3716" i="40"/>
  <c r="B3717" i="40"/>
  <c r="B3718" i="40"/>
  <c r="B3719" i="40"/>
  <c r="B3720" i="40"/>
  <c r="B3721" i="40"/>
  <c r="B3722" i="40"/>
  <c r="B3723" i="40"/>
  <c r="B3724" i="40"/>
  <c r="B3725" i="40"/>
  <c r="B3726" i="40"/>
  <c r="B3727" i="40"/>
  <c r="B3728" i="40"/>
  <c r="B3729" i="40"/>
  <c r="B3730" i="40"/>
  <c r="B3731" i="40"/>
  <c r="B3732" i="40"/>
  <c r="B3733" i="40"/>
  <c r="B3734" i="40"/>
  <c r="B3735" i="40"/>
  <c r="B3736" i="40"/>
  <c r="B3737" i="40"/>
  <c r="B3738" i="40"/>
  <c r="B3739" i="40"/>
  <c r="B3740" i="40"/>
  <c r="B3741" i="40"/>
  <c r="B3742" i="40"/>
  <c r="B3743" i="40"/>
  <c r="B3744" i="40"/>
  <c r="B3745" i="40"/>
  <c r="B3746" i="40"/>
  <c r="B3747" i="40"/>
  <c r="B3748" i="40"/>
  <c r="B3749" i="40"/>
  <c r="B3750" i="40"/>
  <c r="B3751" i="40"/>
  <c r="B3752" i="40"/>
  <c r="B3753" i="40"/>
  <c r="B3754" i="40"/>
  <c r="B3755" i="40"/>
  <c r="B3756" i="40"/>
  <c r="B3757" i="40"/>
  <c r="B3758" i="40"/>
  <c r="B3759" i="40"/>
  <c r="B3760" i="40"/>
  <c r="B3761" i="40"/>
  <c r="B3762" i="40"/>
  <c r="B3763" i="40"/>
  <c r="B3764" i="40"/>
  <c r="B3765" i="40"/>
  <c r="B3766" i="40"/>
  <c r="B3767" i="40"/>
  <c r="B3768" i="40"/>
  <c r="B3769" i="40"/>
  <c r="B3770" i="40"/>
  <c r="B3771" i="40"/>
  <c r="B3772" i="40"/>
  <c r="B3773" i="40"/>
  <c r="B3774" i="40"/>
  <c r="B3775" i="40"/>
  <c r="B3776" i="40"/>
  <c r="B3777" i="40"/>
  <c r="B3778" i="40"/>
  <c r="B3779" i="40"/>
  <c r="B3780" i="40"/>
  <c r="B3781" i="40"/>
  <c r="B3782" i="40"/>
  <c r="B3783" i="40"/>
  <c r="B3" i="40"/>
  <c r="I60" i="95"/>
  <c r="I31" i="95"/>
  <c r="I47" i="94"/>
  <c r="I42" i="58"/>
  <c r="I36" i="19"/>
  <c r="I52" i="80"/>
  <c r="I62" i="53"/>
  <c r="I55" i="19"/>
  <c r="I28" i="58"/>
  <c r="I29" i="61"/>
  <c r="I33" i="53"/>
  <c r="I35" i="62"/>
  <c r="I35" i="94"/>
  <c r="I66" i="94"/>
  <c r="I57" i="61"/>
  <c r="I31" i="94"/>
  <c r="I57" i="62"/>
  <c r="I39" i="58"/>
  <c r="I51" i="53"/>
  <c r="I29" i="58"/>
  <c r="I33" i="78"/>
  <c r="I44" i="78"/>
  <c r="I32" i="53"/>
  <c r="B7" i="78"/>
  <c r="B8" i="78" s="1"/>
  <c r="B7" i="53"/>
  <c r="B8" i="53" s="1"/>
  <c r="B7" i="81"/>
  <c r="B8" i="81" s="1"/>
  <c r="B7" i="80"/>
  <c r="B8" i="80" s="1"/>
  <c r="B7" i="61"/>
  <c r="B8" i="61" s="1"/>
  <c r="B11" i="61" s="1"/>
  <c r="B7" i="62"/>
  <c r="B8" i="62" s="1"/>
  <c r="B7" i="58"/>
  <c r="B8" i="58" s="1"/>
  <c r="B8" i="34"/>
  <c r="B10" i="34" s="1"/>
  <c r="B7" i="34"/>
  <c r="B7" i="48"/>
  <c r="B8" i="48" s="1"/>
  <c r="B9" i="48" s="1"/>
  <c r="B7" i="33"/>
  <c r="B8" i="33" s="1"/>
  <c r="B9" i="33" s="1"/>
  <c r="B7" i="70"/>
  <c r="B8" i="70" s="1"/>
  <c r="B9" i="70" s="1"/>
  <c r="B7" i="20"/>
  <c r="B8" i="20" s="1"/>
  <c r="B9" i="20" s="1"/>
  <c r="B7" i="17"/>
  <c r="B8" i="17" s="1"/>
  <c r="B7" i="19"/>
  <c r="B8" i="19" s="1"/>
  <c r="B11" i="19" s="1"/>
  <c r="B7" i="18"/>
  <c r="B8" i="18" s="1"/>
  <c r="B10" i="18" s="1"/>
  <c r="B7" i="8"/>
  <c r="B8" i="8" s="1"/>
  <c r="B7" i="93"/>
  <c r="B8" i="93" s="1"/>
  <c r="B7" i="87"/>
  <c r="B9" i="87" s="1"/>
  <c r="B7" i="56"/>
  <c r="B8" i="56" s="1"/>
  <c r="B7" i="91"/>
  <c r="B8" i="91" s="1"/>
  <c r="B7" i="88"/>
  <c r="B8" i="88" s="1"/>
  <c r="B7" i="51"/>
  <c r="B8" i="51" s="1"/>
  <c r="B7" i="55"/>
  <c r="B8" i="55" s="1"/>
  <c r="B7" i="7"/>
  <c r="B8" i="7" s="1"/>
  <c r="B7" i="54"/>
  <c r="B8" i="54" s="1"/>
  <c r="B7" i="5"/>
  <c r="B8" i="5" s="1"/>
  <c r="B7" i="6"/>
  <c r="B8" i="6" s="1"/>
  <c r="B7" i="71"/>
  <c r="B8" i="71" s="1"/>
  <c r="B7" i="31"/>
  <c r="B8" i="31" s="1"/>
  <c r="B7" i="30"/>
  <c r="B8" i="30" s="1"/>
  <c r="B7" i="4"/>
  <c r="B8" i="4" s="1"/>
  <c r="B7" i="85"/>
  <c r="B8" i="85" s="1"/>
  <c r="B7" i="86"/>
  <c r="B8" i="86" s="1"/>
  <c r="B7" i="3"/>
  <c r="B8" i="3" s="1"/>
  <c r="B7" i="72"/>
  <c r="B8" i="72" s="1"/>
  <c r="B7" i="94"/>
  <c r="B8" i="94" s="1"/>
  <c r="B7" i="95"/>
  <c r="B10" i="95" s="1"/>
  <c r="D34" i="95" s="1"/>
  <c r="C7" i="95"/>
  <c r="C8" i="95" s="1"/>
  <c r="C7" i="94"/>
  <c r="C8" i="94" s="1"/>
  <c r="C9" i="94" s="1"/>
  <c r="C7" i="86"/>
  <c r="A62" i="95"/>
  <c r="K61" i="95"/>
  <c r="I61" i="95"/>
  <c r="K60" i="95"/>
  <c r="K59" i="95"/>
  <c r="I59" i="95"/>
  <c r="K58" i="95"/>
  <c r="I58" i="95"/>
  <c r="K57" i="95"/>
  <c r="I57" i="95"/>
  <c r="K56" i="95"/>
  <c r="I56" i="95"/>
  <c r="K55" i="95"/>
  <c r="I55" i="95"/>
  <c r="I54" i="95"/>
  <c r="K53" i="95"/>
  <c r="I53" i="95"/>
  <c r="I52" i="95"/>
  <c r="J51" i="95"/>
  <c r="I51" i="95"/>
  <c r="K50" i="95"/>
  <c r="I50" i="95"/>
  <c r="K49" i="95"/>
  <c r="K48" i="95"/>
  <c r="K47" i="95"/>
  <c r="K46" i="95"/>
  <c r="K45" i="95"/>
  <c r="I45" i="95"/>
  <c r="K44" i="95"/>
  <c r="I44" i="95"/>
  <c r="L43" i="95"/>
  <c r="K43" i="95"/>
  <c r="I43" i="95"/>
  <c r="K42" i="95"/>
  <c r="K41" i="95"/>
  <c r="I41" i="95"/>
  <c r="K40" i="95"/>
  <c r="I40" i="95"/>
  <c r="K39" i="95"/>
  <c r="K38" i="95"/>
  <c r="B38" i="95"/>
  <c r="I36" i="95"/>
  <c r="K35" i="95"/>
  <c r="I35" i="95"/>
  <c r="D33" i="95"/>
  <c r="D32" i="95"/>
  <c r="D31" i="95"/>
  <c r="K31" i="95" s="1"/>
  <c r="C9" i="95"/>
  <c r="P10" i="95"/>
  <c r="M9" i="95"/>
  <c r="P7" i="95"/>
  <c r="L26" i="95" s="1"/>
  <c r="B6" i="95"/>
  <c r="N4" i="95"/>
  <c r="N5" i="95" s="1"/>
  <c r="L4" i="95"/>
  <c r="L5" i="95" s="1"/>
  <c r="A67" i="94"/>
  <c r="K66" i="94"/>
  <c r="K65" i="94"/>
  <c r="K64" i="94"/>
  <c r="I64" i="94"/>
  <c r="K63" i="94"/>
  <c r="I63" i="94"/>
  <c r="K62" i="94"/>
  <c r="I62" i="94"/>
  <c r="K61" i="94"/>
  <c r="I61" i="94"/>
  <c r="K60" i="94"/>
  <c r="I60" i="94"/>
  <c r="I59" i="94"/>
  <c r="K58" i="94"/>
  <c r="I58" i="94"/>
  <c r="I57" i="94"/>
  <c r="J56" i="94"/>
  <c r="I56" i="94"/>
  <c r="K55" i="94"/>
  <c r="I55" i="94"/>
  <c r="K54" i="94"/>
  <c r="K53" i="94"/>
  <c r="K52" i="94"/>
  <c r="K51" i="94"/>
  <c r="K50" i="94"/>
  <c r="I50" i="94"/>
  <c r="K49" i="94"/>
  <c r="I49" i="94"/>
  <c r="L48" i="94"/>
  <c r="K48" i="94"/>
  <c r="I48" i="94"/>
  <c r="K47" i="94"/>
  <c r="K46" i="94"/>
  <c r="I46" i="94"/>
  <c r="K45" i="94"/>
  <c r="K44" i="94"/>
  <c r="K43" i="94"/>
  <c r="B43" i="94"/>
  <c r="I42" i="94"/>
  <c r="I41" i="94"/>
  <c r="K40" i="94"/>
  <c r="I40" i="94"/>
  <c r="D35" i="94"/>
  <c r="K35" i="94" s="1"/>
  <c r="D33" i="94"/>
  <c r="D32" i="94"/>
  <c r="B32" i="94"/>
  <c r="D31" i="94"/>
  <c r="K31" i="94" s="1"/>
  <c r="A14" i="94"/>
  <c r="C11" i="94"/>
  <c r="P10" i="94"/>
  <c r="M9" i="94"/>
  <c r="P7" i="94"/>
  <c r="L26" i="94" s="1"/>
  <c r="B12" i="94"/>
  <c r="D34" i="94" s="1"/>
  <c r="B6" i="94"/>
  <c r="N4" i="94"/>
  <c r="N5" i="94" s="1"/>
  <c r="L4" i="94"/>
  <c r="L5" i="94" s="1"/>
  <c r="C11" i="78"/>
  <c r="C7" i="78"/>
  <c r="C10" i="78" s="1"/>
  <c r="I64" i="78"/>
  <c r="I63" i="78"/>
  <c r="I62" i="78"/>
  <c r="I60" i="78"/>
  <c r="I59" i="78"/>
  <c r="I58" i="78"/>
  <c r="I57" i="78"/>
  <c r="I56" i="78"/>
  <c r="I55" i="78"/>
  <c r="I54" i="78"/>
  <c r="I53" i="78"/>
  <c r="I51" i="78"/>
  <c r="I49" i="78"/>
  <c r="I46" i="78"/>
  <c r="I45" i="78"/>
  <c r="I43" i="78"/>
  <c r="I42" i="78"/>
  <c r="I37" i="78"/>
  <c r="I35" i="78"/>
  <c r="I34" i="78"/>
  <c r="C11" i="53"/>
  <c r="C7" i="53"/>
  <c r="C10" i="53" s="1"/>
  <c r="I65" i="53"/>
  <c r="I64" i="53"/>
  <c r="I63" i="53"/>
  <c r="I61" i="53"/>
  <c r="I60" i="53"/>
  <c r="I59" i="53"/>
  <c r="I58" i="53"/>
  <c r="I57" i="53"/>
  <c r="I56" i="53"/>
  <c r="I55" i="53"/>
  <c r="I54" i="53"/>
  <c r="I53" i="53"/>
  <c r="I49" i="53"/>
  <c r="I46" i="53"/>
  <c r="I45" i="53"/>
  <c r="I43" i="53"/>
  <c r="I42" i="53"/>
  <c r="I37" i="53"/>
  <c r="I35" i="53"/>
  <c r="I34" i="53"/>
  <c r="C7" i="81"/>
  <c r="C9" i="81" s="1"/>
  <c r="C10" i="81" s="1"/>
  <c r="I44" i="81"/>
  <c r="I43" i="81"/>
  <c r="I41" i="81"/>
  <c r="I37" i="81"/>
  <c r="I36" i="81"/>
  <c r="I35" i="81"/>
  <c r="I34" i="81"/>
  <c r="I33" i="81"/>
  <c r="I31" i="81"/>
  <c r="I30" i="81"/>
  <c r="I29" i="81"/>
  <c r="C7" i="80"/>
  <c r="C9" i="80" s="1"/>
  <c r="C10" i="80" s="1"/>
  <c r="I44" i="80"/>
  <c r="I43" i="80"/>
  <c r="I37" i="80"/>
  <c r="I36" i="80"/>
  <c r="I34" i="80"/>
  <c r="I33" i="80"/>
  <c r="I31" i="80"/>
  <c r="I30" i="80"/>
  <c r="I29" i="80"/>
  <c r="C7" i="61"/>
  <c r="C8" i="61" s="1"/>
  <c r="I41" i="61"/>
  <c r="I40" i="61"/>
  <c r="I38" i="61"/>
  <c r="I33" i="61"/>
  <c r="I32" i="61"/>
  <c r="I30" i="61"/>
  <c r="C7" i="62"/>
  <c r="C9" i="62" s="1"/>
  <c r="C10" i="62" s="1"/>
  <c r="I41" i="62"/>
  <c r="I40" i="62"/>
  <c r="I38" i="62"/>
  <c r="I37" i="62"/>
  <c r="I33" i="62"/>
  <c r="I32" i="62"/>
  <c r="I30" i="62"/>
  <c r="C9" i="58"/>
  <c r="C7" i="58"/>
  <c r="C8" i="58" s="1"/>
  <c r="I56" i="58"/>
  <c r="I41" i="58"/>
  <c r="I40" i="58"/>
  <c r="I38" i="58"/>
  <c r="I35" i="58"/>
  <c r="I34" i="58"/>
  <c r="I33" i="58"/>
  <c r="I32" i="58"/>
  <c r="I30" i="58"/>
  <c r="I41" i="19"/>
  <c r="I40" i="19"/>
  <c r="I38" i="19"/>
  <c r="I37" i="19"/>
  <c r="I33" i="19"/>
  <c r="I32" i="19"/>
  <c r="I30" i="19"/>
  <c r="I28" i="19"/>
  <c r="B11" i="34" l="1"/>
  <c r="B9" i="56"/>
  <c r="B10" i="56"/>
  <c r="B11" i="56"/>
  <c r="C31" i="95"/>
  <c r="C31" i="93"/>
  <c r="B10" i="81"/>
  <c r="B11" i="81"/>
  <c r="B10" i="19"/>
  <c r="C9" i="61"/>
  <c r="C10" i="61" s="1"/>
  <c r="B11" i="18"/>
  <c r="B11" i="62"/>
  <c r="B10" i="62"/>
  <c r="B11" i="8"/>
  <c r="B10" i="8"/>
  <c r="B11" i="17"/>
  <c r="B10" i="17"/>
  <c r="B10" i="61"/>
  <c r="C8" i="62"/>
  <c r="B8" i="87"/>
  <c r="I39" i="62"/>
  <c r="I43" i="58"/>
  <c r="I46" i="95"/>
  <c r="I65" i="94"/>
  <c r="I61" i="78"/>
  <c r="I55" i="58"/>
  <c r="I42" i="80"/>
  <c r="I36" i="62"/>
  <c r="I39" i="19"/>
  <c r="I52" i="81"/>
  <c r="I52" i="53"/>
  <c r="I39" i="61"/>
  <c r="I54" i="94"/>
  <c r="I44" i="94"/>
  <c r="I42" i="95"/>
  <c r="I28" i="61"/>
  <c r="I36" i="58"/>
  <c r="I43" i="61"/>
  <c r="I42" i="81"/>
  <c r="I52" i="78"/>
  <c r="I43" i="19"/>
  <c r="I42" i="62"/>
  <c r="I28" i="81"/>
  <c r="I44" i="53"/>
  <c r="I32" i="94"/>
  <c r="I37" i="95"/>
  <c r="I56" i="19"/>
  <c r="I55" i="62"/>
  <c r="I34" i="61"/>
  <c r="I51" i="81"/>
  <c r="I45" i="94"/>
  <c r="I38" i="95"/>
  <c r="I51" i="80"/>
  <c r="I50" i="78"/>
  <c r="I32" i="78"/>
  <c r="I28" i="62"/>
  <c r="I37" i="58"/>
  <c r="I55" i="61"/>
  <c r="I56" i="61"/>
  <c r="I56" i="62"/>
  <c r="I35" i="61"/>
  <c r="I51" i="94"/>
  <c r="I28" i="80"/>
  <c r="I42" i="61"/>
  <c r="I49" i="95"/>
  <c r="I43" i="62"/>
  <c r="I35" i="80"/>
  <c r="I34" i="19"/>
  <c r="I57" i="19"/>
  <c r="I34" i="62"/>
  <c r="I36" i="61"/>
  <c r="I40" i="80"/>
  <c r="I50" i="53"/>
  <c r="I39" i="95"/>
  <c r="I40" i="81"/>
  <c r="I42" i="19"/>
  <c r="I29" i="62"/>
  <c r="I37" i="61"/>
  <c r="I41" i="80"/>
  <c r="B11" i="80"/>
  <c r="B10" i="80"/>
  <c r="B8" i="95"/>
  <c r="L24" i="94"/>
  <c r="L25" i="94"/>
  <c r="K32" i="95"/>
  <c r="L24" i="95"/>
  <c r="L25" i="95"/>
  <c r="K32" i="94"/>
  <c r="I43" i="94"/>
  <c r="R8" i="95"/>
  <c r="L9" i="95"/>
  <c r="L11" i="95" s="1"/>
  <c r="L12" i="95"/>
  <c r="M12" i="95" s="1"/>
  <c r="L13" i="95"/>
  <c r="I32" i="95"/>
  <c r="C10" i="94"/>
  <c r="C8" i="78"/>
  <c r="C9" i="78" s="1"/>
  <c r="C8" i="53"/>
  <c r="C9" i="53" s="1"/>
  <c r="C8" i="81"/>
  <c r="C8" i="80"/>
  <c r="D54" i="95" l="1"/>
  <c r="N12" i="95"/>
  <c r="O7" i="95"/>
  <c r="O8" i="95" s="1"/>
  <c r="S8" i="95"/>
  <c r="U8" i="95"/>
  <c r="R9" i="95"/>
  <c r="R10" i="95" s="1"/>
  <c r="R11" i="95" s="1"/>
  <c r="R12" i="95" s="1"/>
  <c r="R13" i="95" s="1"/>
  <c r="R14" i="95" s="1"/>
  <c r="T8" i="95"/>
  <c r="L12" i="94"/>
  <c r="M12" i="94" s="1"/>
  <c r="L13" i="94"/>
  <c r="R8" i="94"/>
  <c r="L9" i="94"/>
  <c r="L11" i="94" s="1"/>
  <c r="B9" i="94"/>
  <c r="D59" i="94" s="1"/>
  <c r="C13" i="94"/>
  <c r="C7" i="34"/>
  <c r="C9" i="34" s="1"/>
  <c r="C10" i="34" s="1"/>
  <c r="I57" i="34"/>
  <c r="I56" i="34"/>
  <c r="I55" i="34"/>
  <c r="I43" i="34"/>
  <c r="I42" i="34"/>
  <c r="I41" i="34"/>
  <c r="I40" i="34"/>
  <c r="I39" i="34"/>
  <c r="I38" i="34"/>
  <c r="I37" i="34"/>
  <c r="I36" i="34"/>
  <c r="I34" i="34"/>
  <c r="I33" i="34"/>
  <c r="I32" i="34"/>
  <c r="I30" i="34"/>
  <c r="I28" i="34"/>
  <c r="C7" i="48"/>
  <c r="C8" i="48" s="1"/>
  <c r="I54" i="48"/>
  <c r="I53" i="48"/>
  <c r="I41" i="48"/>
  <c r="I40" i="48"/>
  <c r="I39" i="48"/>
  <c r="I38" i="48"/>
  <c r="I37" i="48"/>
  <c r="I36" i="48"/>
  <c r="I35" i="48"/>
  <c r="I34" i="48"/>
  <c r="I32" i="48"/>
  <c r="I31" i="48"/>
  <c r="I30" i="48"/>
  <c r="I29" i="48"/>
  <c r="I28" i="48"/>
  <c r="I26" i="48"/>
  <c r="C7" i="44"/>
  <c r="C8" i="44" s="1"/>
  <c r="I55" i="44"/>
  <c r="I54" i="44"/>
  <c r="I42" i="44"/>
  <c r="I41" i="44"/>
  <c r="I40" i="44"/>
  <c r="I39" i="44"/>
  <c r="I38" i="44"/>
  <c r="I37" i="44"/>
  <c r="I36" i="44"/>
  <c r="I35" i="44"/>
  <c r="I33" i="44"/>
  <c r="I32" i="44"/>
  <c r="I31" i="44"/>
  <c r="I29" i="44"/>
  <c r="I27" i="44"/>
  <c r="C7" i="33"/>
  <c r="C8" i="33" s="1"/>
  <c r="I56" i="33"/>
  <c r="I55" i="33"/>
  <c r="I43" i="33"/>
  <c r="I42" i="33"/>
  <c r="I41" i="33"/>
  <c r="I40" i="33"/>
  <c r="I39" i="33"/>
  <c r="I38" i="33"/>
  <c r="I37" i="33"/>
  <c r="I36" i="33"/>
  <c r="I34" i="33"/>
  <c r="I33" i="33"/>
  <c r="I32" i="33"/>
  <c r="I30" i="33"/>
  <c r="I28" i="33"/>
  <c r="C7" i="70"/>
  <c r="C8" i="70" s="1"/>
  <c r="I56" i="70"/>
  <c r="I55" i="70"/>
  <c r="I43" i="70"/>
  <c r="I42" i="70"/>
  <c r="I41" i="70"/>
  <c r="I40" i="70"/>
  <c r="I39" i="70"/>
  <c r="I38" i="70"/>
  <c r="I37" i="70"/>
  <c r="I36" i="70"/>
  <c r="I34" i="70"/>
  <c r="I33" i="70"/>
  <c r="I32" i="70"/>
  <c r="I30" i="70"/>
  <c r="I28" i="70"/>
  <c r="C7" i="20"/>
  <c r="C8" i="20" s="1"/>
  <c r="I56" i="20"/>
  <c r="I55" i="20"/>
  <c r="I43" i="20"/>
  <c r="I42" i="20"/>
  <c r="I41" i="20"/>
  <c r="I40" i="20"/>
  <c r="I39" i="20"/>
  <c r="I38" i="20"/>
  <c r="I37" i="20"/>
  <c r="I36" i="20"/>
  <c r="I34" i="20"/>
  <c r="I33" i="20"/>
  <c r="I32" i="20"/>
  <c r="I30" i="20"/>
  <c r="I28" i="20"/>
  <c r="G1" i="39"/>
  <c r="A276" i="39" l="1"/>
  <c r="A289" i="39"/>
  <c r="E285" i="39" s="1"/>
  <c r="A288" i="39"/>
  <c r="E284" i="39" s="1"/>
  <c r="B29" i="78"/>
  <c r="B24" i="70"/>
  <c r="B27" i="91"/>
  <c r="B29" i="53"/>
  <c r="B24" i="20"/>
  <c r="B27" i="88"/>
  <c r="B24" i="17"/>
  <c r="B24" i="19"/>
  <c r="B24" i="61"/>
  <c r="B24" i="62"/>
  <c r="B25" i="8"/>
  <c r="B26" i="56"/>
  <c r="B25" i="81"/>
  <c r="B24" i="18"/>
  <c r="B24" i="58"/>
  <c r="B27" i="93"/>
  <c r="B27" i="87"/>
  <c r="B24" i="33"/>
  <c r="B25" i="80"/>
  <c r="B24" i="34"/>
  <c r="B22" i="48"/>
  <c r="B27" i="95"/>
  <c r="B27" i="94"/>
  <c r="B23" i="44"/>
  <c r="B30" i="51"/>
  <c r="B27" i="54"/>
  <c r="B27" i="6"/>
  <c r="B29" i="55"/>
  <c r="B27" i="7"/>
  <c r="B27" i="5"/>
  <c r="B28" i="72"/>
  <c r="B27" i="31"/>
  <c r="B27" i="30"/>
  <c r="B27" i="85"/>
  <c r="B27" i="86"/>
  <c r="B27" i="3"/>
  <c r="A275" i="39"/>
  <c r="L17" i="77" s="1"/>
  <c r="A263" i="39"/>
  <c r="A251" i="39"/>
  <c r="A239" i="39"/>
  <c r="A227" i="39"/>
  <c r="A215" i="39"/>
  <c r="A203" i="39"/>
  <c r="A191" i="39"/>
  <c r="A179" i="39"/>
  <c r="A167" i="39"/>
  <c r="A155" i="39"/>
  <c r="A143" i="39"/>
  <c r="A131" i="39"/>
  <c r="A119" i="39"/>
  <c r="A107" i="39"/>
  <c r="A95" i="39"/>
  <c r="A83" i="39"/>
  <c r="A71" i="39"/>
  <c r="A59" i="39"/>
  <c r="A47" i="39"/>
  <c r="A35" i="39"/>
  <c r="A23" i="39"/>
  <c r="A11" i="39"/>
  <c r="A216" i="39"/>
  <c r="A274" i="39"/>
  <c r="E283" i="39" s="1"/>
  <c r="A262" i="39"/>
  <c r="A250" i="39"/>
  <c r="A238" i="39"/>
  <c r="A226" i="39"/>
  <c r="A214" i="39"/>
  <c r="A202" i="39"/>
  <c r="A190" i="39"/>
  <c r="A178" i="39"/>
  <c r="A166" i="39"/>
  <c r="A154" i="39"/>
  <c r="A142" i="39"/>
  <c r="A130" i="39"/>
  <c r="A118" i="39"/>
  <c r="A106" i="39"/>
  <c r="A94" i="39"/>
  <c r="A82" i="39"/>
  <c r="A70" i="39"/>
  <c r="A58" i="39"/>
  <c r="A46" i="39"/>
  <c r="A34" i="39"/>
  <c r="B3" i="62" s="1"/>
  <c r="A22" i="39"/>
  <c r="A10" i="39"/>
  <c r="A273" i="39"/>
  <c r="E282" i="39" s="1"/>
  <c r="A261" i="39"/>
  <c r="A249" i="39"/>
  <c r="A237" i="39"/>
  <c r="A225" i="39"/>
  <c r="A213" i="39"/>
  <c r="A201" i="39"/>
  <c r="A189" i="39"/>
  <c r="A177" i="39"/>
  <c r="A165" i="39"/>
  <c r="A153" i="39"/>
  <c r="A141" i="39"/>
  <c r="A129" i="39"/>
  <c r="A117" i="39"/>
  <c r="A105" i="39"/>
  <c r="A93" i="39"/>
  <c r="A81" i="39"/>
  <c r="A69" i="39"/>
  <c r="A57" i="39"/>
  <c r="A45" i="39"/>
  <c r="A33" i="39"/>
  <c r="A21" i="39"/>
  <c r="A9" i="39"/>
  <c r="A272" i="39"/>
  <c r="E281" i="39" s="1"/>
  <c r="A260" i="39"/>
  <c r="A248" i="39"/>
  <c r="A236" i="39"/>
  <c r="A224" i="39"/>
  <c r="A212" i="39"/>
  <c r="A200" i="39"/>
  <c r="A188" i="39"/>
  <c r="A176" i="39"/>
  <c r="A164" i="39"/>
  <c r="A152" i="39"/>
  <c r="A140" i="39"/>
  <c r="A128" i="39"/>
  <c r="A116" i="39"/>
  <c r="A104" i="39"/>
  <c r="A92" i="39"/>
  <c r="A80" i="39"/>
  <c r="A68" i="39"/>
  <c r="A56" i="39"/>
  <c r="A44" i="39"/>
  <c r="A32" i="39"/>
  <c r="A20" i="39"/>
  <c r="A8" i="39"/>
  <c r="A192" i="39"/>
  <c r="A271" i="39"/>
  <c r="A259" i="39"/>
  <c r="A247" i="39"/>
  <c r="A235" i="39"/>
  <c r="A223" i="39"/>
  <c r="A211" i="39"/>
  <c r="A199" i="39"/>
  <c r="A187" i="39"/>
  <c r="A175" i="39"/>
  <c r="A163" i="39"/>
  <c r="A151" i="39"/>
  <c r="A139" i="39"/>
  <c r="A127" i="39"/>
  <c r="A115" i="39"/>
  <c r="A103" i="39"/>
  <c r="A91" i="39"/>
  <c r="A79" i="39"/>
  <c r="A67" i="39"/>
  <c r="A55" i="39"/>
  <c r="A43" i="39"/>
  <c r="A31" i="39"/>
  <c r="A19" i="39"/>
  <c r="A7" i="39"/>
  <c r="A270" i="39"/>
  <c r="A258" i="39"/>
  <c r="A246" i="39"/>
  <c r="A234" i="39"/>
  <c r="A222" i="39"/>
  <c r="A210" i="39"/>
  <c r="A198" i="39"/>
  <c r="A186" i="39"/>
  <c r="A174" i="39"/>
  <c r="A162" i="39"/>
  <c r="A150" i="39"/>
  <c r="A138" i="39"/>
  <c r="A126" i="39"/>
  <c r="A114" i="39"/>
  <c r="A102" i="39"/>
  <c r="A90" i="39"/>
  <c r="A78" i="39"/>
  <c r="A66" i="39"/>
  <c r="A54" i="39"/>
  <c r="A42" i="39"/>
  <c r="A30" i="39"/>
  <c r="A18" i="39"/>
  <c r="A6" i="39"/>
  <c r="A269" i="39"/>
  <c r="A257" i="39"/>
  <c r="A245" i="39"/>
  <c r="A233" i="39"/>
  <c r="A221" i="39"/>
  <c r="A209" i="39"/>
  <c r="A197" i="39"/>
  <c r="A185" i="39"/>
  <c r="A173" i="39"/>
  <c r="A161" i="39"/>
  <c r="A149" i="39"/>
  <c r="A137" i="39"/>
  <c r="A125" i="39"/>
  <c r="A113" i="39"/>
  <c r="A101" i="39"/>
  <c r="A89" i="39"/>
  <c r="A77" i="39"/>
  <c r="A65" i="39"/>
  <c r="A53" i="39"/>
  <c r="A41" i="39"/>
  <c r="G9" i="5" s="1"/>
  <c r="A29" i="39"/>
  <c r="A17" i="39"/>
  <c r="A5" i="39"/>
  <c r="A240" i="39"/>
  <c r="A180" i="39"/>
  <c r="A168" i="39"/>
  <c r="A156" i="39"/>
  <c r="A144" i="39"/>
  <c r="A132" i="39"/>
  <c r="A120" i="39"/>
  <c r="A108" i="39"/>
  <c r="A96" i="39"/>
  <c r="A84" i="39"/>
  <c r="A72" i="39"/>
  <c r="A60" i="39"/>
  <c r="A48" i="39"/>
  <c r="A36" i="39"/>
  <c r="A24" i="39"/>
  <c r="A12" i="39"/>
  <c r="A268" i="39"/>
  <c r="A256" i="39"/>
  <c r="A244" i="39"/>
  <c r="A232" i="39"/>
  <c r="A220" i="39"/>
  <c r="A208" i="39"/>
  <c r="A196" i="39"/>
  <c r="A184" i="39"/>
  <c r="A172" i="39"/>
  <c r="A160" i="39"/>
  <c r="A148" i="39"/>
  <c r="A136" i="39"/>
  <c r="A124" i="39"/>
  <c r="A112" i="39"/>
  <c r="A100" i="39"/>
  <c r="A88" i="39"/>
  <c r="A76" i="39"/>
  <c r="A64" i="39"/>
  <c r="A52" i="39"/>
  <c r="A40" i="39"/>
  <c r="G8" i="5" s="1"/>
  <c r="A28" i="39"/>
  <c r="A16" i="39"/>
  <c r="A4" i="39"/>
  <c r="A267" i="39"/>
  <c r="A255" i="39"/>
  <c r="A243" i="39"/>
  <c r="A231" i="39"/>
  <c r="A219" i="39"/>
  <c r="A207" i="39"/>
  <c r="A195" i="39"/>
  <c r="A183" i="39"/>
  <c r="A171" i="39"/>
  <c r="A159" i="39"/>
  <c r="A147" i="39"/>
  <c r="A135" i="39"/>
  <c r="A123" i="39"/>
  <c r="A111" i="39"/>
  <c r="A99" i="39"/>
  <c r="A87" i="39"/>
  <c r="A75" i="39"/>
  <c r="A63" i="39"/>
  <c r="A51" i="39"/>
  <c r="A11" i="56" s="1"/>
  <c r="A39" i="39"/>
  <c r="G7" i="5" s="1"/>
  <c r="A27" i="39"/>
  <c r="A15" i="39"/>
  <c r="A3" i="39"/>
  <c r="A204" i="39"/>
  <c r="A266" i="39"/>
  <c r="A254" i="39"/>
  <c r="A242" i="39"/>
  <c r="A230" i="39"/>
  <c r="A218" i="39"/>
  <c r="A206" i="39"/>
  <c r="A194" i="39"/>
  <c r="A182" i="39"/>
  <c r="A170" i="39"/>
  <c r="A158" i="39"/>
  <c r="A146" i="39"/>
  <c r="A134" i="39"/>
  <c r="A122" i="39"/>
  <c r="A110" i="39"/>
  <c r="A98" i="39"/>
  <c r="A86" i="39"/>
  <c r="A74" i="39"/>
  <c r="A62" i="39"/>
  <c r="A50" i="39"/>
  <c r="A10" i="56" s="1"/>
  <c r="A38" i="39"/>
  <c r="A26" i="39"/>
  <c r="A14" i="39"/>
  <c r="A265" i="39"/>
  <c r="A253" i="39"/>
  <c r="A241" i="39"/>
  <c r="A229" i="39"/>
  <c r="A217" i="39"/>
  <c r="A205" i="39"/>
  <c r="A193" i="39"/>
  <c r="A181" i="39"/>
  <c r="A169" i="39"/>
  <c r="A157" i="39"/>
  <c r="A145" i="39"/>
  <c r="A133" i="39"/>
  <c r="A121" i="39"/>
  <c r="A109" i="39"/>
  <c r="A97" i="39"/>
  <c r="A85" i="39"/>
  <c r="A73" i="39"/>
  <c r="A61" i="39"/>
  <c r="A49" i="39"/>
  <c r="A9" i="56" s="1"/>
  <c r="A37" i="39"/>
  <c r="E3" i="78" s="1"/>
  <c r="A25" i="39"/>
  <c r="A13" i="39"/>
  <c r="A228" i="39"/>
  <c r="A264" i="39"/>
  <c r="A252" i="39"/>
  <c r="C8" i="34"/>
  <c r="A2" i="39"/>
  <c r="M13" i="95"/>
  <c r="R31" i="95"/>
  <c r="R27" i="95"/>
  <c r="R25" i="95"/>
  <c r="T17" i="95"/>
  <c r="T9" i="95" s="1"/>
  <c r="R22" i="95"/>
  <c r="R28" i="95"/>
  <c r="R23" i="95"/>
  <c r="U17" i="95"/>
  <c r="U9" i="95" s="1"/>
  <c r="R30" i="95"/>
  <c r="R26" i="95"/>
  <c r="R32" i="95"/>
  <c r="R24" i="95"/>
  <c r="S17" i="95"/>
  <c r="S9" i="95" s="1"/>
  <c r="R29" i="95"/>
  <c r="R21" i="95"/>
  <c r="S21" i="95" s="1"/>
  <c r="T21" i="95" s="1"/>
  <c r="O7" i="94"/>
  <c r="O8" i="94" s="1"/>
  <c r="R9" i="94"/>
  <c r="R10" i="94" s="1"/>
  <c r="R11" i="94" s="1"/>
  <c r="R12" i="94" s="1"/>
  <c r="R13" i="94" s="1"/>
  <c r="R14" i="94" s="1"/>
  <c r="U8" i="94"/>
  <c r="T8" i="94"/>
  <c r="S8" i="94"/>
  <c r="N12" i="94"/>
  <c r="I57" i="17"/>
  <c r="I56" i="17"/>
  <c r="I55" i="17"/>
  <c r="I43" i="17"/>
  <c r="I42" i="17"/>
  <c r="I41" i="17"/>
  <c r="I40" i="17"/>
  <c r="I39" i="17"/>
  <c r="I38" i="17"/>
  <c r="I37" i="17"/>
  <c r="I36" i="17"/>
  <c r="I34" i="17"/>
  <c r="I33" i="17"/>
  <c r="I32" i="17"/>
  <c r="I30" i="17"/>
  <c r="I28" i="17"/>
  <c r="C7" i="17"/>
  <c r="C9" i="17" s="1"/>
  <c r="C10" i="17" s="1"/>
  <c r="C7" i="19"/>
  <c r="C9" i="19" s="1"/>
  <c r="C10" i="19" s="1"/>
  <c r="C7" i="18"/>
  <c r="C9" i="18" s="1"/>
  <c r="C10" i="18" s="1"/>
  <c r="I57" i="18"/>
  <c r="I56" i="18"/>
  <c r="I55" i="18"/>
  <c r="I43" i="18"/>
  <c r="I42" i="18"/>
  <c r="I41" i="18"/>
  <c r="I40" i="18"/>
  <c r="I39" i="18"/>
  <c r="I38" i="18"/>
  <c r="I37" i="18"/>
  <c r="I36" i="18"/>
  <c r="I34" i="18"/>
  <c r="I33" i="18"/>
  <c r="I32" i="18"/>
  <c r="I30" i="18"/>
  <c r="I28" i="18"/>
  <c r="I58" i="8"/>
  <c r="I57" i="8"/>
  <c r="I56" i="8"/>
  <c r="I44" i="8"/>
  <c r="I43" i="8"/>
  <c r="I42" i="8"/>
  <c r="I41" i="8"/>
  <c r="I40" i="8"/>
  <c r="I39" i="8"/>
  <c r="I38" i="8"/>
  <c r="I37" i="8"/>
  <c r="I35" i="8"/>
  <c r="I34" i="8"/>
  <c r="I33" i="8"/>
  <c r="I29" i="8"/>
  <c r="C7" i="8"/>
  <c r="C9" i="8" s="1"/>
  <c r="C10" i="8" s="1"/>
  <c r="C14" i="53" l="1"/>
  <c r="C13" i="95"/>
  <c r="B20" i="71"/>
  <c r="B20" i="3"/>
  <c r="B20" i="30"/>
  <c r="B20" i="6"/>
  <c r="C8" i="19"/>
  <c r="C8" i="17"/>
  <c r="C8" i="8"/>
  <c r="C8" i="18"/>
  <c r="A11" i="80"/>
  <c r="A11" i="62"/>
  <c r="A11" i="61"/>
  <c r="A11" i="81"/>
  <c r="A9" i="20"/>
  <c r="A9" i="44"/>
  <c r="A11" i="34"/>
  <c r="A9" i="70"/>
  <c r="A9" i="33"/>
  <c r="A9" i="48"/>
  <c r="S22" i="95"/>
  <c r="U22" i="95" s="1"/>
  <c r="S23" i="95"/>
  <c r="V23" i="95" s="1"/>
  <c r="N13" i="95"/>
  <c r="N14" i="95" s="1"/>
  <c r="M14" i="95"/>
  <c r="M17" i="95" s="1"/>
  <c r="O10" i="95"/>
  <c r="O11" i="95" s="1"/>
  <c r="R31" i="94"/>
  <c r="R25" i="94"/>
  <c r="R27" i="94"/>
  <c r="R22" i="94"/>
  <c r="S22" i="94" s="1"/>
  <c r="U22" i="94" s="1"/>
  <c r="T17" i="94"/>
  <c r="T9" i="94" s="1"/>
  <c r="R23" i="94"/>
  <c r="S23" i="94" s="1"/>
  <c r="V23" i="94" s="1"/>
  <c r="U17" i="94"/>
  <c r="U9" i="94" s="1"/>
  <c r="R28" i="94"/>
  <c r="R30" i="94"/>
  <c r="R21" i="94"/>
  <c r="S21" i="94" s="1"/>
  <c r="T21" i="94" s="1"/>
  <c r="R24" i="94"/>
  <c r="R32" i="94"/>
  <c r="S17" i="94"/>
  <c r="S9" i="94" s="1"/>
  <c r="R29" i="94"/>
  <c r="R26" i="94"/>
  <c r="M13" i="94"/>
  <c r="C7" i="56"/>
  <c r="C9" i="93"/>
  <c r="C7" i="93"/>
  <c r="C8" i="93" s="1"/>
  <c r="C11" i="87"/>
  <c r="C7" i="87"/>
  <c r="C10" i="87" s="1"/>
  <c r="C11" i="91"/>
  <c r="C7" i="91"/>
  <c r="C10" i="91" s="1"/>
  <c r="C11" i="88"/>
  <c r="C7" i="88"/>
  <c r="C8" i="88" s="1"/>
  <c r="C9" i="88" s="1"/>
  <c r="C11" i="51"/>
  <c r="C7" i="51"/>
  <c r="C8" i="51" s="1"/>
  <c r="C9" i="51" s="1"/>
  <c r="C11" i="55"/>
  <c r="C7" i="55"/>
  <c r="C8" i="55" s="1"/>
  <c r="C9" i="55" s="1"/>
  <c r="C11" i="7"/>
  <c r="C7" i="7"/>
  <c r="C10" i="7" s="1"/>
  <c r="C11" i="54"/>
  <c r="C7" i="54"/>
  <c r="C10" i="54" s="1"/>
  <c r="C11" i="5"/>
  <c r="C7" i="5"/>
  <c r="C8" i="5" s="1"/>
  <c r="C9" i="5" s="1"/>
  <c r="C11" i="6"/>
  <c r="C7" i="6"/>
  <c r="C10" i="6" s="1"/>
  <c r="C11" i="71"/>
  <c r="C7" i="71"/>
  <c r="C10" i="71" s="1"/>
  <c r="C11" i="31"/>
  <c r="C7" i="31"/>
  <c r="C8" i="31" s="1"/>
  <c r="C9" i="31" s="1"/>
  <c r="C11" i="30"/>
  <c r="C7" i="30"/>
  <c r="C10" i="30" s="1"/>
  <c r="C11" i="4"/>
  <c r="C7" i="4"/>
  <c r="C8" i="4" s="1"/>
  <c r="C9" i="4" s="1"/>
  <c r="C11" i="85"/>
  <c r="C7" i="85"/>
  <c r="C10" i="85" s="1"/>
  <c r="C8" i="56" l="1"/>
  <c r="C9" i="56"/>
  <c r="C10" i="56" s="1"/>
  <c r="C10" i="51"/>
  <c r="C10" i="5"/>
  <c r="C8" i="6"/>
  <c r="C9" i="6" s="1"/>
  <c r="C8" i="85"/>
  <c r="C9" i="85" s="1"/>
  <c r="C8" i="71"/>
  <c r="C9" i="71" s="1"/>
  <c r="S24" i="94"/>
  <c r="S25" i="94" s="1"/>
  <c r="U25" i="94" s="1"/>
  <c r="S24" i="95"/>
  <c r="C8" i="91"/>
  <c r="C8" i="54"/>
  <c r="C9" i="54" s="1"/>
  <c r="C10" i="4"/>
  <c r="N13" i="94"/>
  <c r="N14" i="94" s="1"/>
  <c r="M14" i="94"/>
  <c r="M17" i="94" s="1"/>
  <c r="O10" i="94"/>
  <c r="O11" i="94" s="1"/>
  <c r="C10" i="31"/>
  <c r="C8" i="30"/>
  <c r="C9" i="30" s="1"/>
  <c r="C8" i="87"/>
  <c r="C9" i="87" s="1"/>
  <c r="C10" i="55"/>
  <c r="C10" i="88"/>
  <c r="C8" i="7"/>
  <c r="C9" i="7" s="1"/>
  <c r="C11" i="86"/>
  <c r="C10" i="86"/>
  <c r="C11" i="3"/>
  <c r="C7" i="3"/>
  <c r="C10" i="3" s="1"/>
  <c r="J300" i="56"/>
  <c r="C300" i="56"/>
  <c r="I59" i="56"/>
  <c r="I58" i="56"/>
  <c r="I57" i="56"/>
  <c r="I45" i="56"/>
  <c r="I44" i="56"/>
  <c r="I43" i="56"/>
  <c r="I42" i="56"/>
  <c r="I41" i="56"/>
  <c r="I40" i="56"/>
  <c r="I39" i="56"/>
  <c r="I38" i="56"/>
  <c r="I36" i="56"/>
  <c r="I35" i="56"/>
  <c r="I34" i="56"/>
  <c r="I30" i="56"/>
  <c r="A62" i="93"/>
  <c r="I61" i="93"/>
  <c r="I60" i="93"/>
  <c r="I59" i="93"/>
  <c r="I58" i="93"/>
  <c r="I57" i="93"/>
  <c r="I56" i="93"/>
  <c r="I55" i="93"/>
  <c r="I54" i="93"/>
  <c r="I53" i="93"/>
  <c r="I52" i="93"/>
  <c r="I51" i="93"/>
  <c r="I50" i="93"/>
  <c r="I49" i="93"/>
  <c r="I46" i="93"/>
  <c r="I45" i="93"/>
  <c r="I44" i="93"/>
  <c r="I43" i="93"/>
  <c r="I42" i="93"/>
  <c r="I41" i="93"/>
  <c r="I40" i="93"/>
  <c r="I39" i="93"/>
  <c r="I37" i="93"/>
  <c r="I36" i="93"/>
  <c r="I35" i="93"/>
  <c r="I31" i="93"/>
  <c r="A67" i="87"/>
  <c r="I66" i="87"/>
  <c r="I65" i="87"/>
  <c r="I64" i="87"/>
  <c r="I63" i="87"/>
  <c r="I62" i="87"/>
  <c r="I61" i="87"/>
  <c r="I60" i="87"/>
  <c r="I59" i="87"/>
  <c r="I58" i="87"/>
  <c r="I57" i="87"/>
  <c r="I56" i="87"/>
  <c r="I55" i="87"/>
  <c r="I54" i="87"/>
  <c r="I51" i="87"/>
  <c r="I50" i="87"/>
  <c r="I49" i="87"/>
  <c r="I48" i="87"/>
  <c r="I47" i="87"/>
  <c r="I46" i="87"/>
  <c r="I45" i="87"/>
  <c r="I44" i="87"/>
  <c r="I42" i="87"/>
  <c r="I41" i="87"/>
  <c r="I40" i="87"/>
  <c r="I35" i="87"/>
  <c r="I31" i="87"/>
  <c r="A67" i="91"/>
  <c r="I66" i="91"/>
  <c r="I65" i="91"/>
  <c r="I64" i="91"/>
  <c r="I63" i="91"/>
  <c r="I62" i="91"/>
  <c r="I61" i="91"/>
  <c r="I60" i="91"/>
  <c r="I59" i="91"/>
  <c r="I58" i="91"/>
  <c r="I57" i="91"/>
  <c r="I56" i="91"/>
  <c r="I55" i="91"/>
  <c r="I54" i="91"/>
  <c r="I51" i="91"/>
  <c r="I50" i="91"/>
  <c r="I49" i="91"/>
  <c r="I48" i="91"/>
  <c r="I47" i="91"/>
  <c r="I46" i="91"/>
  <c r="I45" i="91"/>
  <c r="I44" i="91"/>
  <c r="I42" i="91"/>
  <c r="I41" i="91"/>
  <c r="I40" i="91"/>
  <c r="I31" i="91"/>
  <c r="A67" i="88"/>
  <c r="I66" i="88"/>
  <c r="I65" i="88"/>
  <c r="I64" i="88"/>
  <c r="I63" i="88"/>
  <c r="I62" i="88"/>
  <c r="I61" i="88"/>
  <c r="I60" i="88"/>
  <c r="I59" i="88"/>
  <c r="I58" i="88"/>
  <c r="I57" i="88"/>
  <c r="I56" i="88"/>
  <c r="I55" i="88"/>
  <c r="I54" i="88"/>
  <c r="I51" i="88"/>
  <c r="I50" i="88"/>
  <c r="I49" i="88"/>
  <c r="I48" i="88"/>
  <c r="I47" i="88"/>
  <c r="I46" i="88"/>
  <c r="I45" i="88"/>
  <c r="I44" i="88"/>
  <c r="I42" i="88"/>
  <c r="I41" i="88"/>
  <c r="I40" i="88"/>
  <c r="I35" i="88"/>
  <c r="I31" i="88"/>
  <c r="I67" i="51"/>
  <c r="I66" i="51"/>
  <c r="I65" i="51"/>
  <c r="I64" i="51"/>
  <c r="I63" i="51"/>
  <c r="I62" i="51"/>
  <c r="I61" i="51"/>
  <c r="I60" i="51"/>
  <c r="I59" i="51"/>
  <c r="I58" i="51"/>
  <c r="I57" i="51"/>
  <c r="I56" i="51"/>
  <c r="I55" i="51"/>
  <c r="I54" i="51"/>
  <c r="I48" i="51"/>
  <c r="I47" i="51"/>
  <c r="I46" i="51"/>
  <c r="I45" i="51"/>
  <c r="I44" i="51"/>
  <c r="I39" i="51"/>
  <c r="I37" i="51"/>
  <c r="I36" i="51"/>
  <c r="I35" i="51"/>
  <c r="I34" i="51"/>
  <c r="I33" i="51"/>
  <c r="I61" i="55"/>
  <c r="I60" i="55"/>
  <c r="I59" i="55"/>
  <c r="I58" i="55"/>
  <c r="I57" i="55"/>
  <c r="I56" i="55"/>
  <c r="I55" i="55"/>
  <c r="I54" i="55"/>
  <c r="I53" i="55"/>
  <c r="I52" i="55"/>
  <c r="I46" i="55"/>
  <c r="I45" i="55"/>
  <c r="I44" i="55"/>
  <c r="I43" i="55"/>
  <c r="I42" i="55"/>
  <c r="I37" i="55"/>
  <c r="I35" i="55"/>
  <c r="I34" i="55"/>
  <c r="I33" i="55"/>
  <c r="I32" i="55"/>
  <c r="A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1" i="7"/>
  <c r="I50" i="7"/>
  <c r="I49" i="7"/>
  <c r="I48" i="7"/>
  <c r="I47" i="7"/>
  <c r="I46" i="7"/>
  <c r="I45" i="7"/>
  <c r="I44" i="7"/>
  <c r="I43" i="7"/>
  <c r="I42" i="7"/>
  <c r="I41" i="7"/>
  <c r="I40" i="7"/>
  <c r="I35" i="7"/>
  <c r="I33" i="7"/>
  <c r="I32" i="7"/>
  <c r="I31" i="7"/>
  <c r="A66" i="54"/>
  <c r="I65" i="54"/>
  <c r="I64" i="54"/>
  <c r="I63" i="54"/>
  <c r="I62" i="54"/>
  <c r="I61" i="54"/>
  <c r="I60" i="54"/>
  <c r="I59" i="54"/>
  <c r="I58" i="54"/>
  <c r="I57" i="54"/>
  <c r="I56" i="54"/>
  <c r="I55" i="54"/>
  <c r="I54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5" i="54"/>
  <c r="I33" i="54"/>
  <c r="I32" i="54"/>
  <c r="I31" i="54"/>
  <c r="A65" i="5"/>
  <c r="I64" i="5"/>
  <c r="I63" i="5"/>
  <c r="I62" i="5"/>
  <c r="I61" i="5"/>
  <c r="I60" i="5"/>
  <c r="I59" i="5"/>
  <c r="I58" i="5"/>
  <c r="I57" i="5"/>
  <c r="I56" i="5"/>
  <c r="I55" i="5"/>
  <c r="I54" i="5"/>
  <c r="I53" i="5"/>
  <c r="I50" i="5"/>
  <c r="I49" i="5"/>
  <c r="I48" i="5"/>
  <c r="I47" i="5"/>
  <c r="I46" i="5"/>
  <c r="I45" i="5"/>
  <c r="I44" i="5"/>
  <c r="I42" i="5"/>
  <c r="I41" i="5"/>
  <c r="I40" i="5"/>
  <c r="I35" i="5"/>
  <c r="I33" i="5"/>
  <c r="I31" i="5"/>
  <c r="A65" i="6"/>
  <c r="I64" i="6"/>
  <c r="I63" i="6"/>
  <c r="I62" i="6"/>
  <c r="I61" i="6"/>
  <c r="I60" i="6"/>
  <c r="I59" i="6"/>
  <c r="I58" i="6"/>
  <c r="I57" i="6"/>
  <c r="I56" i="6"/>
  <c r="I55" i="6"/>
  <c r="I54" i="6"/>
  <c r="I53" i="6"/>
  <c r="I50" i="6"/>
  <c r="I49" i="6"/>
  <c r="I48" i="6"/>
  <c r="I47" i="6"/>
  <c r="I46" i="6"/>
  <c r="I45" i="6"/>
  <c r="I44" i="6"/>
  <c r="I42" i="6"/>
  <c r="I41" i="6"/>
  <c r="I40" i="6"/>
  <c r="I35" i="6"/>
  <c r="I33" i="6"/>
  <c r="I31" i="6"/>
  <c r="A66" i="71"/>
  <c r="I65" i="71"/>
  <c r="I64" i="71"/>
  <c r="I63" i="71"/>
  <c r="I62" i="71"/>
  <c r="I61" i="71"/>
  <c r="I60" i="71"/>
  <c r="I59" i="71"/>
  <c r="I58" i="71"/>
  <c r="I57" i="71"/>
  <c r="I56" i="71"/>
  <c r="I55" i="71"/>
  <c r="I51" i="71"/>
  <c r="I50" i="71"/>
  <c r="I49" i="71"/>
  <c r="I48" i="71"/>
  <c r="I47" i="71"/>
  <c r="I46" i="71"/>
  <c r="I45" i="71"/>
  <c r="I44" i="71"/>
  <c r="I42" i="71"/>
  <c r="I41" i="71"/>
  <c r="I40" i="71"/>
  <c r="I35" i="71"/>
  <c r="I33" i="71"/>
  <c r="I31" i="71"/>
  <c r="A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1" i="31"/>
  <c r="I50" i="31"/>
  <c r="I49" i="31"/>
  <c r="I48" i="31"/>
  <c r="I47" i="31"/>
  <c r="I46" i="31"/>
  <c r="I45" i="31"/>
  <c r="I44" i="31"/>
  <c r="I42" i="31"/>
  <c r="I41" i="31"/>
  <c r="I40" i="31"/>
  <c r="I35" i="31"/>
  <c r="I31" i="31"/>
  <c r="E209" i="1"/>
  <c r="E208" i="1"/>
  <c r="E207" i="1"/>
  <c r="E205" i="1"/>
  <c r="E234" i="1"/>
  <c r="E233" i="1"/>
  <c r="E276" i="1"/>
  <c r="E87" i="1"/>
  <c r="E86" i="1"/>
  <c r="E105" i="1"/>
  <c r="E104" i="1"/>
  <c r="E379" i="1"/>
  <c r="E423" i="1"/>
  <c r="E451" i="1"/>
  <c r="E726" i="1"/>
  <c r="E503" i="1"/>
  <c r="E445" i="1"/>
  <c r="E444" i="1"/>
  <c r="E443" i="1"/>
  <c r="E374" i="1"/>
  <c r="D17" i="77"/>
  <c r="E804" i="1"/>
  <c r="E893" i="1"/>
  <c r="E888" i="1"/>
  <c r="E889" i="1"/>
  <c r="E778" i="1"/>
  <c r="E777" i="1"/>
  <c r="E784" i="1"/>
  <c r="E783" i="1"/>
  <c r="E779" i="1"/>
  <c r="E801" i="1"/>
  <c r="E794" i="1"/>
  <c r="E799" i="1"/>
  <c r="E798" i="1"/>
  <c r="E797" i="1"/>
  <c r="E796" i="1"/>
  <c r="E194" i="1"/>
  <c r="E193" i="1"/>
  <c r="E265" i="1"/>
  <c r="E264" i="1"/>
  <c r="E263" i="1"/>
  <c r="E58" i="1"/>
  <c r="E57" i="1"/>
  <c r="E56" i="1"/>
  <c r="E55" i="1"/>
  <c r="E584" i="1"/>
  <c r="E505" i="1"/>
  <c r="E372" i="1"/>
  <c r="E431" i="1"/>
  <c r="E430" i="1"/>
  <c r="E658" i="1"/>
  <c r="E616" i="1"/>
  <c r="E710" i="1"/>
  <c r="E729" i="1"/>
  <c r="E894" i="1"/>
  <c r="E805" i="1"/>
  <c r="E886" i="1"/>
  <c r="E301" i="1"/>
  <c r="E319" i="1"/>
  <c r="E318" i="1"/>
  <c r="E317" i="1"/>
  <c r="E565" i="1"/>
  <c r="E395" i="1"/>
  <c r="E488" i="1"/>
  <c r="E874" i="1"/>
  <c r="E574" i="1"/>
  <c r="E101" i="1"/>
  <c r="E223" i="1"/>
  <c r="E659" i="1"/>
  <c r="E725" i="1"/>
  <c r="E93" i="1"/>
  <c r="E92" i="1"/>
  <c r="E90" i="1"/>
  <c r="E89" i="1"/>
  <c r="E575" i="1"/>
  <c r="E529" i="1"/>
  <c r="E528" i="1"/>
  <c r="E306" i="1"/>
  <c r="E305" i="1"/>
  <c r="E322" i="1"/>
  <c r="E321" i="1"/>
  <c r="E323" i="1"/>
  <c r="E522" i="1"/>
  <c r="E884" i="1"/>
  <c r="E883" i="1"/>
  <c r="E398" i="1"/>
  <c r="E881" i="1"/>
  <c r="E880" i="1"/>
  <c r="E268" i="1"/>
  <c r="E189" i="1"/>
  <c r="E188" i="1"/>
  <c r="E187" i="1"/>
  <c r="E185" i="1"/>
  <c r="E260" i="1"/>
  <c r="E259" i="1"/>
  <c r="E258" i="1"/>
  <c r="E256" i="1"/>
  <c r="E98" i="1"/>
  <c r="E97" i="1"/>
  <c r="E94" i="1"/>
  <c r="E583" i="1"/>
  <c r="E369" i="1"/>
  <c r="E368" i="1"/>
  <c r="E367" i="1"/>
  <c r="E657" i="1"/>
  <c r="E635" i="1"/>
  <c r="E615" i="1"/>
  <c r="E186" i="1"/>
  <c r="E95" i="1"/>
  <c r="E257" i="1"/>
  <c r="E856" i="1"/>
  <c r="E585" i="1"/>
  <c r="E198" i="1"/>
  <c r="E196" i="1"/>
  <c r="E60" i="1"/>
  <c r="E272" i="1"/>
  <c r="E197" i="1"/>
  <c r="E199" i="1"/>
  <c r="E195" i="1"/>
  <c r="E103" i="1"/>
  <c r="E274" i="1"/>
  <c r="E382" i="1"/>
  <c r="E349" i="1"/>
  <c r="E377" i="1"/>
  <c r="E872" i="1"/>
  <c r="E864" i="1"/>
  <c r="E504" i="1"/>
  <c r="E723" i="1"/>
  <c r="E203" i="1"/>
  <c r="E202" i="1"/>
  <c r="E201" i="1"/>
  <c r="E200" i="1"/>
  <c r="E651" i="1"/>
  <c r="E639" i="1"/>
  <c r="E270" i="1"/>
  <c r="E269" i="1"/>
  <c r="E266" i="1"/>
  <c r="E618" i="1"/>
  <c r="E586" i="1"/>
  <c r="E460" i="1"/>
  <c r="E869" i="1"/>
  <c r="E376" i="1"/>
  <c r="E417" i="1"/>
  <c r="E416" i="1"/>
  <c r="E415" i="1"/>
  <c r="E637" i="1"/>
  <c r="E617" i="1"/>
  <c r="E470" i="1"/>
  <c r="E873" i="1"/>
  <c r="E99" i="1"/>
  <c r="E730" i="1"/>
  <c r="E728" i="1"/>
  <c r="E727" i="1"/>
  <c r="E879" i="1"/>
  <c r="E63" i="4"/>
  <c r="E64" i="85"/>
  <c r="E822" i="1"/>
  <c r="E823" i="1"/>
  <c r="E824" i="1"/>
  <c r="E820" i="1"/>
  <c r="E825" i="1"/>
  <c r="E826" i="1"/>
  <c r="E827" i="1"/>
  <c r="E828" i="1"/>
  <c r="E829" i="1"/>
  <c r="E664" i="1"/>
  <c r="E702" i="1"/>
  <c r="E701" i="1"/>
  <c r="E63" i="86"/>
  <c r="C63" i="31"/>
  <c r="E59" i="5"/>
  <c r="C59" i="5"/>
  <c r="E60" i="6"/>
  <c r="E330" i="1"/>
  <c r="E523" i="1"/>
  <c r="E520" i="1"/>
  <c r="E579" i="1"/>
  <c r="E577" i="1"/>
  <c r="E581" i="1"/>
  <c r="E580" i="1"/>
  <c r="E578" i="1"/>
  <c r="E582" i="1"/>
  <c r="E587" i="1"/>
  <c r="E425" i="1"/>
  <c r="E494" i="1"/>
  <c r="E484" i="1"/>
  <c r="E493" i="1"/>
  <c r="E483" i="1"/>
  <c r="E492" i="1"/>
  <c r="E478" i="1"/>
  <c r="E481" i="1"/>
  <c r="E414" i="1"/>
  <c r="E412" i="1"/>
  <c r="E420" i="1"/>
  <c r="E413" i="1"/>
  <c r="E429" i="1"/>
  <c r="E435" i="1"/>
  <c r="E428" i="1"/>
  <c r="E409" i="1"/>
  <c r="E419" i="1"/>
  <c r="E410" i="1"/>
  <c r="E434" i="1"/>
  <c r="E408" i="1"/>
  <c r="E406" i="1"/>
  <c r="E418" i="1"/>
  <c r="E407" i="1"/>
  <c r="E427" i="1"/>
  <c r="E433" i="1"/>
  <c r="E566" i="1"/>
  <c r="E54" i="30"/>
  <c r="C55" i="86"/>
  <c r="E554" i="1"/>
  <c r="E149" i="1"/>
  <c r="E119" i="1"/>
  <c r="E124" i="1"/>
  <c r="E148" i="1"/>
  <c r="E791" i="1"/>
  <c r="E123" i="1"/>
  <c r="E147" i="1"/>
  <c r="E117" i="1"/>
  <c r="E122" i="1"/>
  <c r="E146" i="1"/>
  <c r="E789" i="1"/>
  <c r="E121" i="1"/>
  <c r="E145" i="1"/>
  <c r="E788" i="1"/>
  <c r="E120" i="1"/>
  <c r="E31" i="6"/>
  <c r="C31" i="85"/>
  <c r="E34" i="51"/>
  <c r="C34" i="51"/>
  <c r="E31" i="31"/>
  <c r="E393" i="1"/>
  <c r="E402" i="1"/>
  <c r="E392" i="1"/>
  <c r="E401" i="1"/>
  <c r="E391" i="1"/>
  <c r="E400" i="1"/>
  <c r="E386" i="1"/>
  <c r="E388" i="1"/>
  <c r="E387" i="1"/>
  <c r="E343" i="1"/>
  <c r="E341" i="1"/>
  <c r="E358" i="1"/>
  <c r="E352" i="1"/>
  <c r="E342" i="1"/>
  <c r="E361" i="1"/>
  <c r="E364" i="1"/>
  <c r="E340" i="1"/>
  <c r="E338" i="1"/>
  <c r="E357" i="1"/>
  <c r="E351" i="1"/>
  <c r="E339" i="1"/>
  <c r="E360" i="1"/>
  <c r="E363" i="1"/>
  <c r="E335" i="1"/>
  <c r="E356" i="1"/>
  <c r="E350" i="1"/>
  <c r="E336" i="1"/>
  <c r="E359" i="1"/>
  <c r="E362" i="1"/>
  <c r="E525" i="1"/>
  <c r="E245" i="1"/>
  <c r="E240" i="1"/>
  <c r="E250" i="1"/>
  <c r="E255" i="1"/>
  <c r="E244" i="1"/>
  <c r="E239" i="1"/>
  <c r="E249" i="1"/>
  <c r="E254" i="1"/>
  <c r="E243" i="1"/>
  <c r="E238" i="1"/>
  <c r="E248" i="1"/>
  <c r="E253" i="1"/>
  <c r="E242" i="1"/>
  <c r="E237" i="1"/>
  <c r="E247" i="1"/>
  <c r="E252" i="1"/>
  <c r="E241" i="1"/>
  <c r="E236" i="1"/>
  <c r="E246" i="1"/>
  <c r="E251" i="1"/>
  <c r="E717" i="1"/>
  <c r="E720" i="1"/>
  <c r="E722" i="1"/>
  <c r="E808" i="1"/>
  <c r="E811" i="1"/>
  <c r="E556" i="1"/>
  <c r="E557" i="1"/>
  <c r="E8" i="1"/>
  <c r="E33" i="1"/>
  <c r="E28" i="1"/>
  <c r="E38" i="1"/>
  <c r="E775" i="1"/>
  <c r="E32" i="1"/>
  <c r="E27" i="1"/>
  <c r="E37" i="1"/>
  <c r="E22" i="1"/>
  <c r="E774" i="1"/>
  <c r="E31" i="1"/>
  <c r="E26" i="1"/>
  <c r="E36" i="1"/>
  <c r="E91" i="1"/>
  <c r="E21" i="1"/>
  <c r="E5" i="1"/>
  <c r="E30" i="1"/>
  <c r="E25" i="1"/>
  <c r="E35" i="1"/>
  <c r="E20" i="1"/>
  <c r="E9" i="1"/>
  <c r="E772" i="1"/>
  <c r="E29" i="1"/>
  <c r="E24" i="1"/>
  <c r="E14" i="1"/>
  <c r="E34" i="1"/>
  <c r="E19" i="1"/>
  <c r="E841" i="1"/>
  <c r="E854" i="1"/>
  <c r="E33" i="5"/>
  <c r="E845" i="1"/>
  <c r="E746" i="1"/>
  <c r="E741" i="1"/>
  <c r="E745" i="1"/>
  <c r="E740" i="1"/>
  <c r="E230" i="1"/>
  <c r="E756" i="1"/>
  <c r="E220" i="1"/>
  <c r="E739" i="1"/>
  <c r="E751" i="1"/>
  <c r="E48" i="30"/>
  <c r="E47" i="30"/>
  <c r="C47" i="31"/>
  <c r="E308" i="1"/>
  <c r="E295" i="1"/>
  <c r="E771" i="1"/>
  <c r="E743" i="1"/>
  <c r="E545" i="1"/>
  <c r="E53" i="1"/>
  <c r="E738" i="1"/>
  <c r="E546" i="1"/>
  <c r="E23" i="1"/>
  <c r="E219" i="1"/>
  <c r="E229" i="1"/>
  <c r="E437" i="1"/>
  <c r="E755" i="1"/>
  <c r="E426" i="1"/>
  <c r="E48" i="1"/>
  <c r="E18" i="1"/>
  <c r="E307" i="1"/>
  <c r="E750" i="1"/>
  <c r="E551" i="1"/>
  <c r="E459" i="1"/>
  <c r="E13" i="1"/>
  <c r="E542" i="1"/>
  <c r="E366" i="1"/>
  <c r="E54" i="71"/>
  <c r="C54" i="71"/>
  <c r="E550" i="1"/>
  <c r="E742" i="1"/>
  <c r="E473" i="1"/>
  <c r="E770" i="1"/>
  <c r="E543" i="1"/>
  <c r="E294" i="1"/>
  <c r="E43" i="1"/>
  <c r="E737" i="1"/>
  <c r="E549" i="1"/>
  <c r="E455" i="1"/>
  <c r="E514" i="1"/>
  <c r="E52" i="1"/>
  <c r="E836" i="1"/>
  <c r="E218" i="1"/>
  <c r="E228" i="1"/>
  <c r="E754" i="1"/>
  <c r="E548" i="1"/>
  <c r="E462" i="1"/>
  <c r="E818" i="1"/>
  <c r="E711" i="1"/>
  <c r="E458" i="1"/>
  <c r="E510" i="1"/>
  <c r="E749" i="1"/>
  <c r="E51" i="86"/>
  <c r="C50" i="4"/>
  <c r="E49" i="85"/>
  <c r="C49" i="3"/>
  <c r="E817" i="1"/>
  <c r="E298" i="1"/>
  <c r="E538" i="1"/>
  <c r="E816" i="1"/>
  <c r="E328" i="1"/>
  <c r="E454" i="1"/>
  <c r="E719" i="1"/>
  <c r="E47" i="1"/>
  <c r="E709" i="1"/>
  <c r="E539" i="1"/>
  <c r="E315" i="1"/>
  <c r="E508" i="1"/>
  <c r="E815" i="1"/>
  <c r="E698" i="1"/>
  <c r="E700" i="1"/>
  <c r="E293" i="1"/>
  <c r="E17" i="1"/>
  <c r="E769" i="1"/>
  <c r="E46" i="4"/>
  <c r="C46" i="30"/>
  <c r="E45" i="85"/>
  <c r="C45" i="30"/>
  <c r="E44" i="4"/>
  <c r="C44" i="3"/>
  <c r="E12" i="1"/>
  <c r="E699" i="1"/>
  <c r="E217" i="1"/>
  <c r="E227" i="1"/>
  <c r="E753" i="1"/>
  <c r="E521" i="1"/>
  <c r="E499" i="1"/>
  <c r="E501" i="1"/>
  <c r="E51" i="1"/>
  <c r="E331" i="1"/>
  <c r="E527" i="1"/>
  <c r="E424" i="1"/>
  <c r="E502" i="1"/>
  <c r="E42" i="1"/>
  <c r="E748" i="1"/>
  <c r="E411" i="1"/>
  <c r="E500" i="1"/>
  <c r="E332" i="1"/>
  <c r="E530" i="1"/>
  <c r="E735" i="1"/>
  <c r="E533" i="1"/>
  <c r="E536" i="1"/>
  <c r="E766" i="1"/>
  <c r="E696" i="1"/>
  <c r="E571" i="1"/>
  <c r="E812" i="1"/>
  <c r="E46" i="1"/>
  <c r="E768" i="1"/>
  <c r="E736" i="1"/>
  <c r="E54" i="4"/>
  <c r="C54" i="3"/>
  <c r="E706" i="1"/>
  <c r="E532" i="1"/>
  <c r="E535" i="1"/>
  <c r="E814" i="1"/>
  <c r="E876" i="1"/>
  <c r="E327" i="1"/>
  <c r="E697" i="1"/>
  <c r="E761" i="1"/>
  <c r="E297" i="1"/>
  <c r="E16" i="1"/>
  <c r="E716" i="1"/>
  <c r="E715" i="1"/>
  <c r="E11" i="1"/>
  <c r="E705" i="1"/>
  <c r="E813" i="1"/>
  <c r="E50" i="1"/>
  <c r="E226" i="1"/>
  <c r="E314" i="1"/>
  <c r="E292" i="1"/>
  <c r="E718" i="1"/>
  <c r="E752" i="1"/>
  <c r="E41" i="1"/>
  <c r="E216" i="1"/>
  <c r="E747" i="1"/>
  <c r="E496" i="1"/>
  <c r="E498" i="1"/>
  <c r="E134" i="1"/>
  <c r="E129" i="1"/>
  <c r="E139" i="1"/>
  <c r="E570" i="1"/>
  <c r="E45" i="1"/>
  <c r="E497" i="1"/>
  <c r="E569" i="1"/>
  <c r="E562" i="1"/>
  <c r="E15" i="1"/>
  <c r="E835" i="1"/>
  <c r="E10" i="1"/>
  <c r="E480" i="1"/>
  <c r="E767" i="1"/>
  <c r="E326" i="1"/>
  <c r="E765" i="1"/>
  <c r="E564" i="1"/>
  <c r="E833" i="1"/>
  <c r="E568" i="1"/>
  <c r="E477" i="1"/>
  <c r="E296" i="1"/>
  <c r="E559" i="1"/>
  <c r="E29" i="48"/>
  <c r="C29" i="48"/>
  <c r="E517" i="1"/>
  <c r="E144" i="1"/>
  <c r="E40" i="1"/>
  <c r="E313" i="1"/>
  <c r="E49" i="1"/>
  <c r="E553" i="1"/>
  <c r="E291" i="1"/>
  <c r="E760" i="1"/>
  <c r="E614" i="1"/>
  <c r="E613" i="1"/>
  <c r="E612" i="1"/>
  <c r="E600" i="1"/>
  <c r="E590" i="1"/>
  <c r="E708" i="1"/>
  <c r="E589" i="1"/>
  <c r="E467" i="1"/>
  <c r="E128" i="1"/>
  <c r="E138" i="1"/>
  <c r="E44" i="1"/>
  <c r="E469" i="1"/>
  <c r="E479" i="1"/>
  <c r="E133" i="1"/>
  <c r="E834" i="1"/>
  <c r="E764" i="1"/>
  <c r="E476" i="1"/>
  <c r="E832" i="1"/>
  <c r="E691" i="1"/>
  <c r="E694" i="1"/>
  <c r="E707" i="1"/>
  <c r="E759" i="1"/>
  <c r="E807" i="1"/>
  <c r="E31" i="54"/>
  <c r="C31" i="54"/>
  <c r="E599" i="1"/>
  <c r="E325" i="1"/>
  <c r="E692" i="1"/>
  <c r="E143" i="1"/>
  <c r="E39" i="1"/>
  <c r="E466" i="1"/>
  <c r="E468" i="1"/>
  <c r="E731" i="1"/>
  <c r="E312" i="1"/>
  <c r="E385" i="1"/>
  <c r="E734" i="1"/>
  <c r="E806" i="1"/>
  <c r="E621" i="1"/>
  <c r="E704" i="1"/>
  <c r="E132" i="1"/>
  <c r="E127" i="1"/>
  <c r="E137" i="1"/>
  <c r="E337" i="1"/>
  <c r="E31" i="7"/>
  <c r="C31" i="7"/>
  <c r="E763" i="1"/>
  <c r="E620" i="1"/>
  <c r="E758" i="1"/>
  <c r="E732" i="1"/>
  <c r="E690" i="1"/>
  <c r="E687" i="1"/>
  <c r="E703" i="1"/>
  <c r="E681" i="1"/>
  <c r="E324" i="1"/>
  <c r="E142" i="1"/>
  <c r="E619" i="1"/>
  <c r="E682" i="1"/>
  <c r="E684" i="1"/>
  <c r="E311" i="1"/>
  <c r="E384" i="1"/>
  <c r="E837" i="1"/>
  <c r="E126" i="1"/>
  <c r="E136" i="1"/>
  <c r="E611" i="1"/>
  <c r="E610" i="1"/>
  <c r="E131" i="1"/>
  <c r="E875" i="1"/>
  <c r="E762" i="1"/>
  <c r="E678" i="1"/>
  <c r="E677" i="1"/>
  <c r="E654" i="1"/>
  <c r="E661" i="1"/>
  <c r="E757" i="1"/>
  <c r="E141" i="1"/>
  <c r="E672" i="1"/>
  <c r="E673" i="1"/>
  <c r="E609" i="1"/>
  <c r="E652" i="1"/>
  <c r="E675" i="1"/>
  <c r="E130" i="1"/>
  <c r="E125" i="1"/>
  <c r="E135" i="1"/>
  <c r="E662" i="1"/>
  <c r="E642" i="1"/>
  <c r="E643" i="1"/>
  <c r="E668" i="1"/>
  <c r="E140" i="1"/>
  <c r="E667" i="1"/>
  <c r="E640" i="1"/>
  <c r="E33" i="55"/>
  <c r="C33" i="55"/>
  <c r="E650" i="1"/>
  <c r="E631" i="1"/>
  <c r="E630" i="1"/>
  <c r="C61" i="94"/>
  <c r="E632" i="1"/>
  <c r="E42" i="4"/>
  <c r="C42" i="30"/>
  <c r="E35" i="85"/>
  <c r="E49" i="31"/>
  <c r="C49" i="86"/>
  <c r="E900" i="1"/>
  <c r="E899" i="1"/>
  <c r="E898" i="1"/>
  <c r="E896" i="1"/>
  <c r="E892" i="1"/>
  <c r="E891" i="1"/>
  <c r="E890" i="1"/>
  <c r="E887" i="1"/>
  <c r="E877" i="1"/>
  <c r="E866" i="1"/>
  <c r="C860" i="1"/>
  <c r="C858" i="1"/>
  <c r="E803" i="1"/>
  <c r="E802" i="1"/>
  <c r="E800" i="1"/>
  <c r="E795" i="1"/>
  <c r="E793" i="1"/>
  <c r="E787" i="1"/>
  <c r="E786" i="1"/>
  <c r="E785" i="1"/>
  <c r="E782" i="1"/>
  <c r="E781" i="1"/>
  <c r="E780" i="1"/>
  <c r="E744" i="1"/>
  <c r="E733" i="1"/>
  <c r="E724" i="1"/>
  <c r="C724" i="1"/>
  <c r="E721" i="1"/>
  <c r="E695" i="1"/>
  <c r="E693" i="1"/>
  <c r="E689" i="1"/>
  <c r="E688" i="1"/>
  <c r="E686" i="1"/>
  <c r="E685" i="1"/>
  <c r="E683" i="1"/>
  <c r="E680" i="1"/>
  <c r="E679" i="1"/>
  <c r="E676" i="1"/>
  <c r="E674" i="1"/>
  <c r="E671" i="1"/>
  <c r="E670" i="1"/>
  <c r="E669" i="1"/>
  <c r="E666" i="1"/>
  <c r="E663" i="1"/>
  <c r="E660" i="1"/>
  <c r="I658" i="1"/>
  <c r="C658" i="1"/>
  <c r="E656" i="1"/>
  <c r="E655" i="1"/>
  <c r="E649" i="1"/>
  <c r="E648" i="1"/>
  <c r="I647" i="1"/>
  <c r="E647" i="1"/>
  <c r="C647" i="1"/>
  <c r="E646" i="1"/>
  <c r="E645" i="1"/>
  <c r="E644" i="1"/>
  <c r="E638" i="1"/>
  <c r="I636" i="1"/>
  <c r="E636" i="1"/>
  <c r="C636" i="1"/>
  <c r="E634" i="1"/>
  <c r="E633" i="1"/>
  <c r="E629" i="1"/>
  <c r="E628" i="1"/>
  <c r="E627" i="1"/>
  <c r="E626" i="1"/>
  <c r="E625" i="1"/>
  <c r="E624" i="1"/>
  <c r="E623" i="1"/>
  <c r="E622" i="1"/>
  <c r="I616" i="1"/>
  <c r="C616" i="1"/>
  <c r="E608" i="1"/>
  <c r="E607" i="1"/>
  <c r="E606" i="1"/>
  <c r="E605" i="1"/>
  <c r="E604" i="1"/>
  <c r="E603" i="1"/>
  <c r="E602" i="1"/>
  <c r="E601" i="1"/>
  <c r="E598" i="1"/>
  <c r="E597" i="1"/>
  <c r="E596" i="1"/>
  <c r="E595" i="1"/>
  <c r="E594" i="1"/>
  <c r="E593" i="1"/>
  <c r="E592" i="1"/>
  <c r="E591" i="1"/>
  <c r="I584" i="1"/>
  <c r="C584" i="1"/>
  <c r="E573" i="1"/>
  <c r="C573" i="1"/>
  <c r="E572" i="1"/>
  <c r="E560" i="1"/>
  <c r="E534" i="1"/>
  <c r="E531" i="1"/>
  <c r="E518" i="1"/>
  <c r="E513" i="1"/>
  <c r="E512" i="1"/>
  <c r="E511" i="1"/>
  <c r="E509" i="1"/>
  <c r="E507" i="1"/>
  <c r="E506" i="1"/>
  <c r="I505" i="1"/>
  <c r="C505" i="1"/>
  <c r="E495" i="1"/>
  <c r="E485" i="1"/>
  <c r="E482" i="1"/>
  <c r="I469" i="1"/>
  <c r="I465" i="1"/>
  <c r="C465" i="1"/>
  <c r="C464" i="1"/>
  <c r="I463" i="1"/>
  <c r="C463" i="1"/>
  <c r="C462" i="1"/>
  <c r="E450" i="1"/>
  <c r="I432" i="1"/>
  <c r="E432" i="1"/>
  <c r="C432" i="1"/>
  <c r="I431" i="1"/>
  <c r="C431" i="1"/>
  <c r="I430" i="1"/>
  <c r="C430" i="1"/>
  <c r="E421" i="1"/>
  <c r="E405" i="1"/>
  <c r="E404" i="1"/>
  <c r="E397" i="1"/>
  <c r="E396" i="1"/>
  <c r="E389" i="1"/>
  <c r="E381" i="1"/>
  <c r="E380" i="1"/>
  <c r="E375" i="1"/>
  <c r="E373" i="1"/>
  <c r="I372" i="1"/>
  <c r="C372" i="1"/>
  <c r="I371" i="1"/>
  <c r="E371" i="1"/>
  <c r="C371" i="1"/>
  <c r="I370" i="1"/>
  <c r="E370" i="1"/>
  <c r="C370" i="1"/>
  <c r="E355" i="1"/>
  <c r="E354" i="1"/>
  <c r="E346" i="1"/>
  <c r="E345" i="1"/>
  <c r="E344" i="1"/>
  <c r="E334" i="1"/>
  <c r="E333" i="1"/>
  <c r="E329" i="1"/>
  <c r="E302" i="1"/>
  <c r="E300" i="1"/>
  <c r="E299" i="1"/>
  <c r="E279" i="1"/>
  <c r="E275" i="1"/>
  <c r="E273" i="1"/>
  <c r="I265" i="1"/>
  <c r="C265" i="1"/>
  <c r="I264" i="1"/>
  <c r="C264" i="1"/>
  <c r="I263" i="1"/>
  <c r="C263" i="1"/>
  <c r="I262" i="1"/>
  <c r="E262" i="1"/>
  <c r="C262" i="1"/>
  <c r="I261" i="1"/>
  <c r="E261" i="1"/>
  <c r="C261" i="1"/>
  <c r="E235" i="1"/>
  <c r="E231" i="1"/>
  <c r="E222" i="1"/>
  <c r="E206" i="1"/>
  <c r="E204" i="1"/>
  <c r="I194" i="1"/>
  <c r="C194" i="1"/>
  <c r="I193" i="1"/>
  <c r="C193" i="1"/>
  <c r="I192" i="1"/>
  <c r="E192" i="1"/>
  <c r="C192" i="1"/>
  <c r="I191" i="1"/>
  <c r="E191" i="1"/>
  <c r="C191" i="1"/>
  <c r="I190" i="1"/>
  <c r="E190" i="1"/>
  <c r="C190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08" i="1"/>
  <c r="E107" i="1"/>
  <c r="E96" i="1"/>
  <c r="E88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1" i="1"/>
  <c r="I58" i="1"/>
  <c r="C58" i="1"/>
  <c r="I57" i="1"/>
  <c r="C57" i="1"/>
  <c r="I56" i="1"/>
  <c r="C56" i="1"/>
  <c r="I55" i="1"/>
  <c r="C55" i="1"/>
  <c r="I54" i="1"/>
  <c r="E54" i="1"/>
  <c r="C54" i="1"/>
  <c r="N9" i="1"/>
  <c r="M9" i="1"/>
  <c r="L9" i="1"/>
  <c r="N8" i="1"/>
  <c r="M8" i="1"/>
  <c r="L8" i="1"/>
  <c r="J1" i="1"/>
  <c r="A66" i="30"/>
  <c r="I65" i="30"/>
  <c r="E65" i="30"/>
  <c r="I64" i="30"/>
  <c r="I63" i="30"/>
  <c r="I62" i="30"/>
  <c r="E62" i="30"/>
  <c r="I61" i="30"/>
  <c r="I60" i="30"/>
  <c r="I59" i="30"/>
  <c r="I58" i="30"/>
  <c r="I57" i="30"/>
  <c r="I56" i="30"/>
  <c r="I55" i="30"/>
  <c r="I54" i="30"/>
  <c r="I53" i="30"/>
  <c r="I50" i="30"/>
  <c r="I49" i="30"/>
  <c r="I48" i="30"/>
  <c r="I47" i="30"/>
  <c r="I46" i="30"/>
  <c r="E46" i="30"/>
  <c r="I45" i="30"/>
  <c r="E45" i="30"/>
  <c r="I44" i="30"/>
  <c r="E44" i="30"/>
  <c r="I42" i="30"/>
  <c r="E42" i="30"/>
  <c r="I41" i="30"/>
  <c r="I40" i="30"/>
  <c r="I35" i="30"/>
  <c r="I33" i="30"/>
  <c r="I31" i="30"/>
  <c r="A65" i="4"/>
  <c r="I64" i="4"/>
  <c r="E64" i="4"/>
  <c r="I63" i="4"/>
  <c r="I62" i="4"/>
  <c r="I61" i="4"/>
  <c r="I60" i="4"/>
  <c r="I59" i="4"/>
  <c r="I58" i="4"/>
  <c r="I57" i="4"/>
  <c r="I56" i="4"/>
  <c r="I55" i="4"/>
  <c r="I54" i="4"/>
  <c r="I53" i="4"/>
  <c r="I50" i="4"/>
  <c r="I49" i="4"/>
  <c r="I48" i="4"/>
  <c r="I47" i="4"/>
  <c r="I46" i="4"/>
  <c r="I45" i="4"/>
  <c r="E45" i="4"/>
  <c r="I44" i="4"/>
  <c r="I42" i="4"/>
  <c r="I41" i="4"/>
  <c r="I40" i="4"/>
  <c r="I35" i="4"/>
  <c r="I33" i="4"/>
  <c r="E33" i="4"/>
  <c r="I31" i="4"/>
  <c r="A65" i="85"/>
  <c r="I64" i="85"/>
  <c r="I63" i="85"/>
  <c r="I62" i="85"/>
  <c r="I61" i="85"/>
  <c r="I60" i="85"/>
  <c r="I59" i="85"/>
  <c r="I58" i="85"/>
  <c r="I57" i="85"/>
  <c r="I56" i="85"/>
  <c r="I55" i="85"/>
  <c r="I54" i="85"/>
  <c r="I53" i="85"/>
  <c r="I50" i="85"/>
  <c r="I49" i="85"/>
  <c r="I48" i="85"/>
  <c r="I47" i="85"/>
  <c r="I46" i="85"/>
  <c r="E46" i="85"/>
  <c r="I45" i="85"/>
  <c r="I44" i="85"/>
  <c r="E44" i="85"/>
  <c r="I42" i="85"/>
  <c r="E42" i="85"/>
  <c r="I41" i="85"/>
  <c r="I40" i="85"/>
  <c r="I35" i="85"/>
  <c r="I33" i="85"/>
  <c r="E33" i="85"/>
  <c r="I31" i="85"/>
  <c r="E31" i="85"/>
  <c r="A67" i="86"/>
  <c r="I66" i="86"/>
  <c r="E66" i="86"/>
  <c r="I65" i="86"/>
  <c r="I64" i="86"/>
  <c r="I63" i="86"/>
  <c r="I62" i="86"/>
  <c r="I61" i="86"/>
  <c r="I60" i="86"/>
  <c r="I59" i="86"/>
  <c r="I58" i="86"/>
  <c r="I57" i="86"/>
  <c r="I56" i="86"/>
  <c r="E56" i="86"/>
  <c r="I55" i="86"/>
  <c r="E55" i="86"/>
  <c r="I54" i="86"/>
  <c r="I51" i="86"/>
  <c r="I50" i="86"/>
  <c r="I49" i="86"/>
  <c r="E49" i="86"/>
  <c r="I48" i="86"/>
  <c r="I47" i="86"/>
  <c r="I46" i="86"/>
  <c r="E46" i="86"/>
  <c r="I45" i="86"/>
  <c r="I44" i="86"/>
  <c r="I42" i="86"/>
  <c r="E42" i="86"/>
  <c r="I41" i="86"/>
  <c r="I40" i="86"/>
  <c r="I35" i="86"/>
  <c r="I31" i="86"/>
  <c r="A65" i="3"/>
  <c r="I64" i="3"/>
  <c r="E64" i="3"/>
  <c r="I63" i="3"/>
  <c r="I62" i="3"/>
  <c r="I61" i="3"/>
  <c r="I60" i="3"/>
  <c r="I59" i="3"/>
  <c r="I58" i="3"/>
  <c r="I57" i="3"/>
  <c r="I56" i="3"/>
  <c r="I55" i="3"/>
  <c r="I54" i="3"/>
  <c r="I53" i="3"/>
  <c r="I50" i="3"/>
  <c r="I49" i="3"/>
  <c r="I48" i="3"/>
  <c r="I47" i="3"/>
  <c r="I46" i="3"/>
  <c r="E46" i="3"/>
  <c r="I45" i="3"/>
  <c r="E45" i="3"/>
  <c r="I44" i="3"/>
  <c r="I42" i="3"/>
  <c r="I41" i="3"/>
  <c r="I40" i="3"/>
  <c r="I35" i="3"/>
  <c r="I33" i="3"/>
  <c r="I31" i="3"/>
  <c r="E31" i="3"/>
  <c r="C303" i="77"/>
  <c r="I302" i="77"/>
  <c r="A2" i="81"/>
  <c r="A2" i="78"/>
  <c r="A2" i="80"/>
  <c r="A2" i="53"/>
  <c r="A2" i="95"/>
  <c r="A2" i="94"/>
  <c r="A50" i="77"/>
  <c r="K50" i="77"/>
  <c r="I44" i="77"/>
  <c r="N44" i="77"/>
  <c r="A64" i="86"/>
  <c r="P45" i="77"/>
  <c r="A32" i="85"/>
  <c r="A30" i="85"/>
  <c r="A28" i="85"/>
  <c r="A8" i="58"/>
  <c r="A44" i="77"/>
  <c r="B21" i="77"/>
  <c r="C12" i="80"/>
  <c r="A60" i="94"/>
  <c r="C59" i="94"/>
  <c r="U5" i="31" l="1"/>
  <c r="J9" i="1"/>
  <c r="J8" i="1"/>
  <c r="C77" i="1" s="1"/>
  <c r="J6" i="1"/>
  <c r="J5" i="1"/>
  <c r="J18" i="1"/>
  <c r="J22" i="1"/>
  <c r="J4" i="1"/>
  <c r="J16" i="1"/>
  <c r="J14" i="1"/>
  <c r="J13" i="1"/>
  <c r="J17" i="1"/>
  <c r="I867" i="1" s="1"/>
  <c r="J15" i="1"/>
  <c r="U24" i="94"/>
  <c r="C31" i="4"/>
  <c r="C54" i="4"/>
  <c r="C46" i="4"/>
  <c r="C47" i="4"/>
  <c r="E118" i="1"/>
  <c r="E54" i="85"/>
  <c r="E33" i="30"/>
  <c r="E31" i="4"/>
  <c r="E54" i="3"/>
  <c r="C33" i="85"/>
  <c r="T24" i="94"/>
  <c r="C46" i="85"/>
  <c r="C46" i="3"/>
  <c r="E116" i="1"/>
  <c r="E456" i="1"/>
  <c r="E773" i="1"/>
  <c r="C33" i="3"/>
  <c r="C47" i="3"/>
  <c r="E348" i="1"/>
  <c r="C45" i="85"/>
  <c r="C47" i="30"/>
  <c r="E6" i="1"/>
  <c r="E62" i="1"/>
  <c r="E221" i="1"/>
  <c r="E281" i="1"/>
  <c r="E378" i="1"/>
  <c r="E491" i="1"/>
  <c r="E868" i="1"/>
  <c r="C33" i="30"/>
  <c r="E4" i="1"/>
  <c r="E463" i="1"/>
  <c r="E561" i="1"/>
  <c r="E882" i="1"/>
  <c r="C47" i="86"/>
  <c r="C54" i="85"/>
  <c r="E280" i="1"/>
  <c r="E870" i="1"/>
  <c r="C47" i="85"/>
  <c r="E489" i="1"/>
  <c r="E878" i="1"/>
  <c r="C45" i="86"/>
  <c r="E347" i="1"/>
  <c r="E213" i="1"/>
  <c r="E490" i="1"/>
  <c r="C45" i="3"/>
  <c r="C46" i="86"/>
  <c r="C54" i="30"/>
  <c r="E320" i="1"/>
  <c r="C55" i="3"/>
  <c r="C56" i="86"/>
  <c r="C44" i="4"/>
  <c r="C31" i="30"/>
  <c r="E44" i="3"/>
  <c r="C44" i="86"/>
  <c r="C33" i="4"/>
  <c r="E844" i="1"/>
  <c r="E831" i="1"/>
  <c r="C63" i="86"/>
  <c r="E394" i="1"/>
  <c r="E840" i="1"/>
  <c r="C31" i="3"/>
  <c r="C44" i="30"/>
  <c r="E895" i="1"/>
  <c r="C31" i="86"/>
  <c r="E810" i="1"/>
  <c r="E842" i="1"/>
  <c r="E885" i="1"/>
  <c r="E790" i="1"/>
  <c r="E465" i="1"/>
  <c r="C61" i="4"/>
  <c r="E284" i="1"/>
  <c r="E792" i="1"/>
  <c r="C61" i="85"/>
  <c r="C44" i="85"/>
  <c r="E316" i="1"/>
  <c r="E519" i="1"/>
  <c r="C61" i="3"/>
  <c r="E232" i="1"/>
  <c r="E452" i="1"/>
  <c r="E84" i="1"/>
  <c r="C59" i="4"/>
  <c r="E85" i="1"/>
  <c r="E277" i="1"/>
  <c r="E422" i="1"/>
  <c r="C42" i="3"/>
  <c r="E100" i="1"/>
  <c r="C42" i="86"/>
  <c r="E61" i="85"/>
  <c r="E31" i="30"/>
  <c r="E55" i="3"/>
  <c r="E44" i="86"/>
  <c r="E61" i="4"/>
  <c r="E31" i="86"/>
  <c r="E45" i="86"/>
  <c r="E42" i="3"/>
  <c r="E59" i="4"/>
  <c r="E63" i="85"/>
  <c r="E59" i="85"/>
  <c r="E47" i="86"/>
  <c r="E47" i="3"/>
  <c r="E54" i="86"/>
  <c r="E53" i="3"/>
  <c r="E53" i="85"/>
  <c r="E47" i="4"/>
  <c r="E47" i="85"/>
  <c r="E50" i="85"/>
  <c r="E33" i="3"/>
  <c r="E61" i="3"/>
  <c r="C8" i="3"/>
  <c r="C9" i="3" s="1"/>
  <c r="E60" i="30"/>
  <c r="E106" i="1"/>
  <c r="C45" i="4"/>
  <c r="E50" i="30"/>
  <c r="E278" i="1"/>
  <c r="C50" i="3"/>
  <c r="C62" i="30"/>
  <c r="E7" i="1"/>
  <c r="E115" i="1"/>
  <c r="E365" i="1"/>
  <c r="E839" i="1"/>
  <c r="E50" i="3"/>
  <c r="E871" i="1"/>
  <c r="C59" i="3"/>
  <c r="C42" i="85"/>
  <c r="E283" i="1"/>
  <c r="E50" i="4"/>
  <c r="E59" i="3"/>
  <c r="C42" i="4"/>
  <c r="E215" i="1"/>
  <c r="E353" i="1"/>
  <c r="E843" i="1"/>
  <c r="E61" i="86"/>
  <c r="C59" i="85"/>
  <c r="C50" i="30"/>
  <c r="C60" i="30"/>
  <c r="C51" i="86"/>
  <c r="E212" i="1"/>
  <c r="E776" i="1"/>
  <c r="E214" i="1"/>
  <c r="C61" i="86"/>
  <c r="C50" i="85"/>
  <c r="E63" i="1"/>
  <c r="E859" i="1"/>
  <c r="A58" i="3"/>
  <c r="E861" i="1"/>
  <c r="A53" i="78"/>
  <c r="A43" i="95"/>
  <c r="A48" i="94"/>
  <c r="A40" i="19"/>
  <c r="A40" i="62"/>
  <c r="A40" i="61"/>
  <c r="A40" i="58"/>
  <c r="A43" i="81"/>
  <c r="A53" i="53"/>
  <c r="A43" i="80"/>
  <c r="A40" i="70"/>
  <c r="A39" i="44"/>
  <c r="A40" i="34"/>
  <c r="A40" i="20"/>
  <c r="A40" i="33"/>
  <c r="A38" i="48"/>
  <c r="A60" i="95"/>
  <c r="A64" i="78"/>
  <c r="A65" i="94"/>
  <c r="A65" i="53"/>
  <c r="A55" i="81"/>
  <c r="A56" i="80"/>
  <c r="A59" i="58"/>
  <c r="A60" i="19"/>
  <c r="A60" i="62"/>
  <c r="A60" i="61"/>
  <c r="A59" i="20"/>
  <c r="A59" i="70"/>
  <c r="A60" i="34"/>
  <c r="A59" i="33"/>
  <c r="A57" i="48"/>
  <c r="A58" i="44"/>
  <c r="C30" i="19"/>
  <c r="C30" i="62"/>
  <c r="C30" i="58"/>
  <c r="C30" i="61"/>
  <c r="C28" i="48"/>
  <c r="C30" i="34"/>
  <c r="C30" i="20"/>
  <c r="C30" i="33"/>
  <c r="C30" i="18"/>
  <c r="C30" i="17"/>
  <c r="E848" i="1"/>
  <c r="E851" i="1"/>
  <c r="E850" i="1"/>
  <c r="E849" i="1"/>
  <c r="A43" i="61"/>
  <c r="A43" i="62"/>
  <c r="A43" i="58"/>
  <c r="A43" i="19"/>
  <c r="A43" i="20"/>
  <c r="A42" i="44"/>
  <c r="A43" i="33"/>
  <c r="A41" i="48"/>
  <c r="A43" i="34"/>
  <c r="A43" i="70"/>
  <c r="B3" i="94"/>
  <c r="B3" i="95"/>
  <c r="B3" i="30"/>
  <c r="E464" i="1"/>
  <c r="E436" i="1"/>
  <c r="E821" i="1"/>
  <c r="C60" i="95"/>
  <c r="C65" i="94"/>
  <c r="A58" i="78"/>
  <c r="A60" i="78"/>
  <c r="A59" i="53"/>
  <c r="A61" i="53"/>
  <c r="E399" i="1"/>
  <c r="C28" i="58"/>
  <c r="C28" i="61"/>
  <c r="C28" i="62"/>
  <c r="C53" i="78"/>
  <c r="C43" i="95"/>
  <c r="C48" i="94"/>
  <c r="C40" i="19"/>
  <c r="C40" i="62"/>
  <c r="C40" i="61"/>
  <c r="C40" i="58"/>
  <c r="C43" i="81"/>
  <c r="C53" i="53"/>
  <c r="C43" i="80"/>
  <c r="C40" i="70"/>
  <c r="C39" i="44"/>
  <c r="C40" i="20"/>
  <c r="C40" i="33"/>
  <c r="C38" i="48"/>
  <c r="C40" i="34"/>
  <c r="C40" i="18"/>
  <c r="C40" i="17"/>
  <c r="C41" i="8"/>
  <c r="C48" i="30"/>
  <c r="C48" i="85"/>
  <c r="C48" i="3"/>
  <c r="C48" i="4"/>
  <c r="C48" i="86"/>
  <c r="C49" i="54"/>
  <c r="E846" i="1"/>
  <c r="E857" i="1"/>
  <c r="E855" i="1"/>
  <c r="E863" i="1"/>
  <c r="E847" i="1"/>
  <c r="C35" i="54"/>
  <c r="C49" i="95"/>
  <c r="C35" i="94"/>
  <c r="C54" i="94"/>
  <c r="C53" i="85"/>
  <c r="C54" i="86"/>
  <c r="C53" i="3"/>
  <c r="C35" i="86"/>
  <c r="C35" i="4"/>
  <c r="C35" i="85"/>
  <c r="C53" i="30"/>
  <c r="C53" i="4"/>
  <c r="C35" i="30"/>
  <c r="C35" i="3"/>
  <c r="C30" i="80"/>
  <c r="C30" i="81"/>
  <c r="E224" i="1"/>
  <c r="E271" i="1"/>
  <c r="E282" i="1"/>
  <c r="E267" i="1"/>
  <c r="E59" i="1"/>
  <c r="E102" i="1"/>
  <c r="A45" i="80"/>
  <c r="A49" i="58"/>
  <c r="A49" i="61"/>
  <c r="A45" i="81"/>
  <c r="A49" i="19"/>
  <c r="A49" i="62"/>
  <c r="A49" i="33"/>
  <c r="A47" i="48"/>
  <c r="A49" i="34"/>
  <c r="A49" i="70"/>
  <c r="A48" i="44"/>
  <c r="A49" i="20"/>
  <c r="E225" i="1"/>
  <c r="E526" i="1"/>
  <c r="E865" i="1"/>
  <c r="A7" i="94"/>
  <c r="A7" i="78"/>
  <c r="A7" i="95"/>
  <c r="A7" i="62"/>
  <c r="A7" i="61"/>
  <c r="A7" i="80"/>
  <c r="A7" i="58"/>
  <c r="A7" i="53"/>
  <c r="A7" i="48"/>
  <c r="A7" i="70"/>
  <c r="A7" i="44"/>
  <c r="A7" i="20"/>
  <c r="A7" i="33"/>
  <c r="C3" i="95"/>
  <c r="C3" i="94"/>
  <c r="A50" i="62"/>
  <c r="A50" i="61"/>
  <c r="A50" i="58"/>
  <c r="A46" i="80"/>
  <c r="A50" i="19"/>
  <c r="A46" i="81"/>
  <c r="A48" i="48"/>
  <c r="A50" i="34"/>
  <c r="A50" i="70"/>
  <c r="A50" i="33"/>
  <c r="A49" i="44"/>
  <c r="A50" i="20"/>
  <c r="E858" i="1"/>
  <c r="C57" i="56"/>
  <c r="C51" i="80"/>
  <c r="C55" i="61"/>
  <c r="C55" i="19"/>
  <c r="C51" i="81"/>
  <c r="C55" i="62"/>
  <c r="C55" i="34"/>
  <c r="C55" i="17"/>
  <c r="C56" i="8"/>
  <c r="C55" i="18"/>
  <c r="C60" i="6"/>
  <c r="C60" i="4"/>
  <c r="C62" i="86"/>
  <c r="C60" i="3"/>
  <c r="C61" i="30"/>
  <c r="C60" i="85"/>
  <c r="E867" i="1"/>
  <c r="E809" i="1"/>
  <c r="E304" i="1"/>
  <c r="E303" i="1"/>
  <c r="E487" i="1"/>
  <c r="E486" i="1"/>
  <c r="E714" i="1"/>
  <c r="F714" i="1"/>
  <c r="C45" i="95"/>
  <c r="C50" i="94"/>
  <c r="C41" i="58"/>
  <c r="C41" i="61"/>
  <c r="C41" i="19"/>
  <c r="C41" i="62"/>
  <c r="C41" i="33"/>
  <c r="C39" i="48"/>
  <c r="C41" i="34"/>
  <c r="C41" i="70"/>
  <c r="C40" i="44"/>
  <c r="C41" i="20"/>
  <c r="C42" i="8"/>
  <c r="C41" i="17"/>
  <c r="C41" i="18"/>
  <c r="C49" i="85"/>
  <c r="C49" i="4"/>
  <c r="C50" i="86"/>
  <c r="C49" i="30"/>
  <c r="E30" i="80"/>
  <c r="E30" i="81"/>
  <c r="E28" i="61"/>
  <c r="E28" i="62"/>
  <c r="E28" i="58"/>
  <c r="A41" i="58"/>
  <c r="A41" i="61"/>
  <c r="A41" i="19"/>
  <c r="A41" i="62"/>
  <c r="A41" i="20"/>
  <c r="A41" i="33"/>
  <c r="A39" i="48"/>
  <c r="A41" i="70"/>
  <c r="A41" i="34"/>
  <c r="A40" i="44"/>
  <c r="E53" i="30"/>
  <c r="C35" i="62"/>
  <c r="C35" i="61"/>
  <c r="C35" i="58"/>
  <c r="C38" i="95"/>
  <c r="C43" i="94"/>
  <c r="C46" i="95"/>
  <c r="C51" i="94"/>
  <c r="C42" i="19"/>
  <c r="C42" i="62"/>
  <c r="C42" i="61"/>
  <c r="C42" i="58"/>
  <c r="C42" i="34"/>
  <c r="C42" i="70"/>
  <c r="C41" i="44"/>
  <c r="C42" i="20"/>
  <c r="C42" i="33"/>
  <c r="C40" i="48"/>
  <c r="C42" i="18"/>
  <c r="C42" i="17"/>
  <c r="C43" i="8"/>
  <c r="C59" i="56"/>
  <c r="C57" i="62"/>
  <c r="C56" i="58"/>
  <c r="C57" i="19"/>
  <c r="C56" i="70"/>
  <c r="C55" i="44"/>
  <c r="C56" i="20"/>
  <c r="C57" i="34"/>
  <c r="C56" i="33"/>
  <c r="C54" i="48"/>
  <c r="C57" i="18"/>
  <c r="C57" i="17"/>
  <c r="C58" i="8"/>
  <c r="C34" i="78"/>
  <c r="C34" i="53"/>
  <c r="E48" i="31"/>
  <c r="E43" i="95"/>
  <c r="F43" i="95" s="1"/>
  <c r="G43" i="95" s="1"/>
  <c r="E48" i="94"/>
  <c r="F48" i="94" s="1"/>
  <c r="G48" i="94" s="1"/>
  <c r="E53" i="53"/>
  <c r="E40" i="62"/>
  <c r="E40" i="61"/>
  <c r="E40" i="58"/>
  <c r="E43" i="81"/>
  <c r="E43" i="80"/>
  <c r="E53" i="78"/>
  <c r="E40" i="19"/>
  <c r="E39" i="44"/>
  <c r="E40" i="20"/>
  <c r="E40" i="33"/>
  <c r="E38" i="48"/>
  <c r="E40" i="34"/>
  <c r="E40" i="70"/>
  <c r="E40" i="18"/>
  <c r="E40" i="17"/>
  <c r="E41" i="8"/>
  <c r="A32" i="78"/>
  <c r="A28" i="80"/>
  <c r="A28" i="81"/>
  <c r="A32" i="53"/>
  <c r="E50" i="86"/>
  <c r="E3" i="95"/>
  <c r="E3" i="94"/>
  <c r="E3" i="58"/>
  <c r="E3" i="53"/>
  <c r="E3" i="62"/>
  <c r="E3" i="61"/>
  <c r="E3" i="81"/>
  <c r="E3" i="80"/>
  <c r="E3" i="33"/>
  <c r="E3" i="20"/>
  <c r="E3" i="48"/>
  <c r="E3" i="70"/>
  <c r="E3" i="34"/>
  <c r="E3" i="44"/>
  <c r="A9" i="62"/>
  <c r="A9" i="61"/>
  <c r="A10" i="86"/>
  <c r="A10" i="78"/>
  <c r="A10" i="94"/>
  <c r="A10" i="53"/>
  <c r="A46" i="95"/>
  <c r="A51" i="94"/>
  <c r="A42" i="19"/>
  <c r="A42" i="62"/>
  <c r="A42" i="61"/>
  <c r="A42" i="58"/>
  <c r="A42" i="34"/>
  <c r="A42" i="70"/>
  <c r="A41" i="44"/>
  <c r="A42" i="20"/>
  <c r="A40" i="48"/>
  <c r="A42" i="33"/>
  <c r="A52" i="19"/>
  <c r="A48" i="81"/>
  <c r="A48" i="80"/>
  <c r="A52" i="62"/>
  <c r="A52" i="61"/>
  <c r="A52" i="58"/>
  <c r="A52" i="70"/>
  <c r="A51" i="44"/>
  <c r="A52" i="34"/>
  <c r="A52" i="20"/>
  <c r="A52" i="33"/>
  <c r="A50" i="48"/>
  <c r="E35" i="3"/>
  <c r="E64" i="30"/>
  <c r="E515" i="1"/>
  <c r="E860" i="1"/>
  <c r="E35" i="62"/>
  <c r="E35" i="61"/>
  <c r="E35" i="58"/>
  <c r="E43" i="94"/>
  <c r="F43" i="94" s="1"/>
  <c r="G43" i="94" s="1"/>
  <c r="E38" i="95"/>
  <c r="F38" i="95" s="1"/>
  <c r="G38" i="95" s="1"/>
  <c r="E61" i="88"/>
  <c r="E61" i="94"/>
  <c r="F61" i="94" s="1"/>
  <c r="G61" i="94" s="1"/>
  <c r="E51" i="71"/>
  <c r="E46" i="95"/>
  <c r="F46" i="95" s="1"/>
  <c r="G46" i="95" s="1"/>
  <c r="E51" i="94"/>
  <c r="F51" i="94" s="1"/>
  <c r="G51" i="94" s="1"/>
  <c r="E42" i="19"/>
  <c r="E42" i="62"/>
  <c r="E42" i="61"/>
  <c r="E42" i="58"/>
  <c r="E42" i="70"/>
  <c r="E41" i="44"/>
  <c r="E42" i="20"/>
  <c r="E42" i="33"/>
  <c r="E42" i="34"/>
  <c r="E40" i="48"/>
  <c r="E42" i="18"/>
  <c r="E42" i="17"/>
  <c r="E43" i="8"/>
  <c r="E59" i="56"/>
  <c r="E57" i="62"/>
  <c r="E57" i="19"/>
  <c r="E56" i="58"/>
  <c r="E55" i="44"/>
  <c r="E56" i="70"/>
  <c r="E56" i="20"/>
  <c r="E57" i="34"/>
  <c r="E56" i="33"/>
  <c r="E54" i="48"/>
  <c r="E57" i="18"/>
  <c r="E57" i="17"/>
  <c r="E58" i="8"/>
  <c r="E34" i="53"/>
  <c r="E34" i="78"/>
  <c r="F576" i="1"/>
  <c r="E576" i="1"/>
  <c r="C47" i="87"/>
  <c r="E30" i="62"/>
  <c r="E30" i="58"/>
  <c r="E30" i="61"/>
  <c r="E30" i="19"/>
  <c r="E30" i="34"/>
  <c r="E30" i="33"/>
  <c r="E28" i="48"/>
  <c r="E30" i="20"/>
  <c r="E30" i="18"/>
  <c r="E30" i="17"/>
  <c r="C32" i="78"/>
  <c r="C28" i="81"/>
  <c r="C32" i="53"/>
  <c r="C28" i="80"/>
  <c r="C32" i="94"/>
  <c r="C32" i="95"/>
  <c r="C50" i="78"/>
  <c r="C39" i="95"/>
  <c r="C44" i="94"/>
  <c r="C40" i="80"/>
  <c r="C40" i="81"/>
  <c r="C36" i="19"/>
  <c r="C50" i="53"/>
  <c r="C36" i="62"/>
  <c r="C36" i="61"/>
  <c r="C36" i="58"/>
  <c r="C36" i="20"/>
  <c r="C36" i="33"/>
  <c r="C34" i="48"/>
  <c r="C36" i="34"/>
  <c r="C36" i="70"/>
  <c r="C35" i="44"/>
  <c r="C36" i="18"/>
  <c r="C36" i="17"/>
  <c r="C37" i="8"/>
  <c r="C30" i="70"/>
  <c r="C29" i="44"/>
  <c r="F897" i="1"/>
  <c r="E897" i="1"/>
  <c r="E712" i="1"/>
  <c r="F712" i="1"/>
  <c r="E55" i="71"/>
  <c r="E49" i="95"/>
  <c r="F49" i="95" s="1"/>
  <c r="G49" i="95" s="1"/>
  <c r="E35" i="94"/>
  <c r="F35" i="94" s="1"/>
  <c r="G35" i="94" s="1"/>
  <c r="E54" i="94"/>
  <c r="F54" i="94" s="1"/>
  <c r="G54" i="94" s="1"/>
  <c r="A8" i="95"/>
  <c r="A8" i="94"/>
  <c r="A8" i="62"/>
  <c r="A8" i="78"/>
  <c r="A8" i="61"/>
  <c r="A8" i="53"/>
  <c r="A8" i="80"/>
  <c r="A8" i="81"/>
  <c r="A8" i="70"/>
  <c r="A8" i="20"/>
  <c r="A8" i="44"/>
  <c r="A8" i="33"/>
  <c r="A8" i="48"/>
  <c r="F3" i="95"/>
  <c r="F3" i="94"/>
  <c r="F3" i="33"/>
  <c r="F3" i="70"/>
  <c r="F3" i="48"/>
  <c r="F3" i="34"/>
  <c r="F3" i="44"/>
  <c r="D66" i="85"/>
  <c r="D63" i="95"/>
  <c r="D68" i="94"/>
  <c r="D66" i="78"/>
  <c r="D56" i="80"/>
  <c r="D59" i="58"/>
  <c r="D67" i="53"/>
  <c r="D56" i="81"/>
  <c r="D60" i="62"/>
  <c r="D60" i="61"/>
  <c r="G7" i="86"/>
  <c r="G7" i="94"/>
  <c r="F7" i="78"/>
  <c r="G7" i="95"/>
  <c r="F7" i="53"/>
  <c r="A11" i="58"/>
  <c r="A10" i="44"/>
  <c r="A10" i="20"/>
  <c r="A10" i="33"/>
  <c r="A10" i="70"/>
  <c r="B10" i="48"/>
  <c r="A12" i="86"/>
  <c r="A12" i="94"/>
  <c r="A12" i="78"/>
  <c r="A10" i="95"/>
  <c r="A10" i="58"/>
  <c r="A12" i="53"/>
  <c r="A44" i="78"/>
  <c r="A37" i="95"/>
  <c r="A42" i="94"/>
  <c r="A34" i="58"/>
  <c r="A34" i="61"/>
  <c r="A35" i="80"/>
  <c r="A44" i="53"/>
  <c r="A34" i="19"/>
  <c r="A34" i="62"/>
  <c r="A35" i="81"/>
  <c r="A34" i="20"/>
  <c r="A34" i="33"/>
  <c r="A32" i="48"/>
  <c r="A34" i="34"/>
  <c r="A34" i="70"/>
  <c r="A33" i="44"/>
  <c r="A57" i="19"/>
  <c r="A57" i="62"/>
  <c r="A56" i="58"/>
  <c r="A56" i="70"/>
  <c r="A55" i="44"/>
  <c r="A56" i="20"/>
  <c r="A57" i="34"/>
  <c r="A56" i="33"/>
  <c r="A54" i="48"/>
  <c r="A50" i="81"/>
  <c r="A50" i="80"/>
  <c r="A54" i="62"/>
  <c r="A54" i="58"/>
  <c r="A54" i="61"/>
  <c r="A54" i="19"/>
  <c r="A54" i="20"/>
  <c r="A54" i="33"/>
  <c r="A52" i="48"/>
  <c r="A53" i="44"/>
  <c r="A54" i="34"/>
  <c r="A54" i="70"/>
  <c r="E65" i="86"/>
  <c r="E48" i="4"/>
  <c r="E35" i="30"/>
  <c r="E852" i="1"/>
  <c r="E862" i="1"/>
  <c r="E32" i="78"/>
  <c r="E28" i="81"/>
  <c r="E32" i="53"/>
  <c r="E28" i="80"/>
  <c r="E32" i="95"/>
  <c r="F32" i="95" s="1"/>
  <c r="G32" i="95" s="1"/>
  <c r="E32" i="94"/>
  <c r="F32" i="94" s="1"/>
  <c r="G32" i="94" s="1"/>
  <c r="E50" i="78"/>
  <c r="E39" i="95"/>
  <c r="F39" i="95" s="1"/>
  <c r="G39" i="95" s="1"/>
  <c r="E44" i="94"/>
  <c r="F44" i="94" s="1"/>
  <c r="G44" i="94" s="1"/>
  <c r="E36" i="58"/>
  <c r="E36" i="61"/>
  <c r="E40" i="81"/>
  <c r="E36" i="19"/>
  <c r="E50" i="53"/>
  <c r="E36" i="62"/>
  <c r="E40" i="80"/>
  <c r="E36" i="33"/>
  <c r="E34" i="48"/>
  <c r="E36" i="20"/>
  <c r="E36" i="34"/>
  <c r="E36" i="70"/>
  <c r="E35" i="44"/>
  <c r="E36" i="18"/>
  <c r="E36" i="17"/>
  <c r="E37" i="8"/>
  <c r="E30" i="70"/>
  <c r="E29" i="44"/>
  <c r="F641" i="1"/>
  <c r="E641" i="1"/>
  <c r="E43" i="7"/>
  <c r="A10" i="61"/>
  <c r="A10" i="62"/>
  <c r="A35" i="19"/>
  <c r="A35" i="62"/>
  <c r="A35" i="61"/>
  <c r="A35" i="58"/>
  <c r="A35" i="34"/>
  <c r="A35" i="70"/>
  <c r="A34" i="44"/>
  <c r="A35" i="20"/>
  <c r="A35" i="33"/>
  <c r="A33" i="48"/>
  <c r="E63" i="3"/>
  <c r="E60" i="85"/>
  <c r="C27" i="3"/>
  <c r="C27" i="95"/>
  <c r="C27" i="94"/>
  <c r="G8" i="86"/>
  <c r="G8" i="95"/>
  <c r="G8" i="94"/>
  <c r="F8" i="78"/>
  <c r="F8" i="53"/>
  <c r="A13" i="86"/>
  <c r="A13" i="94"/>
  <c r="A64" i="94"/>
  <c r="A63" i="78"/>
  <c r="A59" i="95"/>
  <c r="A54" i="81"/>
  <c r="A59" i="19"/>
  <c r="A59" i="61"/>
  <c r="A64" i="53"/>
  <c r="A55" i="80"/>
  <c r="A58" i="58"/>
  <c r="A59" i="62"/>
  <c r="A58" i="20"/>
  <c r="A59" i="34"/>
  <c r="A57" i="44"/>
  <c r="A58" i="33"/>
  <c r="A56" i="48"/>
  <c r="A58" i="70"/>
  <c r="E48" i="86"/>
  <c r="E853" i="1"/>
  <c r="C44" i="95"/>
  <c r="C49" i="94"/>
  <c r="C46" i="78"/>
  <c r="C37" i="81"/>
  <c r="C37" i="80"/>
  <c r="C46" i="53"/>
  <c r="C44" i="78"/>
  <c r="C37" i="95"/>
  <c r="C42" i="94"/>
  <c r="C35" i="80"/>
  <c r="C44" i="53"/>
  <c r="C34" i="19"/>
  <c r="C34" i="62"/>
  <c r="C35" i="81"/>
  <c r="C34" i="61"/>
  <c r="C34" i="58"/>
  <c r="C34" i="33"/>
  <c r="C34" i="20"/>
  <c r="C32" i="48"/>
  <c r="C34" i="34"/>
  <c r="C34" i="70"/>
  <c r="C33" i="44"/>
  <c r="C34" i="17"/>
  <c r="C35" i="8"/>
  <c r="C34" i="18"/>
  <c r="C40" i="95"/>
  <c r="C45" i="94"/>
  <c r="C51" i="53"/>
  <c r="C51" i="78"/>
  <c r="C41" i="81"/>
  <c r="C37" i="19"/>
  <c r="C37" i="62"/>
  <c r="C41" i="80"/>
  <c r="C37" i="61"/>
  <c r="C37" i="58"/>
  <c r="C37" i="34"/>
  <c r="C37" i="70"/>
  <c r="C37" i="20"/>
  <c r="C35" i="48"/>
  <c r="C36" i="44"/>
  <c r="C37" i="33"/>
  <c r="C37" i="18"/>
  <c r="C37" i="17"/>
  <c r="C38" i="8"/>
  <c r="C54" i="78"/>
  <c r="C44" i="81"/>
  <c r="C44" i="80"/>
  <c r="C54" i="53"/>
  <c r="C30" i="56"/>
  <c r="C28" i="19"/>
  <c r="C28" i="33"/>
  <c r="C26" i="48"/>
  <c r="C28" i="20"/>
  <c r="C28" i="70"/>
  <c r="C27" i="44"/>
  <c r="C28" i="34"/>
  <c r="C29" i="8"/>
  <c r="C28" i="17"/>
  <c r="C28" i="18"/>
  <c r="C56" i="7"/>
  <c r="C57" i="61"/>
  <c r="C66" i="94"/>
  <c r="C61" i="95"/>
  <c r="E49" i="7"/>
  <c r="E50" i="54"/>
  <c r="E45" i="95"/>
  <c r="F45" i="95" s="1"/>
  <c r="G45" i="95" s="1"/>
  <c r="E50" i="94"/>
  <c r="F50" i="94" s="1"/>
  <c r="G50" i="94" s="1"/>
  <c r="E41" i="19"/>
  <c r="E41" i="62"/>
  <c r="E41" i="61"/>
  <c r="E41" i="58"/>
  <c r="E41" i="33"/>
  <c r="E39" i="48"/>
  <c r="E41" i="20"/>
  <c r="E41" i="34"/>
  <c r="E41" i="70"/>
  <c r="E40" i="44"/>
  <c r="E42" i="8"/>
  <c r="E41" i="18"/>
  <c r="E41" i="17"/>
  <c r="D3" i="95"/>
  <c r="D3" i="94"/>
  <c r="D3" i="80"/>
  <c r="D3" i="61"/>
  <c r="D3" i="58"/>
  <c r="D3" i="53"/>
  <c r="D3" i="78"/>
  <c r="D3" i="62"/>
  <c r="D3" i="81"/>
  <c r="D3" i="33"/>
  <c r="D3" i="48"/>
  <c r="D3" i="70"/>
  <c r="D3" i="34"/>
  <c r="D3" i="44"/>
  <c r="D3" i="20"/>
  <c r="E49" i="3"/>
  <c r="E49" i="30"/>
  <c r="D27" i="3"/>
  <c r="D27" i="95"/>
  <c r="D27" i="94"/>
  <c r="I27" i="94"/>
  <c r="I27" i="95"/>
  <c r="G9" i="85"/>
  <c r="G9" i="95"/>
  <c r="G9" i="94"/>
  <c r="F9" i="78"/>
  <c r="F9" i="53"/>
  <c r="A43" i="78"/>
  <c r="A36" i="95"/>
  <c r="A41" i="94"/>
  <c r="A34" i="81"/>
  <c r="A33" i="61"/>
  <c r="A34" i="80"/>
  <c r="A43" i="53"/>
  <c r="A33" i="19"/>
  <c r="A33" i="62"/>
  <c r="A33" i="58"/>
  <c r="A33" i="34"/>
  <c r="C14" i="94"/>
  <c r="A54" i="78"/>
  <c r="A44" i="81"/>
  <c r="A44" i="80"/>
  <c r="A54" i="53"/>
  <c r="A57" i="61"/>
  <c r="A44" i="62"/>
  <c r="A44" i="19"/>
  <c r="A44" i="61"/>
  <c r="A44" i="58"/>
  <c r="A42" i="48"/>
  <c r="A44" i="34"/>
  <c r="A44" i="70"/>
  <c r="A43" i="44"/>
  <c r="A44" i="20"/>
  <c r="A44" i="33"/>
  <c r="A44" i="95"/>
  <c r="A49" i="94"/>
  <c r="A47" i="95"/>
  <c r="A52" i="94"/>
  <c r="E53" i="4"/>
  <c r="E61" i="30"/>
  <c r="E44" i="95"/>
  <c r="F44" i="95" s="1"/>
  <c r="G44" i="95" s="1"/>
  <c r="E49" i="94"/>
  <c r="F49" i="94" s="1"/>
  <c r="G49" i="94" s="1"/>
  <c r="E46" i="78"/>
  <c r="E37" i="81"/>
  <c r="E37" i="80"/>
  <c r="E46" i="53"/>
  <c r="E44" i="78"/>
  <c r="E37" i="95"/>
  <c r="F37" i="95" s="1"/>
  <c r="G37" i="95" s="1"/>
  <c r="E42" i="94"/>
  <c r="F42" i="94" s="1"/>
  <c r="G42" i="94" s="1"/>
  <c r="E34" i="62"/>
  <c r="E35" i="80"/>
  <c r="E44" i="53"/>
  <c r="E34" i="19"/>
  <c r="E35" i="81"/>
  <c r="E34" i="61"/>
  <c r="E34" i="58"/>
  <c r="E32" i="48"/>
  <c r="E34" i="33"/>
  <c r="E34" i="34"/>
  <c r="E34" i="70"/>
  <c r="E33" i="44"/>
  <c r="E34" i="20"/>
  <c r="E34" i="17"/>
  <c r="E35" i="8"/>
  <c r="E34" i="18"/>
  <c r="E45" i="31"/>
  <c r="E40" i="95"/>
  <c r="F40" i="95" s="1"/>
  <c r="G40" i="95" s="1"/>
  <c r="E45" i="94"/>
  <c r="F45" i="94" s="1"/>
  <c r="G45" i="94" s="1"/>
  <c r="E51" i="78"/>
  <c r="E41" i="81"/>
  <c r="E37" i="19"/>
  <c r="E51" i="53"/>
  <c r="E37" i="62"/>
  <c r="E41" i="80"/>
  <c r="E37" i="61"/>
  <c r="E37" i="58"/>
  <c r="E37" i="34"/>
  <c r="E37" i="70"/>
  <c r="E36" i="44"/>
  <c r="E37" i="20"/>
  <c r="E37" i="33"/>
  <c r="E35" i="48"/>
  <c r="E37" i="18"/>
  <c r="E37" i="17"/>
  <c r="E38" i="8"/>
  <c r="E54" i="53"/>
  <c r="E54" i="78"/>
  <c r="E44" i="81"/>
  <c r="E44" i="80"/>
  <c r="E30" i="56"/>
  <c r="E28" i="19"/>
  <c r="E28" i="33"/>
  <c r="E26" i="48"/>
  <c r="E28" i="70"/>
  <c r="E28" i="20"/>
  <c r="E27" i="44"/>
  <c r="E28" i="34"/>
  <c r="E29" i="8"/>
  <c r="E28" i="17"/>
  <c r="E28" i="18"/>
  <c r="E56" i="7"/>
  <c r="E57" i="61"/>
  <c r="E64" i="78"/>
  <c r="E66" i="94"/>
  <c r="F66" i="94" s="1"/>
  <c r="G66" i="94" s="1"/>
  <c r="E61" i="95"/>
  <c r="F61" i="95" s="1"/>
  <c r="G61" i="95" s="1"/>
  <c r="E65" i="53"/>
  <c r="F653" i="1"/>
  <c r="E653" i="1"/>
  <c r="E35" i="71"/>
  <c r="E51" i="54"/>
  <c r="E63" i="6"/>
  <c r="E65" i="94"/>
  <c r="F65" i="94" s="1"/>
  <c r="G65" i="94" s="1"/>
  <c r="E60" i="95"/>
  <c r="F60" i="95" s="1"/>
  <c r="G60" i="95" s="1"/>
  <c r="A51" i="61"/>
  <c r="A51" i="19"/>
  <c r="A47" i="81"/>
  <c r="A51" i="58"/>
  <c r="A47" i="80"/>
  <c r="A51" i="62"/>
  <c r="A51" i="34"/>
  <c r="A51" i="70"/>
  <c r="A50" i="44"/>
  <c r="A51" i="20"/>
  <c r="A51" i="33"/>
  <c r="A49" i="48"/>
  <c r="A53" i="19"/>
  <c r="A49" i="81"/>
  <c r="A49" i="80"/>
  <c r="A53" i="62"/>
  <c r="A53" i="61"/>
  <c r="A53" i="58"/>
  <c r="A52" i="44"/>
  <c r="A53" i="20"/>
  <c r="A53" i="33"/>
  <c r="A51" i="48"/>
  <c r="A53" i="70"/>
  <c r="A53" i="34"/>
  <c r="A58" i="94"/>
  <c r="E27" i="86"/>
  <c r="E27" i="95"/>
  <c r="E27" i="94"/>
  <c r="A45" i="19"/>
  <c r="A45" i="62"/>
  <c r="A45" i="61"/>
  <c r="A45" i="58"/>
  <c r="A45" i="34"/>
  <c r="A45" i="70"/>
  <c r="A43" i="48"/>
  <c r="A44" i="44"/>
  <c r="A45" i="20"/>
  <c r="A45" i="33"/>
  <c r="A47" i="78"/>
  <c r="A38" i="80"/>
  <c r="A47" i="53"/>
  <c r="A38" i="81"/>
  <c r="A50" i="78"/>
  <c r="A39" i="95"/>
  <c r="A44" i="94"/>
  <c r="A36" i="61"/>
  <c r="A36" i="58"/>
  <c r="A36" i="19"/>
  <c r="A36" i="62"/>
  <c r="A40" i="81"/>
  <c r="A50" i="53"/>
  <c r="A40" i="80"/>
  <c r="A36" i="20"/>
  <c r="A36" i="33"/>
  <c r="A34" i="48"/>
  <c r="A36" i="34"/>
  <c r="A36" i="70"/>
  <c r="A35" i="44"/>
  <c r="A55" i="58"/>
  <c r="A56" i="61"/>
  <c r="A56" i="19"/>
  <c r="A52" i="81"/>
  <c r="A52" i="80"/>
  <c r="A56" i="62"/>
  <c r="A56" i="34"/>
  <c r="A55" i="33"/>
  <c r="A53" i="48"/>
  <c r="A55" i="20"/>
  <c r="A55" i="70"/>
  <c r="A54" i="44"/>
  <c r="A48" i="95"/>
  <c r="A53" i="94"/>
  <c r="E60" i="3"/>
  <c r="E62" i="86"/>
  <c r="C45" i="56"/>
  <c r="C43" i="62"/>
  <c r="C43" i="58"/>
  <c r="C43" i="61"/>
  <c r="C43" i="19"/>
  <c r="C43" i="20"/>
  <c r="C43" i="33"/>
  <c r="C41" i="48"/>
  <c r="C43" i="34"/>
  <c r="C43" i="70"/>
  <c r="C42" i="44"/>
  <c r="C43" i="18"/>
  <c r="C43" i="17"/>
  <c r="C44" i="8"/>
  <c r="C45" i="78"/>
  <c r="C36" i="81"/>
  <c r="C36" i="80"/>
  <c r="C45" i="53"/>
  <c r="C29" i="58"/>
  <c r="C29" i="61"/>
  <c r="C29" i="62"/>
  <c r="C55" i="58"/>
  <c r="C56" i="19"/>
  <c r="C52" i="81"/>
  <c r="C52" i="80"/>
  <c r="C56" i="62"/>
  <c r="C56" i="61"/>
  <c r="C55" i="33"/>
  <c r="C53" i="48"/>
  <c r="C55" i="70"/>
  <c r="C55" i="20"/>
  <c r="C54" i="44"/>
  <c r="C56" i="34"/>
  <c r="C56" i="18"/>
  <c r="C56" i="17"/>
  <c r="C57" i="8"/>
  <c r="C41" i="95"/>
  <c r="C46" i="94"/>
  <c r="C38" i="61"/>
  <c r="C38" i="58"/>
  <c r="C38" i="19"/>
  <c r="C38" i="62"/>
  <c r="C38" i="20"/>
  <c r="C38" i="33"/>
  <c r="C36" i="48"/>
  <c r="C37" i="44"/>
  <c r="C38" i="34"/>
  <c r="C38" i="70"/>
  <c r="C39" i="8"/>
  <c r="C38" i="17"/>
  <c r="C38" i="18"/>
  <c r="C33" i="54"/>
  <c r="C35" i="78"/>
  <c r="C31" i="81"/>
  <c r="C35" i="53"/>
  <c r="C31" i="80"/>
  <c r="C31" i="94"/>
  <c r="C61" i="31"/>
  <c r="A9" i="86"/>
  <c r="A9" i="78"/>
  <c r="A9" i="94"/>
  <c r="A9" i="53"/>
  <c r="F27" i="86"/>
  <c r="F27" i="94"/>
  <c r="F27" i="95"/>
  <c r="G11" i="86"/>
  <c r="G11" i="94"/>
  <c r="G11" i="95"/>
  <c r="G8" i="58"/>
  <c r="A26" i="95"/>
  <c r="A26" i="94"/>
  <c r="A54" i="86"/>
  <c r="A49" i="95"/>
  <c r="A54" i="94"/>
  <c r="A49" i="78"/>
  <c r="A49" i="53"/>
  <c r="A46" i="19"/>
  <c r="A46" i="62"/>
  <c r="A46" i="61"/>
  <c r="A46" i="58"/>
  <c r="A46" i="70"/>
  <c r="A46" i="34"/>
  <c r="A45" i="44"/>
  <c r="A46" i="20"/>
  <c r="A46" i="33"/>
  <c r="A44" i="48"/>
  <c r="L63" i="18"/>
  <c r="L61" i="19"/>
  <c r="A48" i="53"/>
  <c r="A39" i="81"/>
  <c r="A39" i="80"/>
  <c r="A48" i="78"/>
  <c r="A40" i="95"/>
  <c r="A45" i="94"/>
  <c r="A37" i="19"/>
  <c r="A51" i="53"/>
  <c r="A51" i="78"/>
  <c r="A41" i="81"/>
  <c r="A37" i="62"/>
  <c r="A41" i="80"/>
  <c r="A37" i="61"/>
  <c r="A37" i="58"/>
  <c r="A37" i="34"/>
  <c r="A37" i="70"/>
  <c r="A36" i="44"/>
  <c r="A37" i="33"/>
  <c r="A37" i="20"/>
  <c r="A35" i="48"/>
  <c r="A51" i="80"/>
  <c r="A51" i="81"/>
  <c r="A55" i="62"/>
  <c r="A55" i="61"/>
  <c r="A55" i="19"/>
  <c r="A55" i="34"/>
  <c r="E49" i="4"/>
  <c r="E45" i="56"/>
  <c r="E43" i="58"/>
  <c r="E43" i="61"/>
  <c r="E43" i="19"/>
  <c r="E43" i="62"/>
  <c r="E43" i="20"/>
  <c r="E43" i="33"/>
  <c r="E41" i="48"/>
  <c r="E43" i="34"/>
  <c r="E43" i="70"/>
  <c r="E42" i="44"/>
  <c r="E43" i="18"/>
  <c r="E43" i="17"/>
  <c r="E44" i="8"/>
  <c r="E45" i="78"/>
  <c r="E36" i="80"/>
  <c r="E36" i="81"/>
  <c r="E45" i="53"/>
  <c r="E29" i="62"/>
  <c r="E29" i="58"/>
  <c r="E29" i="61"/>
  <c r="E53" i="5"/>
  <c r="E55" i="58"/>
  <c r="E56" i="19"/>
  <c r="E52" i="81"/>
  <c r="E52" i="80"/>
  <c r="E56" i="62"/>
  <c r="E56" i="61"/>
  <c r="E53" i="48"/>
  <c r="E55" i="33"/>
  <c r="E55" i="70"/>
  <c r="E54" i="44"/>
  <c r="E56" i="34"/>
  <c r="E55" i="20"/>
  <c r="E56" i="18"/>
  <c r="E56" i="17"/>
  <c r="E57" i="8"/>
  <c r="E47" i="54"/>
  <c r="E41" i="95"/>
  <c r="F41" i="95" s="1"/>
  <c r="G41" i="95" s="1"/>
  <c r="E46" i="94"/>
  <c r="F46" i="94" s="1"/>
  <c r="G46" i="94" s="1"/>
  <c r="E38" i="61"/>
  <c r="E38" i="58"/>
  <c r="E38" i="62"/>
  <c r="E38" i="19"/>
  <c r="E38" i="20"/>
  <c r="E38" i="33"/>
  <c r="E36" i="48"/>
  <c r="E37" i="44"/>
  <c r="E38" i="34"/>
  <c r="E38" i="70"/>
  <c r="E39" i="8"/>
  <c r="E38" i="18"/>
  <c r="E38" i="17"/>
  <c r="E33" i="54"/>
  <c r="E35" i="78"/>
  <c r="E31" i="81"/>
  <c r="E31" i="80"/>
  <c r="E35" i="53"/>
  <c r="E31" i="94"/>
  <c r="F31" i="94" s="1"/>
  <c r="G31" i="94" s="1"/>
  <c r="E31" i="95"/>
  <c r="F31" i="95" s="1"/>
  <c r="G31" i="95" s="1"/>
  <c r="F665" i="1"/>
  <c r="E665" i="1"/>
  <c r="A11" i="86"/>
  <c r="A9" i="95"/>
  <c r="A11" i="78"/>
  <c r="A11" i="94"/>
  <c r="A9" i="58"/>
  <c r="A11" i="53"/>
  <c r="G27" i="3"/>
  <c r="G27" i="94"/>
  <c r="G27" i="95"/>
  <c r="F7" i="80"/>
  <c r="F10" i="53"/>
  <c r="F7" i="81"/>
  <c r="F10" i="78"/>
  <c r="A47" i="19"/>
  <c r="A47" i="62"/>
  <c r="A47" i="61"/>
  <c r="A47" i="58"/>
  <c r="A46" i="44"/>
  <c r="A47" i="20"/>
  <c r="A47" i="33"/>
  <c r="A45" i="48"/>
  <c r="A47" i="34"/>
  <c r="A47" i="70"/>
  <c r="B12" i="34"/>
  <c r="B20" i="94"/>
  <c r="E48" i="3"/>
  <c r="E48" i="85"/>
  <c r="E35" i="4"/>
  <c r="E211" i="1"/>
  <c r="E830" i="1"/>
  <c r="C37" i="78"/>
  <c r="C49" i="78"/>
  <c r="C49" i="53"/>
  <c r="C37" i="53"/>
  <c r="C33" i="78"/>
  <c r="C33" i="53"/>
  <c r="C29" i="81"/>
  <c r="C29" i="80"/>
  <c r="C62" i="53"/>
  <c r="C61" i="78"/>
  <c r="C42" i="95"/>
  <c r="C47" i="94"/>
  <c r="C52" i="53"/>
  <c r="C52" i="78"/>
  <c r="C42" i="81"/>
  <c r="C39" i="62"/>
  <c r="C42" i="80"/>
  <c r="C39" i="19"/>
  <c r="C39" i="61"/>
  <c r="C39" i="58"/>
  <c r="C37" i="48"/>
  <c r="C39" i="34"/>
  <c r="C39" i="70"/>
  <c r="C38" i="44"/>
  <c r="C39" i="33"/>
  <c r="C39" i="20"/>
  <c r="C39" i="18"/>
  <c r="C39" i="17"/>
  <c r="C40" i="8"/>
  <c r="E713" i="1"/>
  <c r="F713" i="1"/>
  <c r="E31" i="5"/>
  <c r="E57" i="56"/>
  <c r="E55" i="62"/>
  <c r="E51" i="81"/>
  <c r="E55" i="61"/>
  <c r="E55" i="19"/>
  <c r="E51" i="80"/>
  <c r="E55" i="34"/>
  <c r="E56" i="8"/>
  <c r="E55" i="18"/>
  <c r="E55" i="17"/>
  <c r="A41" i="95"/>
  <c r="A46" i="94"/>
  <c r="A38" i="62"/>
  <c r="A38" i="61"/>
  <c r="A38" i="58"/>
  <c r="A38" i="19"/>
  <c r="A37" i="44"/>
  <c r="A38" i="20"/>
  <c r="A38" i="33"/>
  <c r="A36" i="48"/>
  <c r="A38" i="70"/>
  <c r="A38" i="34"/>
  <c r="G25" i="95"/>
  <c r="G25" i="94"/>
  <c r="B5" i="95"/>
  <c r="B5" i="48"/>
  <c r="B5" i="33"/>
  <c r="B5" i="70"/>
  <c r="B5" i="34"/>
  <c r="B5" i="44"/>
  <c r="B5" i="20"/>
  <c r="A4" i="95"/>
  <c r="A4" i="78"/>
  <c r="A4" i="94"/>
  <c r="A4" i="53"/>
  <c r="A4" i="58"/>
  <c r="A4" i="62"/>
  <c r="A4" i="61"/>
  <c r="A4" i="80"/>
  <c r="A4" i="81"/>
  <c r="A4" i="34"/>
  <c r="A4" i="70"/>
  <c r="A4" i="44"/>
  <c r="A4" i="20"/>
  <c r="A4" i="33"/>
  <c r="A4" i="48"/>
  <c r="A48" i="62"/>
  <c r="A48" i="58"/>
  <c r="A48" i="61"/>
  <c r="A48" i="19"/>
  <c r="A48" i="20"/>
  <c r="A48" i="33"/>
  <c r="A46" i="48"/>
  <c r="A48" i="34"/>
  <c r="A48" i="70"/>
  <c r="A47" i="44"/>
  <c r="L64" i="18"/>
  <c r="L62" i="19"/>
  <c r="A42" i="95"/>
  <c r="A47" i="94"/>
  <c r="A52" i="78"/>
  <c r="A42" i="81"/>
  <c r="A52" i="53"/>
  <c r="A42" i="80"/>
  <c r="A39" i="61"/>
  <c r="A39" i="19"/>
  <c r="A39" i="62"/>
  <c r="A39" i="58"/>
  <c r="A39" i="33"/>
  <c r="A39" i="20"/>
  <c r="A37" i="48"/>
  <c r="A39" i="34"/>
  <c r="A39" i="70"/>
  <c r="A38" i="44"/>
  <c r="A3" i="87"/>
  <c r="A3" i="94"/>
  <c r="A3" i="95"/>
  <c r="A3" i="53"/>
  <c r="A3" i="93"/>
  <c r="A3" i="81"/>
  <c r="A3" i="62"/>
  <c r="A3" i="80"/>
  <c r="A3" i="61"/>
  <c r="A3" i="58"/>
  <c r="A3" i="48"/>
  <c r="A3" i="20"/>
  <c r="A3" i="70"/>
  <c r="A3" i="33"/>
  <c r="A3" i="34"/>
  <c r="A3" i="44"/>
  <c r="E35" i="86"/>
  <c r="E60" i="4"/>
  <c r="E819" i="1"/>
  <c r="E37" i="78"/>
  <c r="E49" i="78"/>
  <c r="E37" i="53"/>
  <c r="E49" i="53"/>
  <c r="E33" i="78"/>
  <c r="E33" i="53"/>
  <c r="E29" i="80"/>
  <c r="E29" i="81"/>
  <c r="E62" i="53"/>
  <c r="E61" i="78"/>
  <c r="E47" i="5"/>
  <c r="E42" i="95"/>
  <c r="F42" i="95" s="1"/>
  <c r="G42" i="95" s="1"/>
  <c r="E47" i="94"/>
  <c r="F47" i="94" s="1"/>
  <c r="G47" i="94" s="1"/>
  <c r="E52" i="78"/>
  <c r="E39" i="19"/>
  <c r="E39" i="62"/>
  <c r="E39" i="61"/>
  <c r="E39" i="58"/>
  <c r="E42" i="81"/>
  <c r="E52" i="53"/>
  <c r="E42" i="80"/>
  <c r="E37" i="48"/>
  <c r="E39" i="33"/>
  <c r="E39" i="34"/>
  <c r="E39" i="70"/>
  <c r="E38" i="44"/>
  <c r="E39" i="20"/>
  <c r="E39" i="18"/>
  <c r="E39" i="17"/>
  <c r="E40" i="8"/>
  <c r="F588" i="1"/>
  <c r="E588" i="1"/>
  <c r="S26" i="94"/>
  <c r="V26" i="94" s="1"/>
  <c r="S25" i="95"/>
  <c r="T24" i="95"/>
  <c r="U24" i="95"/>
  <c r="I32" i="1"/>
  <c r="C86" i="1"/>
  <c r="C212" i="1"/>
  <c r="I76" i="1"/>
  <c r="C425" i="1"/>
  <c r="B5" i="17"/>
  <c r="B5" i="8"/>
  <c r="B5" i="19"/>
  <c r="B5" i="18"/>
  <c r="B5" i="86"/>
  <c r="B5" i="4"/>
  <c r="B5" i="31"/>
  <c r="B5" i="87"/>
  <c r="B5" i="30"/>
  <c r="B5" i="5"/>
  <c r="B5" i="85"/>
  <c r="B5" i="56"/>
  <c r="B5" i="88"/>
  <c r="B5" i="93"/>
  <c r="B5" i="6"/>
  <c r="B5" i="91"/>
  <c r="B5" i="71"/>
  <c r="A3" i="19"/>
  <c r="A3" i="8"/>
  <c r="A3" i="18"/>
  <c r="A3" i="17"/>
  <c r="A3" i="7"/>
  <c r="A40" i="8"/>
  <c r="A39" i="18"/>
  <c r="A39" i="17"/>
  <c r="A7" i="17"/>
  <c r="A7" i="19"/>
  <c r="A7" i="18"/>
  <c r="A7" i="7"/>
  <c r="A7" i="55"/>
  <c r="A7" i="4"/>
  <c r="A7" i="54"/>
  <c r="A7" i="5"/>
  <c r="A7" i="85"/>
  <c r="A7" i="6"/>
  <c r="A7" i="30"/>
  <c r="A7" i="71"/>
  <c r="A51" i="56"/>
  <c r="A49" i="17"/>
  <c r="A49" i="18"/>
  <c r="A50" i="8"/>
  <c r="A45" i="56"/>
  <c r="A43" i="17"/>
  <c r="A43" i="18"/>
  <c r="A44" i="8"/>
  <c r="A48" i="4"/>
  <c r="A40" i="18"/>
  <c r="A41" i="8"/>
  <c r="A40" i="17"/>
  <c r="A65" i="86"/>
  <c r="A61" i="8"/>
  <c r="A60" i="18"/>
  <c r="A62" i="17"/>
  <c r="A58" i="56"/>
  <c r="A56" i="17"/>
  <c r="A57" i="8"/>
  <c r="A56" i="18"/>
  <c r="A8" i="4"/>
  <c r="A8" i="54"/>
  <c r="A8" i="85"/>
  <c r="A8" i="5"/>
  <c r="A8" i="71"/>
  <c r="A8" i="6"/>
  <c r="A8" i="30"/>
  <c r="A8" i="7"/>
  <c r="D3" i="17"/>
  <c r="D3" i="8"/>
  <c r="D3" i="19"/>
  <c r="D3" i="18"/>
  <c r="D3" i="93"/>
  <c r="D3" i="88"/>
  <c r="D3" i="30"/>
  <c r="D3" i="7"/>
  <c r="D3" i="91"/>
  <c r="D3" i="4"/>
  <c r="D3" i="31"/>
  <c r="D3" i="54"/>
  <c r="D3" i="51"/>
  <c r="D3" i="55"/>
  <c r="D3" i="85"/>
  <c r="D3" i="5"/>
  <c r="D3" i="87"/>
  <c r="D3" i="56"/>
  <c r="D3" i="6"/>
  <c r="D3" i="86"/>
  <c r="D3" i="71"/>
  <c r="A8" i="18"/>
  <c r="A8" i="19"/>
  <c r="A8" i="8"/>
  <c r="A8" i="17"/>
  <c r="A9" i="54"/>
  <c r="A9" i="85"/>
  <c r="A9" i="7"/>
  <c r="A9" i="5"/>
  <c r="A9" i="6"/>
  <c r="A9" i="30"/>
  <c r="A9" i="71"/>
  <c r="A9" i="4"/>
  <c r="A41" i="17"/>
  <c r="A41" i="18"/>
  <c r="A42" i="8"/>
  <c r="A53" i="56"/>
  <c r="A52" i="8"/>
  <c r="A51" i="17"/>
  <c r="A51" i="18"/>
  <c r="F27" i="3"/>
  <c r="A50" i="56"/>
  <c r="A48" i="18"/>
  <c r="A48" i="17"/>
  <c r="A49" i="8"/>
  <c r="E3" i="17"/>
  <c r="E3" i="19"/>
  <c r="E3" i="18"/>
  <c r="E3" i="8"/>
  <c r="E3" i="88"/>
  <c r="E3" i="71"/>
  <c r="E3" i="93"/>
  <c r="E3" i="7"/>
  <c r="E3" i="91"/>
  <c r="E3" i="4"/>
  <c r="E3" i="6"/>
  <c r="E3" i="51"/>
  <c r="E3" i="30"/>
  <c r="E3" i="56"/>
  <c r="E3" i="31"/>
  <c r="E3" i="86"/>
  <c r="E3" i="55"/>
  <c r="E3" i="85"/>
  <c r="E3" i="87"/>
  <c r="E3" i="54"/>
  <c r="E3" i="5"/>
  <c r="A46" i="56"/>
  <c r="A44" i="18"/>
  <c r="A44" i="17"/>
  <c r="A45" i="8"/>
  <c r="A23" i="34"/>
  <c r="A26" i="87"/>
  <c r="A26" i="31"/>
  <c r="A26" i="6"/>
  <c r="A21" i="48"/>
  <c r="A26" i="30"/>
  <c r="A22" i="44"/>
  <c r="A26" i="4"/>
  <c r="A25" i="56"/>
  <c r="A28" i="78"/>
  <c r="A23" i="33"/>
  <c r="A26" i="91"/>
  <c r="A26" i="85"/>
  <c r="A28" i="53"/>
  <c r="A23" i="70"/>
  <c r="A26" i="88"/>
  <c r="A26" i="86"/>
  <c r="A26" i="54"/>
  <c r="A24" i="81"/>
  <c r="A23" i="20"/>
  <c r="A29" i="51"/>
  <c r="A23" i="62"/>
  <c r="A26" i="93"/>
  <c r="A24" i="80"/>
  <c r="A23" i="17"/>
  <c r="A28" i="55"/>
  <c r="A23" i="61"/>
  <c r="A23" i="19"/>
  <c r="A26" i="7"/>
  <c r="A23" i="18"/>
  <c r="A23" i="58"/>
  <c r="A24" i="8"/>
  <c r="A26" i="5"/>
  <c r="A26" i="71"/>
  <c r="A57" i="56"/>
  <c r="A55" i="18"/>
  <c r="A55" i="17"/>
  <c r="A56" i="8"/>
  <c r="A4" i="17"/>
  <c r="A4" i="8"/>
  <c r="A4" i="18"/>
  <c r="A4" i="19"/>
  <c r="A4" i="56"/>
  <c r="A4" i="86"/>
  <c r="A4" i="7"/>
  <c r="A4" i="93"/>
  <c r="A4" i="87"/>
  <c r="A4" i="55"/>
  <c r="A4" i="4"/>
  <c r="A4" i="85"/>
  <c r="A4" i="88"/>
  <c r="A4" i="54"/>
  <c r="A4" i="30"/>
  <c r="A4" i="91"/>
  <c r="A4" i="5"/>
  <c r="A4" i="51"/>
  <c r="A4" i="71"/>
  <c r="A4" i="31"/>
  <c r="A4" i="6"/>
  <c r="A9" i="19"/>
  <c r="A9" i="18"/>
  <c r="A9" i="17"/>
  <c r="A10" i="5"/>
  <c r="A10" i="54"/>
  <c r="A10" i="6"/>
  <c r="A10" i="30"/>
  <c r="A10" i="71"/>
  <c r="A10" i="85"/>
  <c r="A10" i="4"/>
  <c r="A10" i="7"/>
  <c r="A43" i="8"/>
  <c r="A42" i="17"/>
  <c r="A42" i="18"/>
  <c r="A54" i="56"/>
  <c r="A52" i="17"/>
  <c r="A52" i="18"/>
  <c r="A53" i="8"/>
  <c r="F3" i="20"/>
  <c r="F3" i="8"/>
  <c r="F3" i="17"/>
  <c r="F3" i="19"/>
  <c r="F3" i="18"/>
  <c r="F3" i="85"/>
  <c r="F3" i="4"/>
  <c r="F3" i="88"/>
  <c r="F3" i="3"/>
  <c r="F3" i="30"/>
  <c r="F3" i="91"/>
  <c r="F3" i="87"/>
  <c r="F3" i="93"/>
  <c r="F3" i="56"/>
  <c r="F3" i="31"/>
  <c r="F3" i="71"/>
  <c r="F3" i="6"/>
  <c r="F3" i="5"/>
  <c r="F3" i="86"/>
  <c r="F3" i="72"/>
  <c r="A10" i="18"/>
  <c r="A10" i="17"/>
  <c r="A10" i="19"/>
  <c r="A11" i="5"/>
  <c r="A11" i="6"/>
  <c r="A11" i="30"/>
  <c r="A11" i="4"/>
  <c r="A11" i="54"/>
  <c r="A11" i="85"/>
  <c r="A11" i="71"/>
  <c r="A11" i="7"/>
  <c r="A37" i="56"/>
  <c r="A36" i="8"/>
  <c r="A35" i="18"/>
  <c r="A35" i="17"/>
  <c r="A55" i="56"/>
  <c r="A54" i="8"/>
  <c r="A53" i="17"/>
  <c r="A53" i="18"/>
  <c r="A45" i="86"/>
  <c r="A38" i="8"/>
  <c r="A37" i="17"/>
  <c r="A37" i="18"/>
  <c r="A52" i="56"/>
  <c r="A50" i="18"/>
  <c r="A51" i="8"/>
  <c r="A50" i="17"/>
  <c r="A12" i="6"/>
  <c r="A12" i="30"/>
  <c r="A12" i="4"/>
  <c r="A12" i="85"/>
  <c r="A12" i="71"/>
  <c r="A12" i="7"/>
  <c r="A12" i="5"/>
  <c r="A12" i="54"/>
  <c r="A59" i="56"/>
  <c r="A57" i="17"/>
  <c r="A57" i="18"/>
  <c r="A58" i="8"/>
  <c r="A7" i="86"/>
  <c r="A41" i="4"/>
  <c r="A33" i="18"/>
  <c r="A34" i="8"/>
  <c r="A47" i="56"/>
  <c r="A45" i="17"/>
  <c r="A45" i="18"/>
  <c r="A46" i="8"/>
  <c r="A44" i="4"/>
  <c r="A36" i="17"/>
  <c r="A36" i="18"/>
  <c r="A37" i="8"/>
  <c r="A48" i="56"/>
  <c r="A46" i="17"/>
  <c r="A46" i="18"/>
  <c r="A47" i="8"/>
  <c r="A49" i="56"/>
  <c r="A48" i="8"/>
  <c r="A47" i="17"/>
  <c r="A47" i="18"/>
  <c r="A38" i="17"/>
  <c r="A39" i="8"/>
  <c r="A38" i="18"/>
  <c r="A42" i="86"/>
  <c r="A34" i="17"/>
  <c r="A35" i="8"/>
  <c r="A34" i="18"/>
  <c r="A56" i="56"/>
  <c r="A54" i="17"/>
  <c r="A54" i="18"/>
  <c r="A55" i="8"/>
  <c r="A13" i="6"/>
  <c r="A13" i="30"/>
  <c r="A13" i="71"/>
  <c r="A13" i="4"/>
  <c r="A13" i="54"/>
  <c r="A13" i="85"/>
  <c r="A13" i="7"/>
  <c r="A13" i="5"/>
  <c r="A62" i="4"/>
  <c r="A61" i="17"/>
  <c r="A60" i="8"/>
  <c r="A59" i="18"/>
  <c r="A8" i="86"/>
  <c r="A11" i="18"/>
  <c r="A11" i="8"/>
  <c r="A11" i="19"/>
  <c r="A11" i="17"/>
  <c r="C8" i="86"/>
  <c r="C9" i="86" s="1"/>
  <c r="E472" i="1"/>
  <c r="E838" i="1"/>
  <c r="C33" i="51"/>
  <c r="C32" i="55"/>
  <c r="F11" i="51"/>
  <c r="F10" i="55"/>
  <c r="A49" i="93"/>
  <c r="A54" i="88"/>
  <c r="A52" i="55"/>
  <c r="A54" i="87"/>
  <c r="A57" i="51"/>
  <c r="A54" i="91"/>
  <c r="A55" i="54"/>
  <c r="A54" i="5"/>
  <c r="A55" i="7"/>
  <c r="A55" i="71"/>
  <c r="A54" i="31"/>
  <c r="A54" i="6"/>
  <c r="A53" i="85"/>
  <c r="A53" i="4"/>
  <c r="A39" i="56"/>
  <c r="A45" i="88"/>
  <c r="A40" i="93"/>
  <c r="A53" i="51"/>
  <c r="A46" i="7"/>
  <c r="A45" i="87"/>
  <c r="A45" i="91"/>
  <c r="A45" i="31"/>
  <c r="A45" i="71"/>
  <c r="A45" i="6"/>
  <c r="A46" i="54"/>
  <c r="A45" i="5"/>
  <c r="A51" i="55"/>
  <c r="A45" i="85"/>
  <c r="A45" i="4"/>
  <c r="A41" i="93"/>
  <c r="A40" i="56"/>
  <c r="A46" i="87"/>
  <c r="A46" i="91"/>
  <c r="A46" i="88"/>
  <c r="A47" i="54"/>
  <c r="A46" i="5"/>
  <c r="A46" i="31"/>
  <c r="A46" i="71"/>
  <c r="A47" i="7"/>
  <c r="A46" i="6"/>
  <c r="A46" i="30"/>
  <c r="A46" i="85"/>
  <c r="G7" i="3"/>
  <c r="A41" i="3"/>
  <c r="A33" i="17" s="1"/>
  <c r="A44" i="3"/>
  <c r="A46" i="3"/>
  <c r="A48" i="3"/>
  <c r="D66" i="3"/>
  <c r="C27" i="86"/>
  <c r="C33" i="1"/>
  <c r="G27" i="93"/>
  <c r="G27" i="88"/>
  <c r="G27" i="91"/>
  <c r="G27" i="87"/>
  <c r="G27" i="31"/>
  <c r="G27" i="30"/>
  <c r="C59" i="88"/>
  <c r="C55" i="55"/>
  <c r="C59" i="87"/>
  <c r="C61" i="51"/>
  <c r="C59" i="91"/>
  <c r="C57" i="6"/>
  <c r="C59" i="31"/>
  <c r="C58" i="54"/>
  <c r="C59" i="7"/>
  <c r="C57" i="5"/>
  <c r="C58" i="71"/>
  <c r="C57" i="85"/>
  <c r="C57" i="4"/>
  <c r="A29" i="85"/>
  <c r="A29" i="4"/>
  <c r="A41" i="56"/>
  <c r="A47" i="88"/>
  <c r="A42" i="93"/>
  <c r="A48" i="7"/>
  <c r="A47" i="91"/>
  <c r="A47" i="87"/>
  <c r="A47" i="31"/>
  <c r="A47" i="71"/>
  <c r="A47" i="6"/>
  <c r="A48" i="54"/>
  <c r="A47" i="5"/>
  <c r="A47" i="86"/>
  <c r="A47" i="85"/>
  <c r="A47" i="4"/>
  <c r="G8" i="3"/>
  <c r="D27" i="86"/>
  <c r="A41" i="86"/>
  <c r="A48" i="51"/>
  <c r="A46" i="55"/>
  <c r="A43" i="93"/>
  <c r="A42" i="56"/>
  <c r="A48" i="91"/>
  <c r="A48" i="87"/>
  <c r="A48" i="88"/>
  <c r="A49" i="54"/>
  <c r="A49" i="7"/>
  <c r="A48" i="5"/>
  <c r="A48" i="31"/>
  <c r="A48" i="71"/>
  <c r="A48" i="6"/>
  <c r="A48" i="30"/>
  <c r="A48" i="85"/>
  <c r="A62" i="56"/>
  <c r="A60" i="93"/>
  <c r="A67" i="51"/>
  <c r="A65" i="7"/>
  <c r="A65" i="88"/>
  <c r="A61" i="55"/>
  <c r="A65" i="87"/>
  <c r="A64" i="71"/>
  <c r="A63" i="6"/>
  <c r="A65" i="31"/>
  <c r="A64" i="54"/>
  <c r="A65" i="91"/>
  <c r="A63" i="5"/>
  <c r="A63" i="4"/>
  <c r="J45" i="77"/>
  <c r="A62" i="3"/>
  <c r="A28" i="4"/>
  <c r="A46" i="4"/>
  <c r="G25" i="93"/>
  <c r="G25" i="87"/>
  <c r="G25" i="91"/>
  <c r="G25" i="31"/>
  <c r="G25" i="88"/>
  <c r="G25" i="30"/>
  <c r="L45" i="77"/>
  <c r="G9" i="3"/>
  <c r="G25" i="3"/>
  <c r="A48" i="86"/>
  <c r="C59" i="86"/>
  <c r="G7" i="85"/>
  <c r="A32" i="4"/>
  <c r="D27" i="30"/>
  <c r="A47" i="30"/>
  <c r="C58" i="30"/>
  <c r="C699" i="1"/>
  <c r="A50" i="51"/>
  <c r="A47" i="55"/>
  <c r="A51" i="51"/>
  <c r="A48" i="55"/>
  <c r="A49" i="51"/>
  <c r="A49" i="55"/>
  <c r="A43" i="56"/>
  <c r="A49" i="5"/>
  <c r="A33" i="51"/>
  <c r="A32" i="55"/>
  <c r="N45" i="77"/>
  <c r="A63" i="3"/>
  <c r="G27" i="86"/>
  <c r="A44" i="86"/>
  <c r="A46" i="86"/>
  <c r="E27" i="88"/>
  <c r="E27" i="93"/>
  <c r="E27" i="91"/>
  <c r="E27" i="87"/>
  <c r="E27" i="31"/>
  <c r="E27" i="30"/>
  <c r="G11" i="93"/>
  <c r="G11" i="91"/>
  <c r="G11" i="88"/>
  <c r="G11" i="87"/>
  <c r="F10" i="7"/>
  <c r="G11" i="31"/>
  <c r="F10" i="54"/>
  <c r="G11" i="6"/>
  <c r="G11" i="5"/>
  <c r="G11" i="71"/>
  <c r="G11" i="85"/>
  <c r="G11" i="30"/>
  <c r="A44" i="56"/>
  <c r="A46" i="93"/>
  <c r="A51" i="88"/>
  <c r="A51" i="87"/>
  <c r="A51" i="91"/>
  <c r="A51" i="54"/>
  <c r="A51" i="31"/>
  <c r="A50" i="5"/>
  <c r="A51" i="71"/>
  <c r="A51" i="7"/>
  <c r="A50" i="6"/>
  <c r="A50" i="30"/>
  <c r="A45" i="30"/>
  <c r="F27" i="87"/>
  <c r="F27" i="93"/>
  <c r="F27" i="88"/>
  <c r="F27" i="91"/>
  <c r="F27" i="31"/>
  <c r="F27" i="30"/>
  <c r="A60" i="87"/>
  <c r="A60" i="88"/>
  <c r="A56" i="55"/>
  <c r="A62" i="51"/>
  <c r="A60" i="7"/>
  <c r="A60" i="91"/>
  <c r="A58" i="6"/>
  <c r="A60" i="31"/>
  <c r="A59" i="54"/>
  <c r="A58" i="5"/>
  <c r="A59" i="71"/>
  <c r="A58" i="85"/>
  <c r="A60" i="86"/>
  <c r="A58" i="4"/>
  <c r="A59" i="30"/>
  <c r="D63" i="93"/>
  <c r="D68" i="91"/>
  <c r="D63" i="55"/>
  <c r="D68" i="87"/>
  <c r="D68" i="7"/>
  <c r="D68" i="88"/>
  <c r="D69" i="51"/>
  <c r="D67" i="54"/>
  <c r="D66" i="5"/>
  <c r="D67" i="71"/>
  <c r="D66" i="6"/>
  <c r="D68" i="31"/>
  <c r="D66" i="4"/>
  <c r="D67" i="30"/>
  <c r="G7" i="93"/>
  <c r="F7" i="55"/>
  <c r="G7" i="91"/>
  <c r="G7" i="88"/>
  <c r="G7" i="87"/>
  <c r="G7" i="6"/>
  <c r="G7" i="71"/>
  <c r="F7" i="7"/>
  <c r="F7" i="54"/>
  <c r="G7" i="31"/>
  <c r="F7" i="51"/>
  <c r="G7" i="30"/>
  <c r="G7" i="4"/>
  <c r="G11" i="3"/>
  <c r="A45" i="3"/>
  <c r="A47" i="3"/>
  <c r="A63" i="85"/>
  <c r="I845" i="1"/>
  <c r="I682" i="1"/>
  <c r="I623" i="1"/>
  <c r="I512" i="1"/>
  <c r="C845" i="1"/>
  <c r="C682" i="1"/>
  <c r="C623" i="1"/>
  <c r="I673" i="1"/>
  <c r="I656" i="1"/>
  <c r="I634" i="1"/>
  <c r="I581" i="1"/>
  <c r="C500" i="1"/>
  <c r="C673" i="1"/>
  <c r="C656" i="1"/>
  <c r="C634" i="1"/>
  <c r="C581" i="1"/>
  <c r="C356" i="1"/>
  <c r="C242" i="1"/>
  <c r="I851" i="1"/>
  <c r="I719" i="1"/>
  <c r="I692" i="1"/>
  <c r="I613" i="1"/>
  <c r="I605" i="1"/>
  <c r="I593" i="1"/>
  <c r="I699" i="1"/>
  <c r="I645" i="1"/>
  <c r="I358" i="1"/>
  <c r="I244" i="1"/>
  <c r="C593" i="1"/>
  <c r="I245" i="1"/>
  <c r="C241" i="1"/>
  <c r="C173" i="1"/>
  <c r="C133" i="1"/>
  <c r="C172" i="1"/>
  <c r="C132" i="1"/>
  <c r="C244" i="1"/>
  <c r="I171" i="1"/>
  <c r="I131" i="1"/>
  <c r="I426" i="1"/>
  <c r="C358" i="1"/>
  <c r="I243" i="1"/>
  <c r="C851" i="1"/>
  <c r="C645" i="1"/>
  <c r="C613" i="1"/>
  <c r="C605" i="1"/>
  <c r="I357" i="1"/>
  <c r="C171" i="1"/>
  <c r="C131" i="1"/>
  <c r="C512" i="1"/>
  <c r="C426" i="1"/>
  <c r="C243" i="1"/>
  <c r="I500" i="1"/>
  <c r="I425" i="1"/>
  <c r="C357" i="1"/>
  <c r="I242" i="1"/>
  <c r="C692" i="1"/>
  <c r="I356" i="1"/>
  <c r="I424" i="1"/>
  <c r="I172" i="1"/>
  <c r="C245" i="1"/>
  <c r="C130" i="1"/>
  <c r="C76" i="1"/>
  <c r="C32" i="1"/>
  <c r="C424" i="1"/>
  <c r="I75" i="1"/>
  <c r="I31" i="1"/>
  <c r="I170" i="1"/>
  <c r="I134" i="1"/>
  <c r="C75" i="1"/>
  <c r="C31" i="1"/>
  <c r="I241" i="1"/>
  <c r="C170" i="1"/>
  <c r="C134" i="1"/>
  <c r="I78" i="1"/>
  <c r="I74" i="1"/>
  <c r="I30" i="1"/>
  <c r="C719" i="1"/>
  <c r="I133" i="1"/>
  <c r="I174" i="1"/>
  <c r="C78" i="1"/>
  <c r="C74" i="1"/>
  <c r="C30" i="1"/>
  <c r="I132" i="1"/>
  <c r="I77" i="1"/>
  <c r="I33" i="1"/>
  <c r="I29" i="1"/>
  <c r="C174" i="1"/>
  <c r="I173" i="1"/>
  <c r="C29" i="1"/>
  <c r="A39" i="93"/>
  <c r="A38" i="56"/>
  <c r="A44" i="87"/>
  <c r="A44" i="91"/>
  <c r="A50" i="55"/>
  <c r="A44" i="88"/>
  <c r="A45" i="54"/>
  <c r="A52" i="51"/>
  <c r="A44" i="5"/>
  <c r="A45" i="7"/>
  <c r="A44" i="31"/>
  <c r="A44" i="71"/>
  <c r="A44" i="6"/>
  <c r="A44" i="30"/>
  <c r="A44" i="85"/>
  <c r="A31" i="85"/>
  <c r="A31" i="4"/>
  <c r="A52" i="7"/>
  <c r="A51" i="6"/>
  <c r="A52" i="54"/>
  <c r="A51" i="5"/>
  <c r="C57" i="3"/>
  <c r="A51" i="86"/>
  <c r="D68" i="86"/>
  <c r="A64" i="30"/>
  <c r="I130" i="1"/>
  <c r="A36" i="93"/>
  <c r="A41" i="87"/>
  <c r="A35" i="56"/>
  <c r="A45" i="51"/>
  <c r="A41" i="91"/>
  <c r="A41" i="88"/>
  <c r="A43" i="55"/>
  <c r="A41" i="5"/>
  <c r="A41" i="7"/>
  <c r="A41" i="54"/>
  <c r="A41" i="31"/>
  <c r="A41" i="71"/>
  <c r="A41" i="6"/>
  <c r="A41" i="30"/>
  <c r="A41" i="85"/>
  <c r="A8" i="56"/>
  <c r="A8" i="93"/>
  <c r="A8" i="91"/>
  <c r="A8" i="88"/>
  <c r="A8" i="87"/>
  <c r="C27" i="91"/>
  <c r="C27" i="93"/>
  <c r="C27" i="88"/>
  <c r="C27" i="87"/>
  <c r="C27" i="31"/>
  <c r="C27" i="30"/>
  <c r="G8" i="93"/>
  <c r="G8" i="91"/>
  <c r="G8" i="88"/>
  <c r="G8" i="87"/>
  <c r="F8" i="55"/>
  <c r="G8" i="71"/>
  <c r="F8" i="7"/>
  <c r="F8" i="54"/>
  <c r="G8" i="31"/>
  <c r="F8" i="51"/>
  <c r="G8" i="6"/>
  <c r="G8" i="85"/>
  <c r="G8" i="30"/>
  <c r="G8" i="4"/>
  <c r="A37" i="93"/>
  <c r="A36" i="56"/>
  <c r="A46" i="51"/>
  <c r="A42" i="91"/>
  <c r="A42" i="88"/>
  <c r="A44" i="55"/>
  <c r="A42" i="87"/>
  <c r="A42" i="5"/>
  <c r="A42" i="54"/>
  <c r="A42" i="7"/>
  <c r="A42" i="31"/>
  <c r="A42" i="71"/>
  <c r="A42" i="6"/>
  <c r="A42" i="30"/>
  <c r="D27" i="93"/>
  <c r="D27" i="88"/>
  <c r="D27" i="91"/>
  <c r="D27" i="31"/>
  <c r="D27" i="87"/>
  <c r="G9" i="93"/>
  <c r="G9" i="87"/>
  <c r="F9" i="51"/>
  <c r="F9" i="55"/>
  <c r="G9" i="71"/>
  <c r="F9" i="7"/>
  <c r="G9" i="91"/>
  <c r="F9" i="54"/>
  <c r="G9" i="31"/>
  <c r="G9" i="88"/>
  <c r="G9" i="6"/>
  <c r="G9" i="30"/>
  <c r="G9" i="4"/>
  <c r="A53" i="54"/>
  <c r="A52" i="5"/>
  <c r="A52" i="6"/>
  <c r="A53" i="7"/>
  <c r="A64" i="88"/>
  <c r="A61" i="56"/>
  <c r="A59" i="93"/>
  <c r="A64" i="87"/>
  <c r="A64" i="91"/>
  <c r="A66" i="51"/>
  <c r="A64" i="7"/>
  <c r="A62" i="5"/>
  <c r="A63" i="71"/>
  <c r="A60" i="55"/>
  <c r="A62" i="6"/>
  <c r="A64" i="31"/>
  <c r="A63" i="54"/>
  <c r="A63" i="30"/>
  <c r="A62" i="85"/>
  <c r="I52" i="51"/>
  <c r="I51" i="55"/>
  <c r="I54" i="71"/>
  <c r="I53" i="51"/>
  <c r="I50" i="55"/>
  <c r="E27" i="3"/>
  <c r="G9" i="86"/>
  <c r="G25" i="86"/>
  <c r="G11" i="4"/>
  <c r="A30" i="4"/>
  <c r="E33" i="51"/>
  <c r="E32" i="55"/>
  <c r="C45" i="55"/>
  <c r="C36" i="51"/>
  <c r="C47" i="51"/>
  <c r="C39" i="93"/>
  <c r="C38" i="56"/>
  <c r="C44" i="87"/>
  <c r="C44" i="91"/>
  <c r="C44" i="88"/>
  <c r="C44" i="5"/>
  <c r="C45" i="7"/>
  <c r="C44" i="31"/>
  <c r="C44" i="71"/>
  <c r="C44" i="6"/>
  <c r="C45" i="54"/>
  <c r="C53" i="51"/>
  <c r="C51" i="55"/>
  <c r="E39" i="93"/>
  <c r="E44" i="87"/>
  <c r="E38" i="56"/>
  <c r="E44" i="91"/>
  <c r="E44" i="88"/>
  <c r="E44" i="5"/>
  <c r="E45" i="7"/>
  <c r="E44" i="31"/>
  <c r="E44" i="71"/>
  <c r="E44" i="6"/>
  <c r="E45" i="54"/>
  <c r="E53" i="51"/>
  <c r="E51" i="55"/>
  <c r="E59" i="55"/>
  <c r="E65" i="51"/>
  <c r="E63" i="7"/>
  <c r="E63" i="31"/>
  <c r="E62" i="54"/>
  <c r="E61" i="5"/>
  <c r="E62" i="71"/>
  <c r="E61" i="6"/>
  <c r="C43" i="7"/>
  <c r="C43" i="54"/>
  <c r="C61" i="87"/>
  <c r="C61" i="91"/>
  <c r="C61" i="88"/>
  <c r="C50" i="55"/>
  <c r="C52" i="51"/>
  <c r="C51" i="91"/>
  <c r="C44" i="56"/>
  <c r="C46" i="93"/>
  <c r="C51" i="87"/>
  <c r="C51" i="88"/>
  <c r="C51" i="54"/>
  <c r="C51" i="31"/>
  <c r="C50" i="5"/>
  <c r="C51" i="71"/>
  <c r="C51" i="7"/>
  <c r="C50" i="6"/>
  <c r="C49" i="88"/>
  <c r="C44" i="93"/>
  <c r="C49" i="87"/>
  <c r="C48" i="51"/>
  <c r="C44" i="7"/>
  <c r="C46" i="55"/>
  <c r="C49" i="91"/>
  <c r="C49" i="31"/>
  <c r="C49" i="71"/>
  <c r="C44" i="54"/>
  <c r="C37" i="93"/>
  <c r="C36" i="56"/>
  <c r="C46" i="51"/>
  <c r="C42" i="7"/>
  <c r="C42" i="91"/>
  <c r="C42" i="88"/>
  <c r="C44" i="55"/>
  <c r="C42" i="5"/>
  <c r="C42" i="54"/>
  <c r="C42" i="31"/>
  <c r="C42" i="71"/>
  <c r="C42" i="6"/>
  <c r="C42" i="87"/>
  <c r="C40" i="93"/>
  <c r="C39" i="56"/>
  <c r="C45" i="88"/>
  <c r="C46" i="7"/>
  <c r="C45" i="87"/>
  <c r="C45" i="91"/>
  <c r="C45" i="71"/>
  <c r="C45" i="6"/>
  <c r="C46" i="54"/>
  <c r="C45" i="5"/>
  <c r="C58" i="56"/>
  <c r="C53" i="6"/>
  <c r="C54" i="54"/>
  <c r="C54" i="7"/>
  <c r="C53" i="5"/>
  <c r="C41" i="93"/>
  <c r="C46" i="87"/>
  <c r="C40" i="56"/>
  <c r="C46" i="91"/>
  <c r="C46" i="88"/>
  <c r="C46" i="5"/>
  <c r="C46" i="31"/>
  <c r="C46" i="71"/>
  <c r="C47" i="7"/>
  <c r="C46" i="6"/>
  <c r="C45" i="31"/>
  <c r="C47" i="54"/>
  <c r="E36" i="51"/>
  <c r="E47" i="51"/>
  <c r="E45" i="55"/>
  <c r="C56" i="31"/>
  <c r="C42" i="93"/>
  <c r="C41" i="56"/>
  <c r="C47" i="88"/>
  <c r="C48" i="7"/>
  <c r="C47" i="91"/>
  <c r="C47" i="71"/>
  <c r="C47" i="6"/>
  <c r="C48" i="54"/>
  <c r="C47" i="5"/>
  <c r="C49" i="93"/>
  <c r="C54" i="87"/>
  <c r="C54" i="88"/>
  <c r="C52" i="55"/>
  <c r="C35" i="88"/>
  <c r="C35" i="87"/>
  <c r="C37" i="55"/>
  <c r="C57" i="51"/>
  <c r="C54" i="91"/>
  <c r="C35" i="71"/>
  <c r="C55" i="54"/>
  <c r="C35" i="31"/>
  <c r="C54" i="5"/>
  <c r="C35" i="6"/>
  <c r="C55" i="7"/>
  <c r="C55" i="71"/>
  <c r="C39" i="51"/>
  <c r="C35" i="7"/>
  <c r="C54" i="31"/>
  <c r="C54" i="6"/>
  <c r="C45" i="93"/>
  <c r="C43" i="56"/>
  <c r="C50" i="91"/>
  <c r="C50" i="7"/>
  <c r="C49" i="6"/>
  <c r="C50" i="87"/>
  <c r="C50" i="54"/>
  <c r="C50" i="31"/>
  <c r="C49" i="5"/>
  <c r="C50" i="71"/>
  <c r="C50" i="88"/>
  <c r="C43" i="93"/>
  <c r="C48" i="87"/>
  <c r="C42" i="56"/>
  <c r="C48" i="91"/>
  <c r="C48" i="88"/>
  <c r="C49" i="7"/>
  <c r="C48" i="5"/>
  <c r="C48" i="31"/>
  <c r="C48" i="71"/>
  <c r="C48" i="6"/>
  <c r="C35" i="5"/>
  <c r="E47" i="31"/>
  <c r="E56" i="31"/>
  <c r="E61" i="31"/>
  <c r="C33" i="71"/>
  <c r="C59" i="6"/>
  <c r="E35" i="5"/>
  <c r="C60" i="5"/>
  <c r="E35" i="54"/>
  <c r="E49" i="54"/>
  <c r="E44" i="93"/>
  <c r="E49" i="87"/>
  <c r="E49" i="88"/>
  <c r="E46" i="55"/>
  <c r="E49" i="91"/>
  <c r="E37" i="93"/>
  <c r="E42" i="87"/>
  <c r="E36" i="56"/>
  <c r="E42" i="91"/>
  <c r="E42" i="88"/>
  <c r="E44" i="55"/>
  <c r="E40" i="93"/>
  <c r="E39" i="56"/>
  <c r="E45" i="87"/>
  <c r="E45" i="91"/>
  <c r="E45" i="88"/>
  <c r="E61" i="93"/>
  <c r="E66" i="87"/>
  <c r="E66" i="91"/>
  <c r="E61" i="55"/>
  <c r="E66" i="7"/>
  <c r="E66" i="88"/>
  <c r="E33" i="71"/>
  <c r="E65" i="71"/>
  <c r="E54" i="6"/>
  <c r="E59" i="6"/>
  <c r="E60" i="5"/>
  <c r="E63" i="5"/>
  <c r="E43" i="54"/>
  <c r="E64" i="51"/>
  <c r="C35" i="55"/>
  <c r="C37" i="51"/>
  <c r="C31" i="87"/>
  <c r="E54" i="31"/>
  <c r="C31" i="71"/>
  <c r="E50" i="71"/>
  <c r="C62" i="71"/>
  <c r="E50" i="6"/>
  <c r="C61" i="54"/>
  <c r="C33" i="7"/>
  <c r="E35" i="7"/>
  <c r="E44" i="7"/>
  <c r="E58" i="56"/>
  <c r="E54" i="7"/>
  <c r="E41" i="93"/>
  <c r="E46" i="87"/>
  <c r="E40" i="56"/>
  <c r="E46" i="91"/>
  <c r="E46" i="88"/>
  <c r="E35" i="55"/>
  <c r="E37" i="51"/>
  <c r="E31" i="93"/>
  <c r="E31" i="87"/>
  <c r="E31" i="71"/>
  <c r="E46" i="6"/>
  <c r="E48" i="6"/>
  <c r="E45" i="5"/>
  <c r="E49" i="5"/>
  <c r="E61" i="54"/>
  <c r="E64" i="54"/>
  <c r="E33" i="7"/>
  <c r="E47" i="7"/>
  <c r="E50" i="31"/>
  <c r="C62" i="31"/>
  <c r="E46" i="71"/>
  <c r="E48" i="71"/>
  <c r="C60" i="71"/>
  <c r="E42" i="6"/>
  <c r="E64" i="5"/>
  <c r="E54" i="54"/>
  <c r="E46" i="51"/>
  <c r="E42" i="93"/>
  <c r="E41" i="56"/>
  <c r="E47" i="88"/>
  <c r="E47" i="91"/>
  <c r="E47" i="87"/>
  <c r="E62" i="31"/>
  <c r="E65" i="31"/>
  <c r="E42" i="71"/>
  <c r="E60" i="71"/>
  <c r="C61" i="5"/>
  <c r="C64" i="51"/>
  <c r="C62" i="7"/>
  <c r="C58" i="55"/>
  <c r="E42" i="31"/>
  <c r="E46" i="31"/>
  <c r="C55" i="31"/>
  <c r="E44" i="54"/>
  <c r="E46" i="54"/>
  <c r="E48" i="54"/>
  <c r="E65" i="54"/>
  <c r="E42" i="7"/>
  <c r="E48" i="7"/>
  <c r="E51" i="91"/>
  <c r="E49" i="93"/>
  <c r="E54" i="88"/>
  <c r="E52" i="55"/>
  <c r="E35" i="88"/>
  <c r="E35" i="87"/>
  <c r="E37" i="55"/>
  <c r="E54" i="87"/>
  <c r="E57" i="51"/>
  <c r="E54" i="91"/>
  <c r="E39" i="51"/>
  <c r="E45" i="93"/>
  <c r="E43" i="56"/>
  <c r="E50" i="91"/>
  <c r="E50" i="7"/>
  <c r="E50" i="87"/>
  <c r="E50" i="88"/>
  <c r="E43" i="93"/>
  <c r="E48" i="87"/>
  <c r="E42" i="56"/>
  <c r="E48" i="91"/>
  <c r="E48" i="88"/>
  <c r="E62" i="7"/>
  <c r="E58" i="55"/>
  <c r="E60" i="93"/>
  <c r="E65" i="87"/>
  <c r="E65" i="7"/>
  <c r="E65" i="88"/>
  <c r="E65" i="91"/>
  <c r="E55" i="31"/>
  <c r="E53" i="6"/>
  <c r="C32" i="54"/>
  <c r="C62" i="54"/>
  <c r="E55" i="7"/>
  <c r="C35" i="51"/>
  <c r="C34" i="55"/>
  <c r="C57" i="55"/>
  <c r="C63" i="51"/>
  <c r="C61" i="7"/>
  <c r="C31" i="88"/>
  <c r="C31" i="91"/>
  <c r="E66" i="31"/>
  <c r="C33" i="6"/>
  <c r="E35" i="6"/>
  <c r="E49" i="6"/>
  <c r="E54" i="5"/>
  <c r="E32" i="54"/>
  <c r="E42" i="54"/>
  <c r="E67" i="51"/>
  <c r="E61" i="87"/>
  <c r="E61" i="91"/>
  <c r="E50" i="55"/>
  <c r="E52" i="51"/>
  <c r="E51" i="88"/>
  <c r="E44" i="56"/>
  <c r="E46" i="93"/>
  <c r="E51" i="87"/>
  <c r="E51" i="7"/>
  <c r="E35" i="51"/>
  <c r="E34" i="55"/>
  <c r="E57" i="55"/>
  <c r="E63" i="51"/>
  <c r="E61" i="7"/>
  <c r="E31" i="88"/>
  <c r="E31" i="91"/>
  <c r="E49" i="71"/>
  <c r="C61" i="71"/>
  <c r="E33" i="6"/>
  <c r="E45" i="6"/>
  <c r="E47" i="6"/>
  <c r="E64" i="6"/>
  <c r="E46" i="5"/>
  <c r="E48" i="5"/>
  <c r="E50" i="5"/>
  <c r="C60" i="54"/>
  <c r="C32" i="7"/>
  <c r="C59" i="55"/>
  <c r="C65" i="51"/>
  <c r="C63" i="7"/>
  <c r="E35" i="31"/>
  <c r="E51" i="31"/>
  <c r="E45" i="71"/>
  <c r="E47" i="71"/>
  <c r="E61" i="71"/>
  <c r="E64" i="71"/>
  <c r="C31" i="6"/>
  <c r="C61" i="6"/>
  <c r="C31" i="5"/>
  <c r="C33" i="5"/>
  <c r="E42" i="5"/>
  <c r="E55" i="54"/>
  <c r="E60" i="54"/>
  <c r="E32" i="7"/>
  <c r="E46" i="7"/>
  <c r="E48" i="51"/>
  <c r="AD10" i="72" a="1"/>
  <c r="AD10" i="72" s="1"/>
  <c r="L64" i="3" l="1"/>
  <c r="L70" i="4"/>
  <c r="L66" i="56"/>
  <c r="L71" i="4"/>
  <c r="L67" i="56"/>
  <c r="L65" i="3"/>
  <c r="L72" i="4"/>
  <c r="L68" i="56"/>
  <c r="L66" i="3"/>
  <c r="I153" i="1"/>
  <c r="C299" i="1"/>
  <c r="I862" i="1"/>
  <c r="I448" i="1"/>
  <c r="I487" i="1"/>
  <c r="I782" i="1"/>
  <c r="I595" i="1"/>
  <c r="I103" i="1"/>
  <c r="I86" i="1"/>
  <c r="C59" i="1"/>
  <c r="C526" i="1"/>
  <c r="I798" i="1"/>
  <c r="C416" i="1"/>
  <c r="I273" i="1"/>
  <c r="I871" i="1"/>
  <c r="C892" i="1"/>
  <c r="C486" i="1"/>
  <c r="C565" i="1"/>
  <c r="C625" i="1"/>
  <c r="C857" i="1"/>
  <c r="C199" i="1"/>
  <c r="I869" i="1"/>
  <c r="I872" i="1"/>
  <c r="C224" i="1"/>
  <c r="C221" i="1"/>
  <c r="C518" i="1"/>
  <c r="C889" i="1"/>
  <c r="I394" i="1"/>
  <c r="I506" i="1"/>
  <c r="C585" i="1"/>
  <c r="I874" i="1"/>
  <c r="I438" i="1"/>
  <c r="C102" i="1"/>
  <c r="I809" i="1"/>
  <c r="C869" i="1"/>
  <c r="C689" i="1"/>
  <c r="I101" i="1"/>
  <c r="L73" i="4"/>
  <c r="I63" i="1"/>
  <c r="C865" i="1"/>
  <c r="I300" i="1"/>
  <c r="I376" i="1"/>
  <c r="C349" i="1"/>
  <c r="C560" i="1"/>
  <c r="C864" i="1"/>
  <c r="C415" i="1"/>
  <c r="C446" i="1"/>
  <c r="I585" i="1"/>
  <c r="C799" i="1"/>
  <c r="C872" i="1"/>
  <c r="I61" i="1"/>
  <c r="I395" i="1"/>
  <c r="I196" i="1"/>
  <c r="I197" i="1"/>
  <c r="C317" i="1"/>
  <c r="C506" i="1"/>
  <c r="I440" i="1"/>
  <c r="C377" i="1"/>
  <c r="C574" i="1"/>
  <c r="C868" i="1"/>
  <c r="I439" i="1"/>
  <c r="I680" i="1"/>
  <c r="I486" i="1"/>
  <c r="I689" i="1"/>
  <c r="C867" i="1"/>
  <c r="C896" i="1"/>
  <c r="C378" i="1"/>
  <c r="I456" i="1"/>
  <c r="I659" i="1"/>
  <c r="I102" i="1"/>
  <c r="I62" i="1"/>
  <c r="I221" i="1"/>
  <c r="C273" i="1"/>
  <c r="C417" i="1"/>
  <c r="C195" i="1"/>
  <c r="I446" i="1"/>
  <c r="C447" i="1"/>
  <c r="C197" i="1"/>
  <c r="C873" i="1"/>
  <c r="C460" i="1"/>
  <c r="I865" i="1"/>
  <c r="C515" i="1"/>
  <c r="C725" i="1"/>
  <c r="I725" i="1"/>
  <c r="I870" i="1"/>
  <c r="C874" i="1"/>
  <c r="C637" i="1"/>
  <c r="C729" i="1"/>
  <c r="I442" i="1"/>
  <c r="C103" i="1"/>
  <c r="I99" i="1"/>
  <c r="C60" i="1"/>
  <c r="C223" i="1"/>
  <c r="I198" i="1"/>
  <c r="I417" i="1"/>
  <c r="I195" i="1"/>
  <c r="C809" i="1"/>
  <c r="I415" i="1"/>
  <c r="I272" i="1"/>
  <c r="I784" i="1"/>
  <c r="C300" i="1"/>
  <c r="C782" i="1"/>
  <c r="C871" i="1"/>
  <c r="I648" i="1"/>
  <c r="I896" i="1"/>
  <c r="I222" i="1"/>
  <c r="I317" i="1"/>
  <c r="I574" i="1"/>
  <c r="I892" i="1"/>
  <c r="C470" i="1"/>
  <c r="I377" i="1"/>
  <c r="I299" i="1"/>
  <c r="I100" i="1"/>
  <c r="C347" i="1"/>
  <c r="I223" i="1"/>
  <c r="C487" i="1"/>
  <c r="I199" i="1"/>
  <c r="C196" i="1"/>
  <c r="C449" i="1"/>
  <c r="I302" i="1"/>
  <c r="I800" i="1"/>
  <c r="C318" i="1"/>
  <c r="C798" i="1"/>
  <c r="C595" i="1"/>
  <c r="I670" i="1"/>
  <c r="I274" i="1"/>
  <c r="C99" i="1"/>
  <c r="C100" i="1"/>
  <c r="C222" i="1"/>
  <c r="G222" i="1" s="1"/>
  <c r="C396" i="1"/>
  <c r="C271" i="1"/>
  <c r="I518" i="1"/>
  <c r="C225" i="1"/>
  <c r="C319" i="1"/>
  <c r="I460" i="1"/>
  <c r="I316" i="1"/>
  <c r="I864" i="1"/>
  <c r="C348" i="1"/>
  <c r="C866" i="1"/>
  <c r="C603" i="1"/>
  <c r="I783" i="1"/>
  <c r="C198" i="1"/>
  <c r="I224" i="1"/>
  <c r="I603" i="1"/>
  <c r="C617" i="1"/>
  <c r="I225" i="1"/>
  <c r="C448" i="1"/>
  <c r="I319" i="1"/>
  <c r="I416" i="1"/>
  <c r="C301" i="1"/>
  <c r="I271" i="1"/>
  <c r="C272" i="1"/>
  <c r="C382" i="1"/>
  <c r="I470" i="1"/>
  <c r="I378" i="1"/>
  <c r="I868" i="1"/>
  <c r="C376" i="1"/>
  <c r="C870" i="1"/>
  <c r="C648" i="1"/>
  <c r="I799" i="1"/>
  <c r="C63" i="1"/>
  <c r="C101" i="1"/>
  <c r="C274" i="1"/>
  <c r="C680" i="1"/>
  <c r="C316" i="1"/>
  <c r="I873" i="1"/>
  <c r="I488" i="1"/>
  <c r="C438" i="1"/>
  <c r="I347" i="1"/>
  <c r="I301" i="1"/>
  <c r="C302" i="1"/>
  <c r="I447" i="1"/>
  <c r="C784" i="1"/>
  <c r="I382" i="1"/>
  <c r="I625" i="1"/>
  <c r="C394" i="1"/>
  <c r="I515" i="1"/>
  <c r="C670" i="1"/>
  <c r="C859" i="1"/>
  <c r="C62" i="1"/>
  <c r="C659" i="1"/>
  <c r="C395" i="1"/>
  <c r="I866" i="1"/>
  <c r="I889" i="1"/>
  <c r="I349" i="1"/>
  <c r="I59" i="1"/>
  <c r="C733" i="1"/>
  <c r="C456" i="1"/>
  <c r="C439" i="1"/>
  <c r="I348" i="1"/>
  <c r="I318" i="1"/>
  <c r="C488" i="1"/>
  <c r="C800" i="1"/>
  <c r="I396" i="1"/>
  <c r="I637" i="1"/>
  <c r="I441" i="1"/>
  <c r="C524" i="1"/>
  <c r="C783" i="1"/>
  <c r="C5" i="1"/>
  <c r="I235" i="1"/>
  <c r="C452" i="1"/>
  <c r="I234" i="1"/>
  <c r="I380" i="1"/>
  <c r="I87" i="1"/>
  <c r="C277" i="1"/>
  <c r="I452" i="1"/>
  <c r="I726" i="1"/>
  <c r="C451" i="1"/>
  <c r="I278" i="1"/>
  <c r="C87" i="1"/>
  <c r="I232" i="1"/>
  <c r="I421" i="1"/>
  <c r="C380" i="1"/>
  <c r="C108" i="1"/>
  <c r="I507" i="1"/>
  <c r="I206" i="1"/>
  <c r="C105" i="1"/>
  <c r="C205" i="1"/>
  <c r="C507" i="1"/>
  <c r="I104" i="1"/>
  <c r="I277" i="1"/>
  <c r="I275" i="1"/>
  <c r="I207" i="1"/>
  <c r="C209" i="1"/>
  <c r="C862" i="1"/>
  <c r="C207" i="1"/>
  <c r="I233" i="1"/>
  <c r="I205" i="1"/>
  <c r="I423" i="1"/>
  <c r="I279" i="1"/>
  <c r="C276" i="1"/>
  <c r="I422" i="1"/>
  <c r="C423" i="1"/>
  <c r="I863" i="1"/>
  <c r="I208" i="1"/>
  <c r="C206" i="1"/>
  <c r="I353" i="1"/>
  <c r="I355" i="1"/>
  <c r="I354" i="1"/>
  <c r="I105" i="1"/>
  <c r="C279" i="1"/>
  <c r="I379" i="1"/>
  <c r="C353" i="1"/>
  <c r="I531" i="1"/>
  <c r="C450" i="1"/>
  <c r="I705" i="1"/>
  <c r="C107" i="1"/>
  <c r="C863" i="1"/>
  <c r="C275" i="1"/>
  <c r="I231" i="1"/>
  <c r="C88" i="1"/>
  <c r="I108" i="1"/>
  <c r="C421" i="1"/>
  <c r="C381" i="1"/>
  <c r="C208" i="1"/>
  <c r="C531" i="1"/>
  <c r="I107" i="1"/>
  <c r="I85" i="1"/>
  <c r="I381" i="1"/>
  <c r="C84" i="1"/>
  <c r="C379" i="1"/>
  <c r="I450" i="1"/>
  <c r="C422" i="1"/>
  <c r="C235" i="1"/>
  <c r="C234" i="1"/>
  <c r="I106" i="1"/>
  <c r="I276" i="1"/>
  <c r="I214" i="1"/>
  <c r="I5" i="1"/>
  <c r="C726" i="1"/>
  <c r="C104" i="1"/>
  <c r="C233" i="1"/>
  <c r="I451" i="1"/>
  <c r="C354" i="1"/>
  <c r="C278" i="1"/>
  <c r="C355" i="1"/>
  <c r="C118" i="1"/>
  <c r="C106" i="1"/>
  <c r="I311" i="1"/>
  <c r="I528" i="1"/>
  <c r="I295" i="1"/>
  <c r="C825" i="1"/>
  <c r="C7" i="1"/>
  <c r="I899" i="1"/>
  <c r="C712" i="1"/>
  <c r="I712" i="1"/>
  <c r="L65" i="33"/>
  <c r="C714" i="1"/>
  <c r="I714" i="1"/>
  <c r="I900" i="1"/>
  <c r="I898" i="1"/>
  <c r="C900" i="1"/>
  <c r="C898" i="1"/>
  <c r="C713" i="1"/>
  <c r="I713" i="1"/>
  <c r="S27" i="94"/>
  <c r="S28" i="94" s="1"/>
  <c r="V28" i="94" s="1"/>
  <c r="T26" i="94"/>
  <c r="S29" i="94"/>
  <c r="T29" i="94" s="1"/>
  <c r="U25" i="95"/>
  <c r="S26" i="95"/>
  <c r="I84" i="1"/>
  <c r="L74" i="4"/>
  <c r="I665" i="1"/>
  <c r="C665" i="1"/>
  <c r="I653" i="1"/>
  <c r="C653" i="1"/>
  <c r="I209" i="1"/>
  <c r="I641" i="1"/>
  <c r="C641" i="1"/>
  <c r="C85" i="1"/>
  <c r="C232" i="1"/>
  <c r="I576" i="1"/>
  <c r="I88" i="1"/>
  <c r="C576" i="1"/>
  <c r="C231" i="1"/>
  <c r="L74" i="56"/>
  <c r="C588" i="1"/>
  <c r="I588" i="1"/>
  <c r="C767" i="1"/>
  <c r="C785" i="1"/>
  <c r="C668" i="1"/>
  <c r="C831" i="1"/>
  <c r="I813" i="1"/>
  <c r="C821" i="1"/>
  <c r="C508" i="1"/>
  <c r="C365" i="1"/>
  <c r="C829" i="1"/>
  <c r="I824" i="1"/>
  <c r="I542" i="1"/>
  <c r="I740" i="1"/>
  <c r="I668" i="1"/>
  <c r="I801" i="1"/>
  <c r="C577" i="1"/>
  <c r="C794" i="1"/>
  <c r="I556" i="1"/>
  <c r="I790" i="1"/>
  <c r="C747" i="1"/>
  <c r="I827" i="1"/>
  <c r="C521" i="1"/>
  <c r="C473" i="1"/>
  <c r="L69" i="94"/>
  <c r="L64" i="95"/>
  <c r="C830" i="1"/>
  <c r="I119" i="1"/>
  <c r="I767" i="1"/>
  <c r="I521" i="1"/>
  <c r="I213" i="1"/>
  <c r="I821" i="1"/>
  <c r="I42" i="1"/>
  <c r="C211" i="1"/>
  <c r="C839" i="1"/>
  <c r="C789" i="1"/>
  <c r="C119" i="1"/>
  <c r="I825" i="1"/>
  <c r="I151" i="1"/>
  <c r="C833" i="1"/>
  <c r="C532" i="1"/>
  <c r="I406" i="1"/>
  <c r="C736" i="1"/>
  <c r="I828" i="1"/>
  <c r="I548" i="1"/>
  <c r="I748" i="1"/>
  <c r="I737" i="1"/>
  <c r="I839" i="1"/>
  <c r="C697" i="1"/>
  <c r="C802" i="1"/>
  <c r="I577" i="1"/>
  <c r="I794" i="1"/>
  <c r="C751" i="1"/>
  <c r="I831" i="1"/>
  <c r="I525" i="1"/>
  <c r="I771" i="1"/>
  <c r="I7" i="1"/>
  <c r="C412" i="1"/>
  <c r="C485" i="1"/>
  <c r="L63" i="95"/>
  <c r="L68" i="94"/>
  <c r="I897" i="1"/>
  <c r="C899" i="1"/>
  <c r="C897" i="1"/>
  <c r="I40" i="1"/>
  <c r="I6" i="1"/>
  <c r="I150" i="1"/>
  <c r="C115" i="1"/>
  <c r="I462" i="1"/>
  <c r="I154" i="1"/>
  <c r="C384" i="1"/>
  <c r="C295" i="1"/>
  <c r="C42" i="1"/>
  <c r="I532" i="1"/>
  <c r="C330" i="1"/>
  <c r="I314" i="1"/>
  <c r="I118" i="1"/>
  <c r="C41" i="1"/>
  <c r="I293" i="1"/>
  <c r="C39" i="1"/>
  <c r="C154" i="1"/>
  <c r="I8" i="1"/>
  <c r="C542" i="1"/>
  <c r="C8" i="1"/>
  <c r="C215" i="1"/>
  <c r="C291" i="1"/>
  <c r="C813" i="1"/>
  <c r="C151" i="1"/>
  <c r="C393" i="1"/>
  <c r="I212" i="1"/>
  <c r="C888" i="1"/>
  <c r="C732" i="1"/>
  <c r="I454" i="1"/>
  <c r="C740" i="1"/>
  <c r="I832" i="1"/>
  <c r="I553" i="1"/>
  <c r="I760" i="1"/>
  <c r="I741" i="1"/>
  <c r="I847" i="1"/>
  <c r="C705" i="1"/>
  <c r="I806" i="1"/>
  <c r="I697" i="1"/>
  <c r="I802" i="1"/>
  <c r="C759" i="1"/>
  <c r="I835" i="1"/>
  <c r="I539" i="1"/>
  <c r="I775" i="1"/>
  <c r="I4" i="1"/>
  <c r="C4" i="1"/>
  <c r="I458" i="1"/>
  <c r="C748" i="1"/>
  <c r="I749" i="1"/>
  <c r="C895" i="1"/>
  <c r="I829" i="1"/>
  <c r="I468" i="1"/>
  <c r="I484" i="1"/>
  <c r="C314" i="1"/>
  <c r="C820" i="1"/>
  <c r="I117" i="1"/>
  <c r="I152" i="1"/>
  <c r="C632" i="1"/>
  <c r="I473" i="1"/>
  <c r="C386" i="1"/>
  <c r="I215" i="1"/>
  <c r="C313" i="1"/>
  <c r="C483" i="1"/>
  <c r="I409" i="1"/>
  <c r="C213" i="1"/>
  <c r="C827" i="1"/>
  <c r="C528" i="1"/>
  <c r="C768" i="1"/>
  <c r="I891" i="1"/>
  <c r="I632" i="1"/>
  <c r="I776" i="1"/>
  <c r="I761" i="1"/>
  <c r="I330" i="1"/>
  <c r="C750" i="1"/>
  <c r="I830" i="1"/>
  <c r="I738" i="1"/>
  <c r="C539" i="1"/>
  <c r="C775" i="1"/>
  <c r="C824" i="1"/>
  <c r="I678" i="1"/>
  <c r="I803" i="1"/>
  <c r="C454" i="1"/>
  <c r="K70" i="53"/>
  <c r="K59" i="80"/>
  <c r="L66" i="33"/>
  <c r="C61" i="1"/>
  <c r="I60" i="1"/>
  <c r="L71" i="86"/>
  <c r="C116" i="1"/>
  <c r="I559" i="1"/>
  <c r="C808" i="1"/>
  <c r="I211" i="1"/>
  <c r="C152" i="1"/>
  <c r="I620" i="1"/>
  <c r="I826" i="1"/>
  <c r="I791" i="1"/>
  <c r="C6" i="1"/>
  <c r="I365" i="1"/>
  <c r="I485" i="1"/>
  <c r="I391" i="1"/>
  <c r="C338" i="1"/>
  <c r="I386" i="1"/>
  <c r="C559" i="1"/>
  <c r="I464" i="1"/>
  <c r="C293" i="1"/>
  <c r="I833" i="1"/>
  <c r="C553" i="1"/>
  <c r="C772" i="1"/>
  <c r="I294" i="1"/>
  <c r="I662" i="1"/>
  <c r="I788" i="1"/>
  <c r="I769" i="1"/>
  <c r="C344" i="1"/>
  <c r="C758" i="1"/>
  <c r="I834" i="1"/>
  <c r="I750" i="1"/>
  <c r="I568" i="1"/>
  <c r="C787" i="1"/>
  <c r="C828" i="1"/>
  <c r="I690" i="1"/>
  <c r="I888" i="1"/>
  <c r="C466" i="1"/>
  <c r="C564" i="1"/>
  <c r="I385" i="1"/>
  <c r="C887" i="1"/>
  <c r="C823" i="1"/>
  <c r="C40" i="1"/>
  <c r="I116" i="1"/>
  <c r="C535" i="1"/>
  <c r="I412" i="1"/>
  <c r="C392" i="1"/>
  <c r="C409" i="1"/>
  <c r="C703" i="1"/>
  <c r="I477" i="1"/>
  <c r="C335" i="1"/>
  <c r="C117" i="1"/>
  <c r="C609" i="1"/>
  <c r="C776" i="1"/>
  <c r="I312" i="1"/>
  <c r="I703" i="1"/>
  <c r="I792" i="1"/>
  <c r="I773" i="1"/>
  <c r="C385" i="1"/>
  <c r="C770" i="1"/>
  <c r="C458" i="1"/>
  <c r="I758" i="1"/>
  <c r="C599" i="1"/>
  <c r="C791" i="1"/>
  <c r="C832" i="1"/>
  <c r="I702" i="1"/>
  <c r="C406" i="1"/>
  <c r="I384" i="1"/>
  <c r="I292" i="1"/>
  <c r="I768" i="1"/>
  <c r="I313" i="1"/>
  <c r="I772" i="1"/>
  <c r="C738" i="1"/>
  <c r="C525" i="1"/>
  <c r="C771" i="1"/>
  <c r="I805" i="1"/>
  <c r="I341" i="1"/>
  <c r="C737" i="1"/>
  <c r="C476" i="1"/>
  <c r="C468" i="1"/>
  <c r="C477" i="1"/>
  <c r="C761" i="1"/>
  <c r="C568" i="1"/>
  <c r="I344" i="1"/>
  <c r="C153" i="1"/>
  <c r="C707" i="1"/>
  <c r="C788" i="1"/>
  <c r="I338" i="1"/>
  <c r="I707" i="1"/>
  <c r="I887" i="1"/>
  <c r="I777" i="1"/>
  <c r="C478" i="1"/>
  <c r="C774" i="1"/>
  <c r="I478" i="1"/>
  <c r="I770" i="1"/>
  <c r="C678" i="1"/>
  <c r="C803" i="1"/>
  <c r="C891" i="1"/>
  <c r="I739" i="1"/>
  <c r="I315" i="1"/>
  <c r="C315" i="1"/>
  <c r="C292" i="1"/>
  <c r="I817" i="1"/>
  <c r="C822" i="1"/>
  <c r="C760" i="1"/>
  <c r="I599" i="1"/>
  <c r="I466" i="1"/>
  <c r="I43" i="1"/>
  <c r="I335" i="1"/>
  <c r="C757" i="1"/>
  <c r="I517" i="1"/>
  <c r="C548" i="1"/>
  <c r="I496" i="1"/>
  <c r="C801" i="1"/>
  <c r="C662" i="1"/>
  <c r="I393" i="1"/>
  <c r="C214" i="1"/>
  <c r="C718" i="1"/>
  <c r="C792" i="1"/>
  <c r="I392" i="1"/>
  <c r="I718" i="1"/>
  <c r="I589" i="1"/>
  <c r="I785" i="1"/>
  <c r="C545" i="1"/>
  <c r="C778" i="1"/>
  <c r="C496" i="1"/>
  <c r="I774" i="1"/>
  <c r="C690" i="1"/>
  <c r="I815" i="1"/>
  <c r="I895" i="1"/>
  <c r="I747" i="1"/>
  <c r="C150" i="1"/>
  <c r="C709" i="1"/>
  <c r="C312" i="1"/>
  <c r="C815" i="1"/>
  <c r="I709" i="1"/>
  <c r="I436" i="1"/>
  <c r="I39" i="1"/>
  <c r="C311" i="1"/>
  <c r="C769" i="1"/>
  <c r="I564" i="1"/>
  <c r="C620" i="1"/>
  <c r="C589" i="1"/>
  <c r="C826" i="1"/>
  <c r="C741" i="1"/>
  <c r="C436" i="1"/>
  <c r="C294" i="1"/>
  <c r="C805" i="1"/>
  <c r="I808" i="1"/>
  <c r="I476" i="1"/>
  <c r="C727" i="1"/>
  <c r="I609" i="1"/>
  <c r="I789" i="1"/>
  <c r="C550" i="1"/>
  <c r="C786" i="1"/>
  <c r="I545" i="1"/>
  <c r="I778" i="1"/>
  <c r="C702" i="1"/>
  <c r="I819" i="1"/>
  <c r="I508" i="1"/>
  <c r="I751" i="1"/>
  <c r="C793" i="1"/>
  <c r="I836" i="1"/>
  <c r="I822" i="1"/>
  <c r="I787" i="1"/>
  <c r="I291" i="1"/>
  <c r="I757" i="1"/>
  <c r="C777" i="1"/>
  <c r="C847" i="1"/>
  <c r="C391" i="1"/>
  <c r="I732" i="1"/>
  <c r="C43" i="1"/>
  <c r="C806" i="1"/>
  <c r="C650" i="1"/>
  <c r="C819" i="1"/>
  <c r="C749" i="1"/>
  <c r="I115" i="1"/>
  <c r="C773" i="1"/>
  <c r="I483" i="1"/>
  <c r="C341" i="1"/>
  <c r="C817" i="1"/>
  <c r="I820" i="1"/>
  <c r="I535" i="1"/>
  <c r="I736" i="1"/>
  <c r="I650" i="1"/>
  <c r="I793" i="1"/>
  <c r="C556" i="1"/>
  <c r="C790" i="1"/>
  <c r="I550" i="1"/>
  <c r="I786" i="1"/>
  <c r="C739" i="1"/>
  <c r="I823" i="1"/>
  <c r="C517" i="1"/>
  <c r="I759" i="1"/>
  <c r="K58" i="80"/>
  <c r="K69" i="53"/>
  <c r="C484" i="1"/>
  <c r="I41" i="1"/>
  <c r="I894" i="1"/>
  <c r="I890" i="1"/>
  <c r="I886" i="1"/>
  <c r="I849" i="1"/>
  <c r="I795" i="1"/>
  <c r="I779" i="1"/>
  <c r="I763" i="1"/>
  <c r="I755" i="1"/>
  <c r="I743" i="1"/>
  <c r="I735" i="1"/>
  <c r="I706" i="1"/>
  <c r="I661" i="1"/>
  <c r="I631" i="1"/>
  <c r="I578" i="1"/>
  <c r="I557" i="1"/>
  <c r="I551" i="1"/>
  <c r="I546" i="1"/>
  <c r="C886" i="1"/>
  <c r="C836" i="1"/>
  <c r="C816" i="1"/>
  <c r="C731" i="1"/>
  <c r="C849" i="1"/>
  <c r="I811" i="1"/>
  <c r="I807" i="1"/>
  <c r="C795" i="1"/>
  <c r="C779" i="1"/>
  <c r="C763" i="1"/>
  <c r="C755" i="1"/>
  <c r="C743" i="1"/>
  <c r="C735" i="1"/>
  <c r="C706" i="1"/>
  <c r="C661" i="1"/>
  <c r="C631" i="1"/>
  <c r="C578" i="1"/>
  <c r="C557" i="1"/>
  <c r="C551" i="1"/>
  <c r="C546" i="1"/>
  <c r="C890" i="1"/>
  <c r="I766" i="1"/>
  <c r="I762" i="1"/>
  <c r="I754" i="1"/>
  <c r="I746" i="1"/>
  <c r="I742" i="1"/>
  <c r="I701" i="1"/>
  <c r="I677" i="1"/>
  <c r="I643" i="1"/>
  <c r="I610" i="1"/>
  <c r="I590" i="1"/>
  <c r="C562" i="1"/>
  <c r="I538" i="1"/>
  <c r="C533" i="1"/>
  <c r="C529" i="1"/>
  <c r="C520" i="1"/>
  <c r="C894" i="1"/>
  <c r="I818" i="1"/>
  <c r="I814" i="1"/>
  <c r="C766" i="1"/>
  <c r="C762" i="1"/>
  <c r="C754" i="1"/>
  <c r="C746" i="1"/>
  <c r="C742" i="1"/>
  <c r="C701" i="1"/>
  <c r="C677" i="1"/>
  <c r="C643" i="1"/>
  <c r="C610" i="1"/>
  <c r="C590" i="1"/>
  <c r="I566" i="1"/>
  <c r="C538" i="1"/>
  <c r="I494" i="1"/>
  <c r="C402" i="1"/>
  <c r="C389" i="1"/>
  <c r="C336" i="1"/>
  <c r="C326" i="1"/>
  <c r="C308" i="1"/>
  <c r="C296" i="1"/>
  <c r="C230" i="1"/>
  <c r="C226" i="1"/>
  <c r="I893" i="1"/>
  <c r="I843" i="1"/>
  <c r="I797" i="1"/>
  <c r="I781" i="1"/>
  <c r="I765" i="1"/>
  <c r="I753" i="1"/>
  <c r="I745" i="1"/>
  <c r="I715" i="1"/>
  <c r="I708" i="1"/>
  <c r="I704" i="1"/>
  <c r="I696" i="1"/>
  <c r="I621" i="1"/>
  <c r="I796" i="1"/>
  <c r="I780" i="1"/>
  <c r="I764" i="1"/>
  <c r="I756" i="1"/>
  <c r="I752" i="1"/>
  <c r="I744" i="1"/>
  <c r="I711" i="1"/>
  <c r="I687" i="1"/>
  <c r="I667" i="1"/>
  <c r="I600" i="1"/>
  <c r="C527" i="1"/>
  <c r="C498" i="1"/>
  <c r="I480" i="1"/>
  <c r="C407" i="1"/>
  <c r="I400" i="1"/>
  <c r="I387" i="1"/>
  <c r="I342" i="1"/>
  <c r="I328" i="1"/>
  <c r="I324" i="1"/>
  <c r="I298" i="1"/>
  <c r="I228" i="1"/>
  <c r="I816" i="1"/>
  <c r="C796" i="1"/>
  <c r="C780" i="1"/>
  <c r="C764" i="1"/>
  <c r="C756" i="1"/>
  <c r="C752" i="1"/>
  <c r="C744" i="1"/>
  <c r="I731" i="1"/>
  <c r="C543" i="1"/>
  <c r="I479" i="1"/>
  <c r="I345" i="1"/>
  <c r="C325" i="1"/>
  <c r="I308" i="1"/>
  <c r="I226" i="1"/>
  <c r="C161" i="1"/>
  <c r="C121" i="1"/>
  <c r="C704" i="1"/>
  <c r="C696" i="1"/>
  <c r="I549" i="1"/>
  <c r="C410" i="1"/>
  <c r="C388" i="1"/>
  <c r="I339" i="1"/>
  <c r="I297" i="1"/>
  <c r="C164" i="1"/>
  <c r="C160" i="1"/>
  <c r="C124" i="1"/>
  <c r="C120" i="1"/>
  <c r="C843" i="1"/>
  <c r="C715" i="1"/>
  <c r="C687" i="1"/>
  <c r="C492" i="1"/>
  <c r="C328" i="1"/>
  <c r="C307" i="1"/>
  <c r="I229" i="1"/>
  <c r="I163" i="1"/>
  <c r="I123" i="1"/>
  <c r="C814" i="1"/>
  <c r="C621" i="1"/>
  <c r="C549" i="1"/>
  <c r="I536" i="1"/>
  <c r="I413" i="1"/>
  <c r="I402" i="1"/>
  <c r="C387" i="1"/>
  <c r="C339" i="1"/>
  <c r="I327" i="1"/>
  <c r="C297" i="1"/>
  <c r="C781" i="1"/>
  <c r="C711" i="1"/>
  <c r="C566" i="1"/>
  <c r="I523" i="1"/>
  <c r="I296" i="1"/>
  <c r="C229" i="1"/>
  <c r="C163" i="1"/>
  <c r="C123" i="1"/>
  <c r="C807" i="1"/>
  <c r="C536" i="1"/>
  <c r="I481" i="1"/>
  <c r="C413" i="1"/>
  <c r="I401" i="1"/>
  <c r="C327" i="1"/>
  <c r="C728" i="1"/>
  <c r="I554" i="1"/>
  <c r="I529" i="1"/>
  <c r="C523" i="1"/>
  <c r="I326" i="1"/>
  <c r="C228" i="1"/>
  <c r="C893" i="1"/>
  <c r="C818" i="1"/>
  <c r="I510" i="1"/>
  <c r="C481" i="1"/>
  <c r="C401" i="1"/>
  <c r="C342" i="1"/>
  <c r="I331" i="1"/>
  <c r="I227" i="1"/>
  <c r="C835" i="1"/>
  <c r="C667" i="1"/>
  <c r="C400" i="1"/>
  <c r="I160" i="1"/>
  <c r="I124" i="1"/>
  <c r="C834" i="1"/>
  <c r="C745" i="1"/>
  <c r="I543" i="1"/>
  <c r="I520" i="1"/>
  <c r="C480" i="1"/>
  <c r="C345" i="1"/>
  <c r="I336" i="1"/>
  <c r="C48" i="1"/>
  <c r="C44" i="1"/>
  <c r="C17" i="1"/>
  <c r="C14" i="1"/>
  <c r="I389" i="1"/>
  <c r="I47" i="1"/>
  <c r="C708" i="1"/>
  <c r="I569" i="1"/>
  <c r="C510" i="1"/>
  <c r="C494" i="1"/>
  <c r="C479" i="1"/>
  <c r="I407" i="1"/>
  <c r="I122" i="1"/>
  <c r="I16" i="1"/>
  <c r="C569" i="1"/>
  <c r="I493" i="1"/>
  <c r="I388" i="1"/>
  <c r="I325" i="1"/>
  <c r="C227" i="1"/>
  <c r="I164" i="1"/>
  <c r="C47" i="1"/>
  <c r="C811" i="1"/>
  <c r="C554" i="1"/>
  <c r="I307" i="1"/>
  <c r="C122" i="1"/>
  <c r="I46" i="1"/>
  <c r="C16" i="1"/>
  <c r="C600" i="1"/>
  <c r="I527" i="1"/>
  <c r="C493" i="1"/>
  <c r="I121" i="1"/>
  <c r="C753" i="1"/>
  <c r="I492" i="1"/>
  <c r="C324" i="1"/>
  <c r="C298" i="1"/>
  <c r="I162" i="1"/>
  <c r="C46" i="1"/>
  <c r="I18" i="1"/>
  <c r="I562" i="1"/>
  <c r="I120" i="1"/>
  <c r="I45" i="1"/>
  <c r="C765" i="1"/>
  <c r="I533" i="1"/>
  <c r="I498" i="1"/>
  <c r="C331" i="1"/>
  <c r="C162" i="1"/>
  <c r="C18" i="1"/>
  <c r="C15" i="1"/>
  <c r="I161" i="1"/>
  <c r="I15" i="1"/>
  <c r="C45" i="1"/>
  <c r="I410" i="1"/>
  <c r="I44" i="1"/>
  <c r="C797" i="1"/>
  <c r="I14" i="1"/>
  <c r="I230" i="1"/>
  <c r="I48" i="1"/>
  <c r="I17" i="1"/>
  <c r="I710" i="1"/>
  <c r="I686" i="1"/>
  <c r="I666" i="1"/>
  <c r="I627" i="1"/>
  <c r="I611" i="1"/>
  <c r="I591" i="1"/>
  <c r="C530" i="1"/>
  <c r="C710" i="1"/>
  <c r="C686" i="1"/>
  <c r="C666" i="1"/>
  <c r="C627" i="1"/>
  <c r="C611" i="1"/>
  <c r="C591" i="1"/>
  <c r="I848" i="1"/>
  <c r="I734" i="1"/>
  <c r="I716" i="1"/>
  <c r="I630" i="1"/>
  <c r="C848" i="1"/>
  <c r="C734" i="1"/>
  <c r="C716" i="1"/>
  <c r="C630" i="1"/>
  <c r="C340" i="1"/>
  <c r="I676" i="1"/>
  <c r="I642" i="1"/>
  <c r="I601" i="1"/>
  <c r="I842" i="1"/>
  <c r="I654" i="1"/>
  <c r="I579" i="1"/>
  <c r="I509" i="1"/>
  <c r="C411" i="1"/>
  <c r="I346" i="1"/>
  <c r="C842" i="1"/>
  <c r="C601" i="1"/>
  <c r="C570" i="1"/>
  <c r="C218" i="1"/>
  <c r="C157" i="1"/>
  <c r="C149" i="1"/>
  <c r="C145" i="1"/>
  <c r="I497" i="1"/>
  <c r="C217" i="1"/>
  <c r="C156" i="1"/>
  <c r="C148" i="1"/>
  <c r="C414" i="1"/>
  <c r="I220" i="1"/>
  <c r="I216" i="1"/>
  <c r="I159" i="1"/>
  <c r="I155" i="1"/>
  <c r="I147" i="1"/>
  <c r="C654" i="1"/>
  <c r="C497" i="1"/>
  <c r="I343" i="1"/>
  <c r="I530" i="1"/>
  <c r="I332" i="1"/>
  <c r="C220" i="1"/>
  <c r="C216" i="1"/>
  <c r="C159" i="1"/>
  <c r="C155" i="1"/>
  <c r="C147" i="1"/>
  <c r="I408" i="1"/>
  <c r="C343" i="1"/>
  <c r="I219" i="1"/>
  <c r="C676" i="1"/>
  <c r="I337" i="1"/>
  <c r="C332" i="1"/>
  <c r="C579" i="1"/>
  <c r="C408" i="1"/>
  <c r="C219" i="1"/>
  <c r="C337" i="1"/>
  <c r="I148" i="1"/>
  <c r="I10" i="1"/>
  <c r="I570" i="1"/>
  <c r="C68" i="1"/>
  <c r="C64" i="1"/>
  <c r="I67" i="1"/>
  <c r="C10" i="1"/>
  <c r="I158" i="1"/>
  <c r="I146" i="1"/>
  <c r="I13" i="1"/>
  <c r="C642" i="1"/>
  <c r="I414" i="1"/>
  <c r="C67" i="1"/>
  <c r="C509" i="1"/>
  <c r="C158" i="1"/>
  <c r="C146" i="1"/>
  <c r="I66" i="1"/>
  <c r="C13" i="1"/>
  <c r="I218" i="1"/>
  <c r="I157" i="1"/>
  <c r="I145" i="1"/>
  <c r="I12" i="1"/>
  <c r="I340" i="1"/>
  <c r="C66" i="1"/>
  <c r="I217" i="1"/>
  <c r="I156" i="1"/>
  <c r="I65" i="1"/>
  <c r="C12" i="1"/>
  <c r="I411" i="1"/>
  <c r="I11" i="1"/>
  <c r="C9" i="1"/>
  <c r="I149" i="1"/>
  <c r="I64" i="1"/>
  <c r="C346" i="1"/>
  <c r="I9" i="1"/>
  <c r="I68" i="1"/>
  <c r="C11" i="1"/>
  <c r="C65" i="1"/>
  <c r="I876" i="1"/>
  <c r="I878" i="1"/>
  <c r="C877" i="1"/>
  <c r="I721" i="1"/>
  <c r="I674" i="1"/>
  <c r="I639" i="1"/>
  <c r="I586" i="1"/>
  <c r="C876" i="1"/>
  <c r="C721" i="1"/>
  <c r="C674" i="1"/>
  <c r="C639" i="1"/>
  <c r="C586" i="1"/>
  <c r="I875" i="1"/>
  <c r="I840" i="1"/>
  <c r="I693" i="1"/>
  <c r="I651" i="1"/>
  <c r="I618" i="1"/>
  <c r="I606" i="1"/>
  <c r="C875" i="1"/>
  <c r="C840" i="1"/>
  <c r="I810" i="1"/>
  <c r="C693" i="1"/>
  <c r="C651" i="1"/>
  <c r="C618" i="1"/>
  <c r="C606" i="1"/>
  <c r="C282" i="1"/>
  <c r="C270" i="1"/>
  <c r="C266" i="1"/>
  <c r="I663" i="1"/>
  <c r="I597" i="1"/>
  <c r="I575" i="1"/>
  <c r="C878" i="1"/>
  <c r="I854" i="1"/>
  <c r="I683" i="1"/>
  <c r="I628" i="1"/>
  <c r="I444" i="1"/>
  <c r="I374" i="1"/>
  <c r="I284" i="1"/>
  <c r="I280" i="1"/>
  <c r="I268" i="1"/>
  <c r="I877" i="1"/>
  <c r="C854" i="1"/>
  <c r="I373" i="1"/>
  <c r="C269" i="1"/>
  <c r="C201" i="1"/>
  <c r="C111" i="1"/>
  <c r="C861" i="1"/>
  <c r="C503" i="1"/>
  <c r="I267" i="1"/>
  <c r="C204" i="1"/>
  <c r="C200" i="1"/>
  <c r="I109" i="1"/>
  <c r="I281" i="1"/>
  <c r="I203" i="1"/>
  <c r="C109" i="1"/>
  <c r="C93" i="1"/>
  <c r="C267" i="1"/>
  <c r="C597" i="1"/>
  <c r="I445" i="1"/>
  <c r="C281" i="1"/>
  <c r="I266" i="1"/>
  <c r="C203" i="1"/>
  <c r="C628" i="1"/>
  <c r="I375" i="1"/>
  <c r="I202" i="1"/>
  <c r="C445" i="1"/>
  <c r="C280" i="1"/>
  <c r="I270" i="1"/>
  <c r="C375" i="1"/>
  <c r="C202" i="1"/>
  <c r="C374" i="1"/>
  <c r="I111" i="1"/>
  <c r="I110" i="1"/>
  <c r="C92" i="1"/>
  <c r="I503" i="1"/>
  <c r="C373" i="1"/>
  <c r="I204" i="1"/>
  <c r="C110" i="1"/>
  <c r="I91" i="1"/>
  <c r="C663" i="1"/>
  <c r="I269" i="1"/>
  <c r="C91" i="1"/>
  <c r="C683" i="1"/>
  <c r="I90" i="1"/>
  <c r="C444" i="1"/>
  <c r="C284" i="1"/>
  <c r="I201" i="1"/>
  <c r="C810" i="1"/>
  <c r="C575" i="1"/>
  <c r="I443" i="1"/>
  <c r="I283" i="1"/>
  <c r="C268" i="1"/>
  <c r="C90" i="1"/>
  <c r="I200" i="1"/>
  <c r="I113" i="1"/>
  <c r="I89" i="1"/>
  <c r="C443" i="1"/>
  <c r="C283" i="1"/>
  <c r="C113" i="1"/>
  <c r="I93" i="1"/>
  <c r="I282" i="1"/>
  <c r="I112" i="1"/>
  <c r="C89" i="1"/>
  <c r="I92" i="1"/>
  <c r="C112" i="1"/>
  <c r="I884" i="1"/>
  <c r="I880" i="1"/>
  <c r="I882" i="1"/>
  <c r="I881" i="1"/>
  <c r="I853" i="1"/>
  <c r="I841" i="1"/>
  <c r="I652" i="1"/>
  <c r="I619" i="1"/>
  <c r="C812" i="1"/>
  <c r="I885" i="1"/>
  <c r="C881" i="1"/>
  <c r="C853" i="1"/>
  <c r="C841" i="1"/>
  <c r="C652" i="1"/>
  <c r="C619" i="1"/>
  <c r="C730" i="1"/>
  <c r="I685" i="1"/>
  <c r="I664" i="1"/>
  <c r="I598" i="1"/>
  <c r="C467" i="1"/>
  <c r="I879" i="1"/>
  <c r="C685" i="1"/>
  <c r="C664" i="1"/>
  <c r="C598" i="1"/>
  <c r="I571" i="1"/>
  <c r="I490" i="1"/>
  <c r="C398" i="1"/>
  <c r="C364" i="1"/>
  <c r="C322" i="1"/>
  <c r="C304" i="1"/>
  <c r="C254" i="1"/>
  <c r="C884" i="1"/>
  <c r="I861" i="1"/>
  <c r="I629" i="1"/>
  <c r="C883" i="1"/>
  <c r="I722" i="1"/>
  <c r="I695" i="1"/>
  <c r="I671" i="1"/>
  <c r="I640" i="1"/>
  <c r="I608" i="1"/>
  <c r="I587" i="1"/>
  <c r="C522" i="1"/>
  <c r="C502" i="1"/>
  <c r="C469" i="1"/>
  <c r="C455" i="1"/>
  <c r="C435" i="1"/>
  <c r="I366" i="1"/>
  <c r="I362" i="1"/>
  <c r="I320" i="1"/>
  <c r="I306" i="1"/>
  <c r="I252" i="1"/>
  <c r="C882" i="1"/>
  <c r="I812" i="1"/>
  <c r="C640" i="1"/>
  <c r="C489" i="1"/>
  <c r="C437" i="1"/>
  <c r="I399" i="1"/>
  <c r="C320" i="1"/>
  <c r="I303" i="1"/>
  <c r="C181" i="1"/>
  <c r="C141" i="1"/>
  <c r="C880" i="1"/>
  <c r="I519" i="1"/>
  <c r="C514" i="1"/>
  <c r="I398" i="1"/>
  <c r="I363" i="1"/>
  <c r="I323" i="1"/>
  <c r="C184" i="1"/>
  <c r="C180" i="1"/>
  <c r="C144" i="1"/>
  <c r="C140" i="1"/>
  <c r="C671" i="1"/>
  <c r="I502" i="1"/>
  <c r="C459" i="1"/>
  <c r="I435" i="1"/>
  <c r="I253" i="1"/>
  <c r="I183" i="1"/>
  <c r="I143" i="1"/>
  <c r="C879" i="1"/>
  <c r="C695" i="1"/>
  <c r="C629" i="1"/>
  <c r="C519" i="1"/>
  <c r="I491" i="1"/>
  <c r="I397" i="1"/>
  <c r="C363" i="1"/>
  <c r="C323" i="1"/>
  <c r="C722" i="1"/>
  <c r="I434" i="1"/>
  <c r="I322" i="1"/>
  <c r="C306" i="1"/>
  <c r="C253" i="1"/>
  <c r="C183" i="1"/>
  <c r="C143" i="1"/>
  <c r="C491" i="1"/>
  <c r="C397" i="1"/>
  <c r="C362" i="1"/>
  <c r="I305" i="1"/>
  <c r="I182" i="1"/>
  <c r="C885" i="1"/>
  <c r="C587" i="1"/>
  <c r="I467" i="1"/>
  <c r="C434" i="1"/>
  <c r="I321" i="1"/>
  <c r="C252" i="1"/>
  <c r="C571" i="1"/>
  <c r="I522" i="1"/>
  <c r="C490" i="1"/>
  <c r="I433" i="1"/>
  <c r="C366" i="1"/>
  <c r="C305" i="1"/>
  <c r="I251" i="1"/>
  <c r="C182" i="1"/>
  <c r="C303" i="1"/>
  <c r="I20" i="1"/>
  <c r="C142" i="1"/>
  <c r="C52" i="1"/>
  <c r="I459" i="1"/>
  <c r="C399" i="1"/>
  <c r="I141" i="1"/>
  <c r="I51" i="1"/>
  <c r="I23" i="1"/>
  <c r="C20" i="1"/>
  <c r="I19" i="1"/>
  <c r="I883" i="1"/>
  <c r="C251" i="1"/>
  <c r="I184" i="1"/>
  <c r="I140" i="1"/>
  <c r="C51" i="1"/>
  <c r="C23" i="1"/>
  <c r="I50" i="1"/>
  <c r="C19" i="1"/>
  <c r="I455" i="1"/>
  <c r="C433" i="1"/>
  <c r="I22" i="1"/>
  <c r="I364" i="1"/>
  <c r="C50" i="1"/>
  <c r="I255" i="1"/>
  <c r="I181" i="1"/>
  <c r="I144" i="1"/>
  <c r="I53" i="1"/>
  <c r="I49" i="1"/>
  <c r="C22" i="1"/>
  <c r="C608" i="1"/>
  <c r="I561" i="1"/>
  <c r="I514" i="1"/>
  <c r="I304" i="1"/>
  <c r="I21" i="1"/>
  <c r="C255" i="1"/>
  <c r="I180" i="1"/>
  <c r="I142" i="1"/>
  <c r="C53" i="1"/>
  <c r="I52" i="1"/>
  <c r="I437" i="1"/>
  <c r="I254" i="1"/>
  <c r="C321" i="1"/>
  <c r="C21" i="1"/>
  <c r="C561" i="1"/>
  <c r="C49" i="1"/>
  <c r="I489" i="1"/>
  <c r="L70" i="86"/>
  <c r="I657" i="1"/>
  <c r="I635" i="1"/>
  <c r="I615" i="1"/>
  <c r="I504" i="1"/>
  <c r="C657" i="1"/>
  <c r="C635" i="1"/>
  <c r="C615" i="1"/>
  <c r="I572" i="1"/>
  <c r="I669" i="1"/>
  <c r="I626" i="1"/>
  <c r="C504" i="1"/>
  <c r="G504" i="1" s="1"/>
  <c r="C669" i="1"/>
  <c r="C626" i="1"/>
  <c r="C368" i="1"/>
  <c r="C258" i="1"/>
  <c r="C856" i="1"/>
  <c r="I723" i="1"/>
  <c r="I688" i="1"/>
  <c r="I646" i="1"/>
  <c r="I617" i="1"/>
  <c r="I679" i="1"/>
  <c r="I604" i="1"/>
  <c r="I596" i="1"/>
  <c r="I583" i="1"/>
  <c r="I260" i="1"/>
  <c r="I256" i="1"/>
  <c r="I369" i="1"/>
  <c r="C260" i="1"/>
  <c r="C189" i="1"/>
  <c r="C185" i="1"/>
  <c r="C583" i="1"/>
  <c r="C442" i="1"/>
  <c r="I368" i="1"/>
  <c r="C259" i="1"/>
  <c r="C188" i="1"/>
  <c r="C723" i="1"/>
  <c r="C679" i="1"/>
  <c r="C646" i="1"/>
  <c r="C441" i="1"/>
  <c r="I258" i="1"/>
  <c r="I187" i="1"/>
  <c r="C97" i="1"/>
  <c r="I367" i="1"/>
  <c r="C440" i="1"/>
  <c r="I257" i="1"/>
  <c r="C187" i="1"/>
  <c r="C572" i="1"/>
  <c r="C367" i="1"/>
  <c r="I186" i="1"/>
  <c r="C604" i="1"/>
  <c r="C596" i="1"/>
  <c r="C257" i="1"/>
  <c r="C186" i="1"/>
  <c r="I96" i="1"/>
  <c r="I449" i="1"/>
  <c r="C369" i="1"/>
  <c r="I259" i="1"/>
  <c r="I185" i="1"/>
  <c r="C96" i="1"/>
  <c r="C855" i="1"/>
  <c r="I95" i="1"/>
  <c r="C95" i="1"/>
  <c r="I516" i="1"/>
  <c r="I94" i="1"/>
  <c r="C516" i="1"/>
  <c r="C256" i="1"/>
  <c r="I98" i="1"/>
  <c r="I189" i="1"/>
  <c r="C94" i="1"/>
  <c r="C98" i="1"/>
  <c r="I188" i="1"/>
  <c r="I97" i="1"/>
  <c r="C688" i="1"/>
  <c r="I694" i="1"/>
  <c r="I607" i="1"/>
  <c r="I582" i="1"/>
  <c r="C501" i="1"/>
  <c r="C694" i="1"/>
  <c r="C607" i="1"/>
  <c r="C582" i="1"/>
  <c r="I852" i="1"/>
  <c r="I720" i="1"/>
  <c r="I660" i="1"/>
  <c r="I638" i="1"/>
  <c r="I614" i="1"/>
  <c r="I594" i="1"/>
  <c r="C852" i="1"/>
  <c r="C720" i="1"/>
  <c r="C660" i="1"/>
  <c r="C638" i="1"/>
  <c r="C614" i="1"/>
  <c r="C594" i="1"/>
  <c r="C360" i="1"/>
  <c r="C250" i="1"/>
  <c r="C246" i="1"/>
  <c r="I700" i="1"/>
  <c r="I684" i="1"/>
  <c r="I846" i="1"/>
  <c r="I675" i="1"/>
  <c r="I649" i="1"/>
  <c r="I624" i="1"/>
  <c r="I513" i="1"/>
  <c r="C427" i="1"/>
  <c r="I248" i="1"/>
  <c r="C846" i="1"/>
  <c r="I428" i="1"/>
  <c r="I250" i="1"/>
  <c r="C177" i="1"/>
  <c r="C137" i="1"/>
  <c r="I427" i="1"/>
  <c r="C359" i="1"/>
  <c r="C176" i="1"/>
  <c r="C136" i="1"/>
  <c r="C249" i="1"/>
  <c r="I179" i="1"/>
  <c r="I175" i="1"/>
  <c r="I139" i="1"/>
  <c r="I135" i="1"/>
  <c r="C513" i="1"/>
  <c r="I501" i="1"/>
  <c r="C248" i="1"/>
  <c r="C179" i="1"/>
  <c r="C175" i="1"/>
  <c r="C139" i="1"/>
  <c r="C135" i="1"/>
  <c r="I247" i="1"/>
  <c r="I178" i="1"/>
  <c r="C684" i="1"/>
  <c r="I361" i="1"/>
  <c r="C700" i="1"/>
  <c r="I429" i="1"/>
  <c r="C247" i="1"/>
  <c r="C178" i="1"/>
  <c r="C361" i="1"/>
  <c r="I136" i="1"/>
  <c r="I360" i="1"/>
  <c r="C80" i="1"/>
  <c r="C36" i="1"/>
  <c r="C675" i="1"/>
  <c r="C624" i="1"/>
  <c r="I177" i="1"/>
  <c r="I83" i="1"/>
  <c r="I79" i="1"/>
  <c r="I35" i="1"/>
  <c r="I359" i="1"/>
  <c r="I176" i="1"/>
  <c r="C83" i="1"/>
  <c r="C79" i="1"/>
  <c r="C35" i="1"/>
  <c r="C429" i="1"/>
  <c r="I82" i="1"/>
  <c r="I38" i="1"/>
  <c r="I34" i="1"/>
  <c r="I249" i="1"/>
  <c r="C649" i="1"/>
  <c r="C428" i="1"/>
  <c r="I138" i="1"/>
  <c r="C82" i="1"/>
  <c r="C38" i="1"/>
  <c r="C34" i="1"/>
  <c r="I81" i="1"/>
  <c r="I37" i="1"/>
  <c r="C138" i="1"/>
  <c r="I246" i="1"/>
  <c r="I137" i="1"/>
  <c r="C37" i="1"/>
  <c r="I36" i="1"/>
  <c r="I80" i="1"/>
  <c r="C81" i="1"/>
  <c r="C7" i="72"/>
  <c r="C13" i="72" s="1"/>
  <c r="C10" i="72"/>
  <c r="T15" i="77"/>
  <c r="U15" i="77"/>
  <c r="A61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3" i="72"/>
  <c r="I42" i="72"/>
  <c r="I41" i="72"/>
  <c r="I40" i="72"/>
  <c r="I36" i="72"/>
  <c r="I32" i="72"/>
  <c r="F278" i="1"/>
  <c r="F279" i="1"/>
  <c r="F726" i="1"/>
  <c r="F450" i="1"/>
  <c r="F451" i="1"/>
  <c r="F353" i="1"/>
  <c r="F380" i="1"/>
  <c r="F507" i="1"/>
  <c r="F84" i="1"/>
  <c r="F85" i="1"/>
  <c r="F86" i="1"/>
  <c r="F87" i="1"/>
  <c r="F88" i="1"/>
  <c r="F231" i="1"/>
  <c r="F232" i="1"/>
  <c r="F277" i="1"/>
  <c r="F234" i="1"/>
  <c r="F208" i="1"/>
  <c r="F209" i="1"/>
  <c r="V27" i="94" l="1"/>
  <c r="U27" i="94"/>
  <c r="B34" i="94"/>
  <c r="B34" i="95"/>
  <c r="K34" i="95" s="1"/>
  <c r="A64" i="72"/>
  <c r="A65" i="95"/>
  <c r="A62" i="61"/>
  <c r="A62" i="19"/>
  <c r="A70" i="94"/>
  <c r="A69" i="53"/>
  <c r="A68" i="78"/>
  <c r="A58" i="81"/>
  <c r="A61" i="58"/>
  <c r="A62" i="62"/>
  <c r="A58" i="80"/>
  <c r="A62" i="34"/>
  <c r="A61" i="20"/>
  <c r="A59" i="48"/>
  <c r="A61" i="33"/>
  <c r="A61" i="70"/>
  <c r="A60" i="44"/>
  <c r="A63" i="8"/>
  <c r="A62" i="18"/>
  <c r="A64" i="17"/>
  <c r="A64" i="56"/>
  <c r="A65" i="93"/>
  <c r="A70" i="91"/>
  <c r="A71" i="51"/>
  <c r="A70" i="86"/>
  <c r="A69" i="71"/>
  <c r="A70" i="31"/>
  <c r="A69" i="30"/>
  <c r="A70" i="87"/>
  <c r="A68" i="5"/>
  <c r="A68" i="6"/>
  <c r="A70" i="88"/>
  <c r="A70" i="7"/>
  <c r="A68" i="3"/>
  <c r="A65" i="55"/>
  <c r="A68" i="85"/>
  <c r="A69" i="54"/>
  <c r="A68" i="4"/>
  <c r="S30" i="94"/>
  <c r="V26" i="95"/>
  <c r="T26" i="95"/>
  <c r="S27" i="95"/>
  <c r="B31" i="62"/>
  <c r="I31" i="62" s="1"/>
  <c r="B25" i="62"/>
  <c r="B47" i="95"/>
  <c r="B52" i="94"/>
  <c r="B27" i="62"/>
  <c r="B48" i="95"/>
  <c r="B53" i="94"/>
  <c r="B26" i="62"/>
  <c r="C9" i="72"/>
  <c r="C8" i="72"/>
  <c r="F452" i="1"/>
  <c r="F276" i="1"/>
  <c r="F207" i="1"/>
  <c r="F206" i="1"/>
  <c r="F381" i="1"/>
  <c r="F235" i="1"/>
  <c r="F379" i="1"/>
  <c r="F205" i="1"/>
  <c r="F355" i="1"/>
  <c r="F275" i="1"/>
  <c r="F354" i="1"/>
  <c r="F423" i="1"/>
  <c r="F422" i="1"/>
  <c r="F421" i="1"/>
  <c r="F233" i="1"/>
  <c r="K61" i="93"/>
  <c r="K60" i="93"/>
  <c r="K59" i="93"/>
  <c r="K58" i="93"/>
  <c r="K57" i="93"/>
  <c r="K56" i="93"/>
  <c r="K55" i="93"/>
  <c r="K53" i="93"/>
  <c r="J51" i="93"/>
  <c r="K50" i="93"/>
  <c r="K49" i="93"/>
  <c r="K48" i="93"/>
  <c r="K47" i="93"/>
  <c r="K46" i="93"/>
  <c r="K45" i="93"/>
  <c r="K44" i="93"/>
  <c r="L43" i="93"/>
  <c r="K43" i="93"/>
  <c r="K42" i="93"/>
  <c r="K41" i="93"/>
  <c r="K40" i="93"/>
  <c r="K39" i="93"/>
  <c r="K38" i="93"/>
  <c r="B38" i="93"/>
  <c r="K35" i="93"/>
  <c r="D33" i="93"/>
  <c r="D32" i="93"/>
  <c r="D31" i="93"/>
  <c r="K31" i="93" s="1"/>
  <c r="G26" i="93"/>
  <c r="P10" i="93"/>
  <c r="M9" i="93"/>
  <c r="P7" i="93"/>
  <c r="R8" i="93"/>
  <c r="R9" i="93" s="1"/>
  <c r="R10" i="93" s="1"/>
  <c r="R11" i="93" s="1"/>
  <c r="R12" i="93" s="1"/>
  <c r="R13" i="93" s="1"/>
  <c r="R14" i="93" s="1"/>
  <c r="B6" i="93"/>
  <c r="N4" i="93"/>
  <c r="N5" i="93" s="1"/>
  <c r="L4" i="93"/>
  <c r="L5" i="93" s="1"/>
  <c r="C31" i="62" l="1"/>
  <c r="E31" i="62"/>
  <c r="B10" i="93"/>
  <c r="D34" i="93" s="1"/>
  <c r="T30" i="94"/>
  <c r="U30" i="94"/>
  <c r="S31" i="94"/>
  <c r="U31" i="94" s="1"/>
  <c r="U27" i="95"/>
  <c r="V27" i="95"/>
  <c r="S28" i="95"/>
  <c r="V28" i="95" s="1"/>
  <c r="K32" i="93"/>
  <c r="C48" i="95"/>
  <c r="E48" i="95"/>
  <c r="F48" i="95" s="1"/>
  <c r="G48" i="95" s="1"/>
  <c r="I48" i="95"/>
  <c r="I34" i="94"/>
  <c r="C34" i="94"/>
  <c r="K34" i="94"/>
  <c r="E34" i="94"/>
  <c r="F34" i="94" s="1"/>
  <c r="G34" i="94" s="1"/>
  <c r="I27" i="62"/>
  <c r="C27" i="62"/>
  <c r="E27" i="62"/>
  <c r="I52" i="94"/>
  <c r="C52" i="94"/>
  <c r="E52" i="94"/>
  <c r="F52" i="94" s="1"/>
  <c r="G52" i="94" s="1"/>
  <c r="E47" i="95"/>
  <c r="F47" i="95" s="1"/>
  <c r="G47" i="95" s="1"/>
  <c r="I47" i="95"/>
  <c r="C47" i="95"/>
  <c r="E25" i="62"/>
  <c r="C25" i="62"/>
  <c r="I25" i="62"/>
  <c r="K33" i="94"/>
  <c r="E53" i="94"/>
  <c r="F53" i="94" s="1"/>
  <c r="G53" i="94" s="1"/>
  <c r="I53" i="94"/>
  <c r="C53" i="94"/>
  <c r="I34" i="95"/>
  <c r="C34" i="95"/>
  <c r="E34" i="95"/>
  <c r="F34" i="95" s="1"/>
  <c r="G34" i="95" s="1"/>
  <c r="I26" i="62"/>
  <c r="C26" i="62"/>
  <c r="E26" i="62"/>
  <c r="I32" i="93"/>
  <c r="C32" i="93"/>
  <c r="E32" i="93"/>
  <c r="I38" i="93"/>
  <c r="C38" i="93"/>
  <c r="E38" i="93"/>
  <c r="L26" i="93"/>
  <c r="L25" i="93"/>
  <c r="L24" i="93"/>
  <c r="L12" i="93"/>
  <c r="M12" i="93" s="1"/>
  <c r="L13" i="93"/>
  <c r="L9" i="93"/>
  <c r="L11" i="93" s="1"/>
  <c r="B32" i="91"/>
  <c r="K66" i="91"/>
  <c r="K65" i="91"/>
  <c r="K64" i="91"/>
  <c r="K63" i="91"/>
  <c r="K62" i="91"/>
  <c r="K61" i="91"/>
  <c r="K60" i="91"/>
  <c r="K58" i="91"/>
  <c r="J56" i="91"/>
  <c r="K55" i="91"/>
  <c r="K54" i="91"/>
  <c r="K53" i="91"/>
  <c r="K51" i="91"/>
  <c r="K50" i="91"/>
  <c r="K49" i="91"/>
  <c r="L48" i="91"/>
  <c r="K48" i="91"/>
  <c r="K47" i="91"/>
  <c r="K46" i="91"/>
  <c r="K45" i="91"/>
  <c r="K44" i="91"/>
  <c r="K43" i="91"/>
  <c r="B43" i="91"/>
  <c r="K40" i="91"/>
  <c r="D33" i="91"/>
  <c r="D32" i="91"/>
  <c r="D31" i="91"/>
  <c r="K31" i="91" s="1"/>
  <c r="G26" i="91"/>
  <c r="A14" i="91"/>
  <c r="P10" i="91"/>
  <c r="M9" i="91"/>
  <c r="P7" i="91"/>
  <c r="R8" i="91"/>
  <c r="R9" i="91" s="1"/>
  <c r="R10" i="91" s="1"/>
  <c r="R11" i="91" s="1"/>
  <c r="R12" i="91" s="1"/>
  <c r="R13" i="91" s="1"/>
  <c r="R14" i="91" s="1"/>
  <c r="B6" i="91"/>
  <c r="N4" i="91"/>
  <c r="N5" i="91" s="1"/>
  <c r="L4" i="91"/>
  <c r="L5" i="91" s="1"/>
  <c r="B12" i="91" l="1"/>
  <c r="D34" i="91" s="1"/>
  <c r="C13" i="91"/>
  <c r="A58" i="91" s="1"/>
  <c r="S32" i="94"/>
  <c r="T32" i="94" s="1"/>
  <c r="M24" i="94" s="1"/>
  <c r="M25" i="94"/>
  <c r="S29" i="95"/>
  <c r="I32" i="91"/>
  <c r="E32" i="91"/>
  <c r="C32" i="91"/>
  <c r="L24" i="91"/>
  <c r="L26" i="91"/>
  <c r="L25" i="91"/>
  <c r="I43" i="91"/>
  <c r="C43" i="91"/>
  <c r="E43" i="91"/>
  <c r="A2" i="91"/>
  <c r="A2" i="93"/>
  <c r="A2" i="87"/>
  <c r="K32" i="91"/>
  <c r="O7" i="93"/>
  <c r="O8" i="93" s="1"/>
  <c r="N12" i="93"/>
  <c r="U8" i="93"/>
  <c r="U17" i="93" s="1"/>
  <c r="T8" i="93"/>
  <c r="T17" i="93" s="1"/>
  <c r="S8" i="93"/>
  <c r="S17" i="93" s="1"/>
  <c r="A2" i="88"/>
  <c r="L9" i="91"/>
  <c r="L11" i="91" s="1"/>
  <c r="L13" i="91"/>
  <c r="L12" i="91"/>
  <c r="M12" i="91" s="1"/>
  <c r="D59" i="91"/>
  <c r="V32" i="94" l="1"/>
  <c r="M26" i="94" s="1"/>
  <c r="M27" i="94" s="1"/>
  <c r="M29" i="94"/>
  <c r="T29" i="95"/>
  <c r="S30" i="95"/>
  <c r="M13" i="93"/>
  <c r="R32" i="93"/>
  <c r="S9" i="93"/>
  <c r="R30" i="93"/>
  <c r="R29" i="93"/>
  <c r="R26" i="93"/>
  <c r="R21" i="93"/>
  <c r="S21" i="93" s="1"/>
  <c r="T21" i="93" s="1"/>
  <c r="R24" i="93"/>
  <c r="R31" i="93"/>
  <c r="R25" i="93"/>
  <c r="R22" i="93"/>
  <c r="R27" i="93"/>
  <c r="T9" i="93"/>
  <c r="R23" i="93"/>
  <c r="R28" i="93"/>
  <c r="U9" i="93"/>
  <c r="N12" i="91"/>
  <c r="U8" i="91"/>
  <c r="U17" i="91" s="1"/>
  <c r="T8" i="91"/>
  <c r="T17" i="91" s="1"/>
  <c r="S8" i="91"/>
  <c r="S17" i="91" s="1"/>
  <c r="O7" i="91"/>
  <c r="O8" i="91" s="1"/>
  <c r="F443" i="1"/>
  <c r="Z446" i="1"/>
  <c r="Z721" i="1"/>
  <c r="R8" i="88"/>
  <c r="R9" i="88" s="1"/>
  <c r="R10" i="88" s="1"/>
  <c r="R11" i="88" s="1"/>
  <c r="R12" i="88" s="1"/>
  <c r="R13" i="88" s="1"/>
  <c r="R14" i="88" s="1"/>
  <c r="K66" i="88"/>
  <c r="K65" i="88"/>
  <c r="K64" i="88"/>
  <c r="K63" i="88"/>
  <c r="K62" i="88"/>
  <c r="K61" i="88"/>
  <c r="K60" i="88"/>
  <c r="K58" i="88"/>
  <c r="J56" i="88"/>
  <c r="K55" i="88"/>
  <c r="K54" i="88"/>
  <c r="K53" i="88"/>
  <c r="K51" i="88"/>
  <c r="K50" i="88"/>
  <c r="K49" i="88"/>
  <c r="L48" i="88"/>
  <c r="K48" i="88"/>
  <c r="K47" i="88"/>
  <c r="K46" i="88"/>
  <c r="K45" i="88"/>
  <c r="K44" i="88"/>
  <c r="K43" i="88"/>
  <c r="B43" i="88"/>
  <c r="K40" i="88"/>
  <c r="D35" i="88"/>
  <c r="K35" i="88" s="1"/>
  <c r="D33" i="88"/>
  <c r="D32" i="88"/>
  <c r="B32" i="88"/>
  <c r="D31" i="88"/>
  <c r="K31" i="88" s="1"/>
  <c r="G26" i="88"/>
  <c r="A14" i="88"/>
  <c r="P10" i="88"/>
  <c r="M9" i="88"/>
  <c r="P7" i="88"/>
  <c r="C13" i="88"/>
  <c r="A58" i="88" s="1"/>
  <c r="B6" i="88"/>
  <c r="N4" i="88"/>
  <c r="N5" i="88" s="1"/>
  <c r="L4" i="88"/>
  <c r="L5" i="88" s="1"/>
  <c r="R8" i="87"/>
  <c r="R9" i="87" s="1"/>
  <c r="R10" i="87" s="1"/>
  <c r="R11" i="87" s="1"/>
  <c r="R12" i="87" s="1"/>
  <c r="R13" i="87" s="1"/>
  <c r="R14" i="87" s="1"/>
  <c r="K66" i="87"/>
  <c r="K65" i="87"/>
  <c r="K64" i="87"/>
  <c r="K63" i="87"/>
  <c r="K62" i="87"/>
  <c r="K61" i="87"/>
  <c r="K60" i="87"/>
  <c r="K58" i="87"/>
  <c r="J56" i="87"/>
  <c r="K55" i="87"/>
  <c r="K54" i="87"/>
  <c r="K53" i="87"/>
  <c r="K52" i="87"/>
  <c r="K51" i="87"/>
  <c r="K50" i="87"/>
  <c r="K49" i="87"/>
  <c r="L48" i="87"/>
  <c r="K48" i="87"/>
  <c r="K47" i="87"/>
  <c r="K46" i="87"/>
  <c r="K45" i="87"/>
  <c r="K44" i="87"/>
  <c r="K43" i="87"/>
  <c r="B43" i="87"/>
  <c r="K40" i="87"/>
  <c r="D35" i="87"/>
  <c r="K35" i="87" s="1"/>
  <c r="D33" i="87"/>
  <c r="D32" i="87"/>
  <c r="B32" i="87"/>
  <c r="D31" i="87"/>
  <c r="K31" i="87" s="1"/>
  <c r="G26" i="87"/>
  <c r="A14" i="87"/>
  <c r="P10" i="87"/>
  <c r="M9" i="87"/>
  <c r="P7" i="87"/>
  <c r="B12" i="87"/>
  <c r="D34" i="87" s="1"/>
  <c r="B6" i="87"/>
  <c r="N4" i="87"/>
  <c r="N5" i="87" s="1"/>
  <c r="L4" i="87"/>
  <c r="L5" i="87" s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94" i="1"/>
  <c r="Z95" i="1"/>
  <c r="Z96" i="1"/>
  <c r="Z97" i="1"/>
  <c r="Z98" i="1"/>
  <c r="Z99" i="1"/>
  <c r="Z100" i="1"/>
  <c r="Z101" i="1"/>
  <c r="Z102" i="1"/>
  <c r="Z103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71" i="1"/>
  <c r="Z272" i="1"/>
  <c r="Z273" i="1"/>
  <c r="Z274" i="1"/>
  <c r="Z280" i="1"/>
  <c r="Z281" i="1"/>
  <c r="Z282" i="1"/>
  <c r="Z283" i="1"/>
  <c r="Z284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6" i="1"/>
  <c r="Z377" i="1"/>
  <c r="Z378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4" i="1"/>
  <c r="Z505" i="1"/>
  <c r="Z506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2" i="1"/>
  <c r="Z643" i="1"/>
  <c r="Z644" i="1"/>
  <c r="Z645" i="1"/>
  <c r="Z646" i="1"/>
  <c r="Z647" i="1"/>
  <c r="Z648" i="1"/>
  <c r="Z649" i="1"/>
  <c r="Z650" i="1"/>
  <c r="Z651" i="1"/>
  <c r="Z652" i="1"/>
  <c r="Z654" i="1"/>
  <c r="Z655" i="1"/>
  <c r="Z656" i="1"/>
  <c r="Z657" i="1"/>
  <c r="Z658" i="1"/>
  <c r="Z659" i="1"/>
  <c r="Z660" i="1"/>
  <c r="Z661" i="1"/>
  <c r="Z662" i="1"/>
  <c r="Z663" i="1"/>
  <c r="Z664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1" i="1"/>
  <c r="Z715" i="1"/>
  <c r="Z716" i="1"/>
  <c r="Z717" i="1"/>
  <c r="Z718" i="1"/>
  <c r="Z719" i="1"/>
  <c r="Z720" i="1"/>
  <c r="Z722" i="1"/>
  <c r="Z723" i="1"/>
  <c r="Z724" i="1"/>
  <c r="Z725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85" i="1"/>
  <c r="Z786" i="1"/>
  <c r="Z787" i="1"/>
  <c r="Z788" i="1"/>
  <c r="Z789" i="1"/>
  <c r="Z790" i="1"/>
  <c r="Z791" i="1"/>
  <c r="Z792" i="1"/>
  <c r="Z793" i="1"/>
  <c r="Z794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1" i="1"/>
  <c r="F888" i="1"/>
  <c r="L73" i="56"/>
  <c r="K7" i="1"/>
  <c r="J7" i="1" s="1"/>
  <c r="L77" i="31"/>
  <c r="F370" i="1"/>
  <c r="F372" i="1"/>
  <c r="F54" i="1"/>
  <c r="F55" i="1"/>
  <c r="F56" i="1"/>
  <c r="F57" i="1"/>
  <c r="F58" i="1"/>
  <c r="F262" i="1"/>
  <c r="F264" i="1"/>
  <c r="F190" i="1"/>
  <c r="F191" i="1"/>
  <c r="F193" i="1"/>
  <c r="F194" i="1"/>
  <c r="O7" i="78"/>
  <c r="P7" i="33"/>
  <c r="B31" i="33" s="1"/>
  <c r="P7" i="4"/>
  <c r="F222" i="1"/>
  <c r="F729" i="1"/>
  <c r="F394" i="1"/>
  <c r="F396" i="1"/>
  <c r="F518" i="1"/>
  <c r="F300" i="1"/>
  <c r="F886" i="1"/>
  <c r="F733" i="1"/>
  <c r="O7" i="53"/>
  <c r="B47" i="53" s="1"/>
  <c r="O7" i="81"/>
  <c r="O7" i="80"/>
  <c r="O8" i="62"/>
  <c r="O5" i="62" s="1"/>
  <c r="P7" i="62"/>
  <c r="B30" i="8"/>
  <c r="B31" i="56"/>
  <c r="L24" i="56"/>
  <c r="P7" i="56"/>
  <c r="B32" i="31"/>
  <c r="L48" i="31"/>
  <c r="P7" i="31"/>
  <c r="B32" i="4"/>
  <c r="B32" i="86"/>
  <c r="L48" i="86"/>
  <c r="P7" i="86"/>
  <c r="B33" i="72"/>
  <c r="I33" i="72" s="1"/>
  <c r="K35" i="72"/>
  <c r="N5" i="72"/>
  <c r="O7" i="72"/>
  <c r="F728" i="1"/>
  <c r="K66" i="86"/>
  <c r="K65" i="86"/>
  <c r="K64" i="86"/>
  <c r="K63" i="86"/>
  <c r="A61" i="3"/>
  <c r="A61" i="6" s="1"/>
  <c r="K62" i="86"/>
  <c r="K61" i="86"/>
  <c r="K60" i="86"/>
  <c r="K58" i="86"/>
  <c r="J56" i="86"/>
  <c r="K55" i="86"/>
  <c r="K54" i="86"/>
  <c r="K53" i="86"/>
  <c r="K52" i="86"/>
  <c r="K51" i="86"/>
  <c r="K50" i="86"/>
  <c r="C53" i="72"/>
  <c r="A49" i="85"/>
  <c r="K49" i="86"/>
  <c r="K48" i="86"/>
  <c r="C52" i="72"/>
  <c r="K47" i="86"/>
  <c r="C51" i="72"/>
  <c r="K46" i="86"/>
  <c r="K45" i="86"/>
  <c r="C49" i="72"/>
  <c r="K44" i="86"/>
  <c r="C48" i="72"/>
  <c r="K43" i="86"/>
  <c r="B43" i="86"/>
  <c r="A43" i="3"/>
  <c r="A43" i="7" s="1"/>
  <c r="C43" i="72"/>
  <c r="K40" i="86"/>
  <c r="A39" i="3"/>
  <c r="A39" i="94" s="1"/>
  <c r="A38" i="3"/>
  <c r="A38" i="94" s="1"/>
  <c r="D35" i="86"/>
  <c r="K35" i="86" s="1"/>
  <c r="D33" i="86"/>
  <c r="D32" i="86"/>
  <c r="D31" i="86"/>
  <c r="K31" i="86" s="1"/>
  <c r="G28" i="72"/>
  <c r="F28" i="72"/>
  <c r="C28" i="72"/>
  <c r="G26" i="86"/>
  <c r="A14" i="86"/>
  <c r="G11" i="72"/>
  <c r="P10" i="86"/>
  <c r="M9" i="86"/>
  <c r="G8" i="72"/>
  <c r="R8" i="86"/>
  <c r="R9" i="86" s="1"/>
  <c r="R10" i="86" s="1"/>
  <c r="R11" i="86" s="1"/>
  <c r="R12" i="86" s="1"/>
  <c r="R13" i="86" s="1"/>
  <c r="R14" i="86" s="1"/>
  <c r="B6" i="86"/>
  <c r="N4" i="86"/>
  <c r="N5" i="86" s="1"/>
  <c r="L4" i="86"/>
  <c r="L5" i="86" s="1"/>
  <c r="E3" i="3"/>
  <c r="D3" i="3"/>
  <c r="C13" i="85"/>
  <c r="A56" i="85" s="1"/>
  <c r="B12" i="85"/>
  <c r="D34" i="85" s="1"/>
  <c r="F529" i="1"/>
  <c r="L61" i="62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D33" i="85"/>
  <c r="K33" i="85" s="1"/>
  <c r="D32" i="85"/>
  <c r="K32" i="85" s="1"/>
  <c r="B32" i="85"/>
  <c r="D31" i="85"/>
  <c r="K31" i="85" s="1"/>
  <c r="C32" i="72"/>
  <c r="G26" i="85"/>
  <c r="A14" i="85"/>
  <c r="P10" i="85"/>
  <c r="M9" i="85"/>
  <c r="P7" i="85"/>
  <c r="B6" i="85"/>
  <c r="K5" i="85"/>
  <c r="M4" i="85"/>
  <c r="M5" i="85"/>
  <c r="K4" i="85"/>
  <c r="L48" i="8"/>
  <c r="F689" i="1"/>
  <c r="F680" i="1"/>
  <c r="G679" i="1"/>
  <c r="F670" i="1"/>
  <c r="G669" i="1"/>
  <c r="G625" i="1"/>
  <c r="G626" i="1"/>
  <c r="F604" i="1"/>
  <c r="F603" i="1"/>
  <c r="F596" i="1"/>
  <c r="F693" i="1"/>
  <c r="F674" i="1"/>
  <c r="F663" i="1"/>
  <c r="F628" i="1"/>
  <c r="F606" i="1"/>
  <c r="F597" i="1"/>
  <c r="B35" i="34"/>
  <c r="B33" i="48"/>
  <c r="B34" i="44"/>
  <c r="B35" i="33"/>
  <c r="B35" i="70"/>
  <c r="B35" i="20"/>
  <c r="B35" i="17"/>
  <c r="B35" i="19"/>
  <c r="B35" i="18"/>
  <c r="B36" i="8"/>
  <c r="B37" i="56"/>
  <c r="B43" i="5"/>
  <c r="B43" i="6"/>
  <c r="B43" i="71"/>
  <c r="B43" i="31"/>
  <c r="B43" i="30"/>
  <c r="B43" i="4"/>
  <c r="B43" i="3"/>
  <c r="F669" i="1"/>
  <c r="F688" i="1"/>
  <c r="G688" i="1"/>
  <c r="F679" i="1"/>
  <c r="F595" i="1"/>
  <c r="F683" i="1"/>
  <c r="F626" i="1"/>
  <c r="F586" i="1"/>
  <c r="F639" i="1"/>
  <c r="F204" i="1"/>
  <c r="F878" i="1"/>
  <c r="F651" i="1"/>
  <c r="F572" i="1"/>
  <c r="F637" i="1"/>
  <c r="F202" i="1"/>
  <c r="F203" i="1"/>
  <c r="F809" i="1"/>
  <c r="F378" i="1"/>
  <c r="F195" i="1"/>
  <c r="F515" i="1"/>
  <c r="F382" i="1"/>
  <c r="F199" i="1"/>
  <c r="F506" i="1"/>
  <c r="F648" i="1"/>
  <c r="F368" i="1"/>
  <c r="F96" i="1"/>
  <c r="F187" i="1"/>
  <c r="F635" i="1"/>
  <c r="F369" i="1"/>
  <c r="F97" i="1"/>
  <c r="F188" i="1"/>
  <c r="F95" i="1"/>
  <c r="F646" i="1"/>
  <c r="F583" i="1"/>
  <c r="F98" i="1"/>
  <c r="F304" i="1"/>
  <c r="F659" i="1"/>
  <c r="F186" i="1"/>
  <c r="F185" i="1"/>
  <c r="F397" i="1"/>
  <c r="F305" i="1"/>
  <c r="F575" i="1"/>
  <c r="F321" i="1"/>
  <c r="F306" i="1"/>
  <c r="F94" i="1"/>
  <c r="F322" i="1"/>
  <c r="F574" i="1"/>
  <c r="B44" i="72"/>
  <c r="I44" i="72" s="1"/>
  <c r="Q8" i="81"/>
  <c r="Q9" i="81" s="1"/>
  <c r="Q10" i="81" s="1"/>
  <c r="Q11" i="81" s="1"/>
  <c r="Q12" i="81" s="1"/>
  <c r="Q13" i="81" s="1"/>
  <c r="Q14" i="81" s="1"/>
  <c r="B32" i="71"/>
  <c r="K4" i="30"/>
  <c r="K5" i="30" s="1"/>
  <c r="A15" i="53"/>
  <c r="B19" i="57"/>
  <c r="F832" i="1"/>
  <c r="B75" i="42"/>
  <c r="B7" i="57"/>
  <c r="B8" i="57"/>
  <c r="B9" i="78"/>
  <c r="D58" i="78" s="1"/>
  <c r="A56" i="78" s="1"/>
  <c r="B9" i="53"/>
  <c r="D59" i="53" s="1"/>
  <c r="A57" i="53" s="1"/>
  <c r="J54" i="51"/>
  <c r="A14" i="51"/>
  <c r="A14" i="55"/>
  <c r="A14" i="7"/>
  <c r="A13" i="61"/>
  <c r="A13" i="62"/>
  <c r="A12" i="58"/>
  <c r="A13" i="34"/>
  <c r="A11" i="48"/>
  <c r="B7" i="44"/>
  <c r="B8" i="44" s="1"/>
  <c r="B9" i="44" s="1"/>
  <c r="D30" i="44" s="1"/>
  <c r="A11" i="44"/>
  <c r="A11" i="33"/>
  <c r="D31" i="70"/>
  <c r="A11" i="70"/>
  <c r="A12" i="20"/>
  <c r="A13" i="17"/>
  <c r="A13" i="19"/>
  <c r="A13" i="18"/>
  <c r="A13" i="8"/>
  <c r="A14" i="54"/>
  <c r="B12" i="5"/>
  <c r="D34" i="5" s="1"/>
  <c r="A14" i="6"/>
  <c r="A14" i="71"/>
  <c r="A14" i="31"/>
  <c r="B12" i="31"/>
  <c r="D34" i="31" s="1"/>
  <c r="B9" i="30"/>
  <c r="B9" i="4"/>
  <c r="A14" i="4"/>
  <c r="A13" i="72"/>
  <c r="B11" i="72"/>
  <c r="D35" i="72" s="1"/>
  <c r="O7" i="34"/>
  <c r="O5" i="34"/>
  <c r="M5" i="34"/>
  <c r="O7" i="48"/>
  <c r="O5" i="48"/>
  <c r="M5" i="48"/>
  <c r="M6" i="48"/>
  <c r="O7" i="33"/>
  <c r="O8" i="33" s="1"/>
  <c r="B25" i="33" s="1"/>
  <c r="O5" i="33"/>
  <c r="O6" i="33" s="1"/>
  <c r="M5" i="33"/>
  <c r="O7" i="44"/>
  <c r="O8" i="44" s="1"/>
  <c r="O5" i="44"/>
  <c r="M5" i="44"/>
  <c r="G12" i="1"/>
  <c r="G14" i="1"/>
  <c r="G15" i="1"/>
  <c r="G16" i="1"/>
  <c r="G17" i="1"/>
  <c r="G11" i="1"/>
  <c r="G10" i="1"/>
  <c r="G9" i="1"/>
  <c r="G8" i="1"/>
  <c r="G7" i="1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G24" i="81"/>
  <c r="O10" i="81"/>
  <c r="L9" i="81"/>
  <c r="N4" i="81"/>
  <c r="N5" i="81" s="1"/>
  <c r="J52" i="80"/>
  <c r="J51" i="80"/>
  <c r="J50" i="80"/>
  <c r="J49" i="80"/>
  <c r="J48" i="80"/>
  <c r="J47" i="80"/>
  <c r="J46" i="80"/>
  <c r="J45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G24" i="80"/>
  <c r="O10" i="80"/>
  <c r="L9" i="80"/>
  <c r="N4" i="80"/>
  <c r="N5" i="80" s="1"/>
  <c r="Q8" i="53"/>
  <c r="Q9" i="53" s="1"/>
  <c r="Q10" i="53" s="1"/>
  <c r="Q11" i="53" s="1"/>
  <c r="Q12" i="53" s="1"/>
  <c r="Q13" i="53" s="1"/>
  <c r="Q18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J52" i="53"/>
  <c r="J51" i="53"/>
  <c r="J50" i="53"/>
  <c r="D8" i="57"/>
  <c r="E8" i="57" s="1"/>
  <c r="F8" i="57" s="1"/>
  <c r="D7" i="57"/>
  <c r="E7" i="57" s="1"/>
  <c r="F7" i="57" s="1"/>
  <c r="J55" i="61"/>
  <c r="J55" i="62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B31" i="58" s="1"/>
  <c r="N7" i="58"/>
  <c r="N8" i="58" s="1"/>
  <c r="N5" i="58" s="1"/>
  <c r="N4" i="58"/>
  <c r="B29" i="34"/>
  <c r="B27" i="48"/>
  <c r="B28" i="44"/>
  <c r="D29" i="34"/>
  <c r="J29" i="34" s="1"/>
  <c r="D28" i="34"/>
  <c r="J28" i="34" s="1"/>
  <c r="O8" i="34"/>
  <c r="B25" i="34" s="1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D27" i="44"/>
  <c r="J27" i="44" s="1"/>
  <c r="D26" i="48"/>
  <c r="J26" i="48" s="1"/>
  <c r="O8" i="48"/>
  <c r="B23" i="48" s="1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O6" i="44"/>
  <c r="M6" i="44"/>
  <c r="P7" i="44"/>
  <c r="B30" i="44" s="1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G23" i="33"/>
  <c r="K55" i="17"/>
  <c r="K55" i="19"/>
  <c r="K55" i="18"/>
  <c r="K57" i="56"/>
  <c r="B29" i="33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30" i="56"/>
  <c r="K30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31" i="56"/>
  <c r="K48" i="70"/>
  <c r="K49" i="70"/>
  <c r="K50" i="70"/>
  <c r="K51" i="70"/>
  <c r="K52" i="70"/>
  <c r="K53" i="70"/>
  <c r="K54" i="70"/>
  <c r="K55" i="70"/>
  <c r="K56" i="70"/>
  <c r="B29" i="70"/>
  <c r="O5" i="70"/>
  <c r="O6" i="70"/>
  <c r="M5" i="70"/>
  <c r="M6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D29" i="20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F624" i="1"/>
  <c r="F623" i="1"/>
  <c r="F656" i="1"/>
  <c r="F649" i="1"/>
  <c r="F645" i="1"/>
  <c r="F644" i="1"/>
  <c r="F633" i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F601" i="1"/>
  <c r="F608" i="1"/>
  <c r="F607" i="1"/>
  <c r="F605" i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O5" i="17"/>
  <c r="O6" i="17" s="1"/>
  <c r="M5" i="17"/>
  <c r="M6" i="17" s="1"/>
  <c r="K36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5" i="56"/>
  <c r="K56" i="56"/>
  <c r="K58" i="56"/>
  <c r="K59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O5" i="19"/>
  <c r="O6" i="19"/>
  <c r="M5" i="19"/>
  <c r="M6" i="19"/>
  <c r="O5" i="18"/>
  <c r="O6" i="18" s="1"/>
  <c r="M5" i="18"/>
  <c r="M6" i="18" s="1"/>
  <c r="F593" i="1"/>
  <c r="F592" i="1"/>
  <c r="N5" i="8"/>
  <c r="N6" i="8"/>
  <c r="L5" i="8"/>
  <c r="L6" i="8"/>
  <c r="K38" i="56"/>
  <c r="K39" i="56"/>
  <c r="K40" i="56"/>
  <c r="K41" i="56"/>
  <c r="K42" i="56"/>
  <c r="D32" i="56"/>
  <c r="N5" i="56"/>
  <c r="N6" i="56" s="1"/>
  <c r="L5" i="56"/>
  <c r="L6" i="56" s="1"/>
  <c r="O7" i="56"/>
  <c r="O8" i="56" s="1"/>
  <c r="J57" i="51"/>
  <c r="J56" i="51"/>
  <c r="J55" i="51"/>
  <c r="J53" i="51"/>
  <c r="J52" i="51"/>
  <c r="J51" i="51"/>
  <c r="J50" i="51"/>
  <c r="J49" i="51"/>
  <c r="J48" i="51"/>
  <c r="J47" i="51"/>
  <c r="J46" i="51"/>
  <c r="J51" i="55"/>
  <c r="J50" i="55"/>
  <c r="J45" i="55"/>
  <c r="J44" i="55"/>
  <c r="J42" i="7"/>
  <c r="J52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B32" i="6"/>
  <c r="D32" i="6"/>
  <c r="K32" i="6" s="1"/>
  <c r="K51" i="6"/>
  <c r="K52" i="6"/>
  <c r="K44" i="6"/>
  <c r="K45" i="6"/>
  <c r="K46" i="6"/>
  <c r="K47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J56" i="31"/>
  <c r="K45" i="31"/>
  <c r="K46" i="31"/>
  <c r="K47" i="31"/>
  <c r="K48" i="31"/>
  <c r="K44" i="31"/>
  <c r="D32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J53" i="4"/>
  <c r="B32" i="30"/>
  <c r="D32" i="30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D32" i="4"/>
  <c r="M4" i="4"/>
  <c r="M5" i="4" s="1"/>
  <c r="K4" i="4"/>
  <c r="K5" i="4" s="1"/>
  <c r="K54" i="3"/>
  <c r="K44" i="3"/>
  <c r="K45" i="3"/>
  <c r="K46" i="3"/>
  <c r="K47" i="3"/>
  <c r="K48" i="3"/>
  <c r="K49" i="3"/>
  <c r="K50" i="3"/>
  <c r="B32" i="3"/>
  <c r="D75" i="42"/>
  <c r="E75" i="42" s="1"/>
  <c r="M4" i="3"/>
  <c r="M5" i="3" s="1"/>
  <c r="K4" i="3"/>
  <c r="K5" i="3" s="1"/>
  <c r="F83" i="1"/>
  <c r="F82" i="1"/>
  <c r="F80" i="1"/>
  <c r="F79" i="1"/>
  <c r="F78" i="1"/>
  <c r="F77" i="1"/>
  <c r="F76" i="1"/>
  <c r="F74" i="1"/>
  <c r="F73" i="1"/>
  <c r="F72" i="1"/>
  <c r="F70" i="1"/>
  <c r="G69" i="1"/>
  <c r="F68" i="1"/>
  <c r="F66" i="1"/>
  <c r="F184" i="1"/>
  <c r="F182" i="1"/>
  <c r="F174" i="1"/>
  <c r="F173" i="1"/>
  <c r="F171" i="1"/>
  <c r="F170" i="1"/>
  <c r="F168" i="1"/>
  <c r="F167" i="1"/>
  <c r="F166" i="1"/>
  <c r="G165" i="1"/>
  <c r="F163" i="1"/>
  <c r="F161" i="1"/>
  <c r="F159" i="1"/>
  <c r="F156" i="1"/>
  <c r="F154" i="1"/>
  <c r="F150" i="1"/>
  <c r="K4" i="72"/>
  <c r="K5" i="72" s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E60" i="72"/>
  <c r="E53" i="72"/>
  <c r="E54" i="72"/>
  <c r="F836" i="1"/>
  <c r="D22" i="57"/>
  <c r="E22" i="57" s="1"/>
  <c r="D21" i="57"/>
  <c r="E21" i="57" s="1"/>
  <c r="B20" i="57"/>
  <c r="D20" i="57"/>
  <c r="E20" i="57" s="1"/>
  <c r="D19" i="57"/>
  <c r="E19" i="57" s="1"/>
  <c r="D18" i="57"/>
  <c r="E18" i="57" s="1"/>
  <c r="F830" i="1"/>
  <c r="F829" i="1"/>
  <c r="F831" i="1"/>
  <c r="F827" i="1"/>
  <c r="F826" i="1"/>
  <c r="F825" i="1"/>
  <c r="F709" i="1"/>
  <c r="F824" i="1"/>
  <c r="F819" i="1"/>
  <c r="F695" i="1"/>
  <c r="G509" i="1"/>
  <c r="F49" i="78"/>
  <c r="F60" i="85"/>
  <c r="G60" i="85" s="1"/>
  <c r="F59" i="6"/>
  <c r="F61" i="5"/>
  <c r="E51" i="72"/>
  <c r="E52" i="72"/>
  <c r="E48" i="72"/>
  <c r="E49" i="72"/>
  <c r="E50" i="72"/>
  <c r="F50" i="55"/>
  <c r="F51" i="55"/>
  <c r="F632" i="1"/>
  <c r="F630" i="1"/>
  <c r="F650" i="1"/>
  <c r="F661" i="1"/>
  <c r="F662" i="1"/>
  <c r="F640" i="1"/>
  <c r="F652" i="1"/>
  <c r="F664" i="1"/>
  <c r="F673" i="1"/>
  <c r="F684" i="1"/>
  <c r="F692" i="1"/>
  <c r="F668" i="1"/>
  <c r="F690" i="1"/>
  <c r="F818" i="1"/>
  <c r="F61" i="78"/>
  <c r="F700" i="1"/>
  <c r="F696" i="1"/>
  <c r="F697" i="1"/>
  <c r="B76" i="57"/>
  <c r="D76" i="57"/>
  <c r="F54" i="85"/>
  <c r="G54" i="85" s="1"/>
  <c r="F54" i="7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G28" i="78"/>
  <c r="O10" i="78"/>
  <c r="L9" i="78"/>
  <c r="N4" i="78"/>
  <c r="N5" i="78" s="1"/>
  <c r="B6" i="57"/>
  <c r="F43" i="70"/>
  <c r="D33" i="71"/>
  <c r="K33" i="71" s="1"/>
  <c r="B44" i="57"/>
  <c r="B45" i="57"/>
  <c r="B46" i="57"/>
  <c r="B47" i="57"/>
  <c r="F571" i="1"/>
  <c r="F569" i="1"/>
  <c r="F568" i="1"/>
  <c r="F570" i="1"/>
  <c r="F704" i="1"/>
  <c r="F294" i="1"/>
  <c r="F311" i="1"/>
  <c r="F313" i="1"/>
  <c r="F327" i="1"/>
  <c r="F314" i="1"/>
  <c r="F838" i="1"/>
  <c r="F815" i="1"/>
  <c r="F816" i="1"/>
  <c r="F737" i="1"/>
  <c r="F740" i="1"/>
  <c r="F741" i="1"/>
  <c r="F746" i="1"/>
  <c r="F762" i="1"/>
  <c r="F763" i="1"/>
  <c r="F758" i="1"/>
  <c r="F764" i="1"/>
  <c r="F761" i="1"/>
  <c r="F753" i="1"/>
  <c r="F749" i="1"/>
  <c r="F755" i="1"/>
  <c r="F750" i="1"/>
  <c r="F751" i="1"/>
  <c r="F9" i="1"/>
  <c r="F35" i="1"/>
  <c r="F15" i="1"/>
  <c r="F10" i="1"/>
  <c r="F21" i="1"/>
  <c r="F22" i="1"/>
  <c r="F37" i="1"/>
  <c r="F17" i="1"/>
  <c r="F775" i="1"/>
  <c r="F23" i="1"/>
  <c r="F38" i="1"/>
  <c r="F33" i="1"/>
  <c r="F807" i="1"/>
  <c r="F707" i="1"/>
  <c r="F557" i="1"/>
  <c r="F812" i="1"/>
  <c r="F808" i="1"/>
  <c r="F731" i="1"/>
  <c r="F734" i="1"/>
  <c r="F715" i="1"/>
  <c r="F716" i="1"/>
  <c r="F542" i="1"/>
  <c r="F545" i="1"/>
  <c r="F246" i="1"/>
  <c r="F767" i="1"/>
  <c r="F252" i="1"/>
  <c r="F247" i="1"/>
  <c r="F237" i="1"/>
  <c r="F253" i="1"/>
  <c r="F248" i="1"/>
  <c r="F238" i="1"/>
  <c r="F218" i="1"/>
  <c r="F254" i="1"/>
  <c r="F249" i="1"/>
  <c r="F239" i="1"/>
  <c r="F244" i="1"/>
  <c r="F219" i="1"/>
  <c r="F250" i="1"/>
  <c r="F44" i="1"/>
  <c r="F39" i="1"/>
  <c r="F45" i="1"/>
  <c r="F41" i="1"/>
  <c r="F47" i="1"/>
  <c r="F42" i="1"/>
  <c r="F43" i="1"/>
  <c r="F527" i="1"/>
  <c r="F362" i="1"/>
  <c r="F336" i="1"/>
  <c r="F350" i="1"/>
  <c r="F356" i="1"/>
  <c r="F335" i="1"/>
  <c r="F363" i="1"/>
  <c r="F339" i="1"/>
  <c r="F351" i="1"/>
  <c r="F357" i="1"/>
  <c r="F338" i="1"/>
  <c r="F364" i="1"/>
  <c r="F343" i="1"/>
  <c r="F388" i="1"/>
  <c r="F385" i="1"/>
  <c r="F400" i="1"/>
  <c r="F401" i="1"/>
  <c r="F402" i="1"/>
  <c r="F536" i="1"/>
  <c r="F535" i="1"/>
  <c r="F538" i="1"/>
  <c r="F140" i="1"/>
  <c r="F125" i="1"/>
  <c r="F116" i="1"/>
  <c r="F146" i="1"/>
  <c r="F122" i="1"/>
  <c r="F132" i="1"/>
  <c r="F128" i="1"/>
  <c r="F118" i="1"/>
  <c r="F148" i="1"/>
  <c r="F144" i="1"/>
  <c r="F139" i="1"/>
  <c r="F124" i="1"/>
  <c r="F129" i="1"/>
  <c r="F134" i="1"/>
  <c r="F119" i="1"/>
  <c r="F149" i="1"/>
  <c r="F549" i="1"/>
  <c r="F548" i="1"/>
  <c r="B33" i="57"/>
  <c r="B34" i="57"/>
  <c r="B36" i="57"/>
  <c r="B37" i="57"/>
  <c r="F463" i="1"/>
  <c r="C45" i="72"/>
  <c r="C46" i="72"/>
  <c r="F454" i="1"/>
  <c r="F458" i="1"/>
  <c r="F459" i="1"/>
  <c r="C47" i="72"/>
  <c r="F614" i="1"/>
  <c r="F612" i="1"/>
  <c r="F620" i="1"/>
  <c r="F619" i="1"/>
  <c r="F610" i="1"/>
  <c r="F609" i="1"/>
  <c r="F611" i="1"/>
  <c r="F564" i="1"/>
  <c r="F532" i="1"/>
  <c r="B13" i="57"/>
  <c r="B14" i="57"/>
  <c r="B15" i="57"/>
  <c r="B27" i="57"/>
  <c r="B28" i="57"/>
  <c r="B29" i="57"/>
  <c r="F433" i="1"/>
  <c r="F418" i="1"/>
  <c r="F406" i="1"/>
  <c r="F408" i="1"/>
  <c r="F434" i="1"/>
  <c r="F429" i="1"/>
  <c r="F413" i="1"/>
  <c r="F420" i="1"/>
  <c r="F426" i="1"/>
  <c r="F412" i="1"/>
  <c r="F479" i="1"/>
  <c r="F476" i="1"/>
  <c r="F477" i="1"/>
  <c r="F478" i="1"/>
  <c r="F493" i="1"/>
  <c r="F484" i="1"/>
  <c r="F498" i="1"/>
  <c r="F500" i="1"/>
  <c r="F496" i="1"/>
  <c r="F587" i="1"/>
  <c r="F582" i="1"/>
  <c r="F578" i="1"/>
  <c r="F580" i="1"/>
  <c r="F577" i="1"/>
  <c r="F510" i="1"/>
  <c r="F517" i="1"/>
  <c r="M4" i="72"/>
  <c r="M5" i="72" s="1"/>
  <c r="F73" i="42"/>
  <c r="F76" i="57"/>
  <c r="G23" i="61"/>
  <c r="G23" i="62"/>
  <c r="G23" i="58"/>
  <c r="G21" i="48"/>
  <c r="G23" i="34"/>
  <c r="G22" i="44"/>
  <c r="G23" i="70"/>
  <c r="G23" i="20"/>
  <c r="G23" i="17"/>
  <c r="G23" i="19"/>
  <c r="G23" i="18"/>
  <c r="G24" i="8"/>
  <c r="G25" i="56"/>
  <c r="G28" i="53"/>
  <c r="G26" i="7"/>
  <c r="G26" i="54"/>
  <c r="G26" i="5"/>
  <c r="G26" i="6"/>
  <c r="G26" i="71"/>
  <c r="G26" i="31"/>
  <c r="G26" i="30"/>
  <c r="G26" i="4"/>
  <c r="G26" i="3"/>
  <c r="D30" i="61"/>
  <c r="J30" i="61" s="1"/>
  <c r="D29" i="61"/>
  <c r="J29" i="61" s="1"/>
  <c r="P7" i="61"/>
  <c r="O7" i="61"/>
  <c r="O8" i="61"/>
  <c r="O5" i="61" s="1"/>
  <c r="B6" i="61"/>
  <c r="O4" i="61"/>
  <c r="D30" i="62"/>
  <c r="J30" i="62" s="1"/>
  <c r="D29" i="62"/>
  <c r="J29" i="62" s="1"/>
  <c r="O7" i="62"/>
  <c r="B6" i="62"/>
  <c r="O4" i="62"/>
  <c r="J30" i="48"/>
  <c r="D28" i="48"/>
  <c r="J28" i="48" s="1"/>
  <c r="D27" i="48"/>
  <c r="J27" i="48" s="1"/>
  <c r="P7" i="48"/>
  <c r="D29" i="48"/>
  <c r="J29" i="48" s="1"/>
  <c r="B6" i="48"/>
  <c r="J32" i="34"/>
  <c r="D30" i="34"/>
  <c r="J30" i="34" s="1"/>
  <c r="P7" i="34"/>
  <c r="B31" i="34" s="1"/>
  <c r="B6" i="34"/>
  <c r="J31" i="44"/>
  <c r="D29" i="44"/>
  <c r="J29" i="44" s="1"/>
  <c r="D28" i="44"/>
  <c r="J28" i="44" s="1"/>
  <c r="B6" i="44"/>
  <c r="D30" i="33"/>
  <c r="J30" i="33" s="1"/>
  <c r="D29" i="33"/>
  <c r="D31" i="33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B31" i="70" s="1"/>
  <c r="O7" i="70"/>
  <c r="B6" i="70"/>
  <c r="J32" i="20"/>
  <c r="D30" i="20"/>
  <c r="J30" i="20" s="1"/>
  <c r="O7" i="20"/>
  <c r="B31" i="20" s="1"/>
  <c r="N7" i="20"/>
  <c r="N8" i="20" s="1"/>
  <c r="B25" i="20" s="1"/>
  <c r="D31" i="20"/>
  <c r="B6" i="20"/>
  <c r="J32" i="17"/>
  <c r="D30" i="17"/>
  <c r="J30" i="17" s="1"/>
  <c r="P7" i="17"/>
  <c r="O7" i="17"/>
  <c r="O8" i="17" s="1"/>
  <c r="B6" i="17"/>
  <c r="K32" i="19"/>
  <c r="D30" i="19"/>
  <c r="K30" i="19" s="1"/>
  <c r="D29" i="19"/>
  <c r="K29" i="19" s="1"/>
  <c r="P7" i="19"/>
  <c r="B31" i="19" s="1"/>
  <c r="O7" i="19"/>
  <c r="O8" i="19"/>
  <c r="K32" i="18"/>
  <c r="D30" i="18"/>
  <c r="K30" i="18" s="1"/>
  <c r="D29" i="18"/>
  <c r="K29" i="18" s="1"/>
  <c r="P7" i="18"/>
  <c r="O7" i="18"/>
  <c r="O8" i="18" s="1"/>
  <c r="B6" i="18"/>
  <c r="D31" i="8"/>
  <c r="J31" i="8" s="1"/>
  <c r="D30" i="8"/>
  <c r="P7" i="8"/>
  <c r="B32" i="8" s="1"/>
  <c r="O7" i="8"/>
  <c r="O8" i="8"/>
  <c r="B9" i="8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O10" i="53"/>
  <c r="L9" i="53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O10" i="51"/>
  <c r="L9" i="51"/>
  <c r="O7" i="51"/>
  <c r="B6" i="51"/>
  <c r="N4" i="51"/>
  <c r="N5" i="51"/>
  <c r="J61" i="55"/>
  <c r="J60" i="55"/>
  <c r="J59" i="55"/>
  <c r="J58" i="55"/>
  <c r="J57" i="55"/>
  <c r="J56" i="55"/>
  <c r="J54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O10" i="55"/>
  <c r="L9" i="55"/>
  <c r="O7" i="55"/>
  <c r="B12" i="55"/>
  <c r="D36" i="55" s="1"/>
  <c r="N4" i="55"/>
  <c r="N5" i="55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O10" i="7"/>
  <c r="L9" i="7"/>
  <c r="O7" i="7"/>
  <c r="N4" i="7"/>
  <c r="N5" i="7" s="1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O10" i="54"/>
  <c r="L9" i="54"/>
  <c r="O7" i="54"/>
  <c r="B12" i="54"/>
  <c r="D34" i="54" s="1"/>
  <c r="N4" i="54"/>
  <c r="N5" i="54" s="1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71"/>
  <c r="P10" i="5"/>
  <c r="M9" i="5"/>
  <c r="P7" i="5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P10" i="6"/>
  <c r="M9" i="6"/>
  <c r="C13" i="6"/>
  <c r="A56" i="6" s="1"/>
  <c r="B9" i="6"/>
  <c r="D57" i="6" s="1"/>
  <c r="P7" i="6"/>
  <c r="R8" i="6"/>
  <c r="R9" i="6" s="1"/>
  <c r="R10" i="6" s="1"/>
  <c r="R11" i="6" s="1"/>
  <c r="R12" i="6" s="1"/>
  <c r="R13" i="6" s="1"/>
  <c r="R14" i="6" s="1"/>
  <c r="B12" i="6"/>
  <c r="D34" i="6" s="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P10" i="71"/>
  <c r="M9" i="71"/>
  <c r="P7" i="71"/>
  <c r="R8" i="71"/>
  <c r="R9" i="71" s="1"/>
  <c r="R10" i="71" s="1"/>
  <c r="R11" i="71" s="1"/>
  <c r="R12" i="71" s="1"/>
  <c r="R13" i="71" s="1"/>
  <c r="R14" i="71" s="1"/>
  <c r="L9" i="71"/>
  <c r="L11" i="71" s="1"/>
  <c r="B12" i="71"/>
  <c r="D34" i="71" s="1"/>
  <c r="B6" i="7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P10" i="31"/>
  <c r="M9" i="31"/>
  <c r="J65" i="30"/>
  <c r="J64" i="30"/>
  <c r="J63" i="30"/>
  <c r="J62" i="30"/>
  <c r="J61" i="30"/>
  <c r="J60" i="30"/>
  <c r="J59" i="30"/>
  <c r="J57" i="30"/>
  <c r="D35" i="30"/>
  <c r="J35" i="30" s="1"/>
  <c r="D33" i="30"/>
  <c r="K33" i="30" s="1"/>
  <c r="D31" i="30"/>
  <c r="P10" i="30"/>
  <c r="M9" i="30"/>
  <c r="P7" i="30"/>
  <c r="R8" i="30"/>
  <c r="R9" i="30" s="1"/>
  <c r="R10" i="30" s="1"/>
  <c r="R11" i="30" s="1"/>
  <c r="R12" i="30" s="1"/>
  <c r="R13" i="30" s="1"/>
  <c r="R14" i="30" s="1"/>
  <c r="J64" i="4"/>
  <c r="J63" i="4"/>
  <c r="J62" i="4"/>
  <c r="J61" i="4"/>
  <c r="J60" i="4"/>
  <c r="J59" i="4"/>
  <c r="J58" i="4"/>
  <c r="J56" i="4"/>
  <c r="L36" i="4"/>
  <c r="D35" i="4"/>
  <c r="K35" i="4" s="1"/>
  <c r="D33" i="4"/>
  <c r="K33" i="4" s="1"/>
  <c r="D31" i="4"/>
  <c r="J31" i="4" s="1"/>
  <c r="B27" i="4"/>
  <c r="P10" i="4"/>
  <c r="M9" i="4"/>
  <c r="R8" i="4"/>
  <c r="R9" i="4" s="1"/>
  <c r="R10" i="4" s="1"/>
  <c r="R11" i="4" s="1"/>
  <c r="R12" i="4" s="1"/>
  <c r="R13" i="4" s="1"/>
  <c r="R14" i="4" s="1"/>
  <c r="K64" i="3"/>
  <c r="K63" i="3"/>
  <c r="K61" i="3"/>
  <c r="K60" i="3"/>
  <c r="K59" i="3"/>
  <c r="K55" i="3"/>
  <c r="K53" i="3"/>
  <c r="K51" i="3"/>
  <c r="D35" i="3"/>
  <c r="K35" i="3" s="1"/>
  <c r="D33" i="3"/>
  <c r="K33" i="3" s="1"/>
  <c r="K43" i="3"/>
  <c r="D32" i="3"/>
  <c r="K32" i="3" s="1"/>
  <c r="D31" i="3"/>
  <c r="K31" i="3" s="1"/>
  <c r="P10" i="3"/>
  <c r="M9" i="3"/>
  <c r="P7" i="3"/>
  <c r="R8" i="3"/>
  <c r="R9" i="3" s="1"/>
  <c r="R10" i="3" s="1"/>
  <c r="R11" i="3" s="1"/>
  <c r="R12" i="3" s="1"/>
  <c r="R13" i="3" s="1"/>
  <c r="R14" i="3" s="1"/>
  <c r="B9" i="3"/>
  <c r="J60" i="72"/>
  <c r="D36" i="72"/>
  <c r="J36" i="72" s="1"/>
  <c r="D34" i="72"/>
  <c r="D33" i="72"/>
  <c r="D32" i="72"/>
  <c r="J32" i="72" s="1"/>
  <c r="O10" i="72"/>
  <c r="L9" i="72"/>
  <c r="R5" i="72"/>
  <c r="G708" i="1"/>
  <c r="G707" i="1"/>
  <c r="G702" i="1"/>
  <c r="G701" i="1"/>
  <c r="G697" i="1"/>
  <c r="G696" i="1"/>
  <c r="G690" i="1"/>
  <c r="G687" i="1"/>
  <c r="G686" i="1"/>
  <c r="F685" i="1"/>
  <c r="G678" i="1"/>
  <c r="G677" i="1"/>
  <c r="G676" i="1"/>
  <c r="G667" i="1"/>
  <c r="G666" i="1"/>
  <c r="G664" i="1"/>
  <c r="G662" i="1"/>
  <c r="G661" i="1"/>
  <c r="G654" i="1"/>
  <c r="G652" i="1"/>
  <c r="G643" i="1"/>
  <c r="G642" i="1"/>
  <c r="G640" i="1"/>
  <c r="G632" i="1"/>
  <c r="G631" i="1"/>
  <c r="G630" i="1"/>
  <c r="F629" i="1"/>
  <c r="G627" i="1"/>
  <c r="G621" i="1"/>
  <c r="G620" i="1"/>
  <c r="G611" i="1"/>
  <c r="G610" i="1"/>
  <c r="G609" i="1"/>
  <c r="G599" i="1"/>
  <c r="F598" i="1"/>
  <c r="G591" i="1"/>
  <c r="G590" i="1"/>
  <c r="G589" i="1"/>
  <c r="G579" i="1"/>
  <c r="G578" i="1"/>
  <c r="G577" i="1"/>
  <c r="G543" i="1"/>
  <c r="G542" i="1"/>
  <c r="G536" i="1"/>
  <c r="G535" i="1"/>
  <c r="G534" i="1"/>
  <c r="G533" i="1"/>
  <c r="G532" i="1"/>
  <c r="G531" i="1"/>
  <c r="G530" i="1"/>
  <c r="G527" i="1"/>
  <c r="G525" i="1"/>
  <c r="F513" i="1"/>
  <c r="G510" i="1"/>
  <c r="G508" i="1"/>
  <c r="G498" i="1"/>
  <c r="G497" i="1"/>
  <c r="G496" i="1"/>
  <c r="G495" i="1"/>
  <c r="F482" i="1"/>
  <c r="G475" i="1"/>
  <c r="G426" i="1"/>
  <c r="G424" i="1"/>
  <c r="G418" i="1"/>
  <c r="G413" i="1"/>
  <c r="G410" i="1"/>
  <c r="G409" i="1"/>
  <c r="G408" i="1"/>
  <c r="G407" i="1"/>
  <c r="G406" i="1"/>
  <c r="G405" i="1"/>
  <c r="G404" i="1"/>
  <c r="G383" i="1"/>
  <c r="G358" i="1"/>
  <c r="G357" i="1"/>
  <c r="G356" i="1"/>
  <c r="G352" i="1"/>
  <c r="G351" i="1"/>
  <c r="G350" i="1"/>
  <c r="G343" i="1"/>
  <c r="G342" i="1"/>
  <c r="G341" i="1"/>
  <c r="G340" i="1"/>
  <c r="G338" i="1"/>
  <c r="G336" i="1"/>
  <c r="G334" i="1"/>
  <c r="G333" i="1"/>
  <c r="G331" i="1"/>
  <c r="G330" i="1"/>
  <c r="G123" i="1"/>
  <c r="G122" i="1"/>
  <c r="G121" i="1"/>
  <c r="G120" i="1"/>
  <c r="G118" i="1"/>
  <c r="G117" i="1"/>
  <c r="F329" i="1"/>
  <c r="G312" i="1"/>
  <c r="G229" i="1"/>
  <c r="G228" i="1"/>
  <c r="G227" i="1"/>
  <c r="G226" i="1"/>
  <c r="G219" i="1"/>
  <c r="G218" i="1"/>
  <c r="G217" i="1"/>
  <c r="G216" i="1"/>
  <c r="G214" i="1"/>
  <c r="G213" i="1"/>
  <c r="G212" i="1"/>
  <c r="G211" i="1"/>
  <c r="G210" i="1"/>
  <c r="L10" i="1"/>
  <c r="K10" i="1"/>
  <c r="N7" i="1"/>
  <c r="G6" i="1"/>
  <c r="G5" i="1"/>
  <c r="N4" i="1"/>
  <c r="N10" i="1" s="1"/>
  <c r="G4" i="1"/>
  <c r="A15" i="78"/>
  <c r="F32" i="93"/>
  <c r="G32" i="93" s="1"/>
  <c r="D29" i="57"/>
  <c r="E29" i="57" s="1"/>
  <c r="D28" i="57"/>
  <c r="E28" i="57" s="1"/>
  <c r="D27" i="57"/>
  <c r="E27" i="57" s="1"/>
  <c r="F27" i="57" s="1"/>
  <c r="D15" i="57"/>
  <c r="E15" i="57" s="1"/>
  <c r="D14" i="57"/>
  <c r="E14" i="57" s="1"/>
  <c r="D13" i="57"/>
  <c r="E13" i="57" s="1"/>
  <c r="F47" i="51"/>
  <c r="D37" i="57"/>
  <c r="E37" i="57" s="1"/>
  <c r="D36" i="57"/>
  <c r="E36" i="57" s="1"/>
  <c r="D34" i="57"/>
  <c r="E34" i="57" s="1"/>
  <c r="D33" i="57"/>
  <c r="E33" i="57" s="1"/>
  <c r="D23" i="57"/>
  <c r="E23" i="57" s="1"/>
  <c r="F55" i="17"/>
  <c r="E32" i="72"/>
  <c r="F33" i="78"/>
  <c r="E43" i="72"/>
  <c r="F44" i="80"/>
  <c r="F30" i="19"/>
  <c r="G30" i="19" s="1"/>
  <c r="F58" i="8"/>
  <c r="D24" i="57"/>
  <c r="E24" i="57" s="1"/>
  <c r="D47" i="57"/>
  <c r="E47" i="57" s="1"/>
  <c r="D46" i="57"/>
  <c r="E46" i="57" s="1"/>
  <c r="D45" i="57"/>
  <c r="E45" i="57" s="1"/>
  <c r="F45" i="57" s="1"/>
  <c r="D44" i="57"/>
  <c r="E44" i="57" s="1"/>
  <c r="F44" i="57" s="1"/>
  <c r="D43" i="57"/>
  <c r="E43" i="57" s="1"/>
  <c r="B43" i="57"/>
  <c r="A13" i="78"/>
  <c r="A13" i="53"/>
  <c r="O8" i="70"/>
  <c r="B25" i="70" s="1"/>
  <c r="B12" i="7"/>
  <c r="D34" i="7" s="1"/>
  <c r="C13" i="7"/>
  <c r="A58" i="7" s="1"/>
  <c r="C13" i="71"/>
  <c r="A57" i="71" s="1"/>
  <c r="C13" i="54"/>
  <c r="A57" i="54" s="1"/>
  <c r="D31" i="61"/>
  <c r="B9" i="61"/>
  <c r="B9" i="19"/>
  <c r="D31" i="19"/>
  <c r="D31" i="34"/>
  <c r="B9" i="34"/>
  <c r="Q8" i="55"/>
  <c r="Q9" i="55" s="1"/>
  <c r="Q10" i="55" s="1"/>
  <c r="Q11" i="55" s="1"/>
  <c r="Q12" i="55" s="1"/>
  <c r="Q13" i="55" s="1"/>
  <c r="Q14" i="55" s="1"/>
  <c r="Q8" i="54"/>
  <c r="Q9" i="54" s="1"/>
  <c r="Q10" i="54" s="1"/>
  <c r="Q11" i="54" s="1"/>
  <c r="Q12" i="54" s="1"/>
  <c r="Q13" i="54" s="1"/>
  <c r="Q14" i="54" s="1"/>
  <c r="K13" i="54"/>
  <c r="R8" i="5"/>
  <c r="R9" i="5" s="1"/>
  <c r="R10" i="5" s="1"/>
  <c r="R11" i="5" s="1"/>
  <c r="R12" i="5" s="1"/>
  <c r="R13" i="5" s="1"/>
  <c r="R14" i="5" s="1"/>
  <c r="B12" i="3"/>
  <c r="D34" i="3" s="1"/>
  <c r="K43" i="6"/>
  <c r="J43" i="54"/>
  <c r="K37" i="56"/>
  <c r="B12" i="19"/>
  <c r="B6" i="8"/>
  <c r="B6" i="55"/>
  <c r="B6" i="6"/>
  <c r="A12" i="61"/>
  <c r="B6" i="7"/>
  <c r="B6" i="54"/>
  <c r="B6" i="5"/>
  <c r="B6" i="56"/>
  <c r="K9" i="55"/>
  <c r="K11" i="55" s="1"/>
  <c r="K12" i="55"/>
  <c r="L12" i="55" s="1"/>
  <c r="K37" i="55"/>
  <c r="B6" i="4"/>
  <c r="B6" i="19"/>
  <c r="B6" i="3"/>
  <c r="N5" i="5"/>
  <c r="L5" i="5"/>
  <c r="J64" i="8"/>
  <c r="N64" i="8"/>
  <c r="A64" i="8" s="1"/>
  <c r="C13" i="51"/>
  <c r="A60" i="51" s="1"/>
  <c r="B12" i="51"/>
  <c r="D38" i="51" s="1"/>
  <c r="D32" i="8"/>
  <c r="F660" i="1"/>
  <c r="F666" i="1"/>
  <c r="F175" i="1"/>
  <c r="F164" i="1"/>
  <c r="G170" i="1"/>
  <c r="F803" i="1"/>
  <c r="F509" i="1"/>
  <c r="F594" i="1"/>
  <c r="G175" i="1"/>
  <c r="F676" i="1"/>
  <c r="F794" i="1"/>
  <c r="G346" i="1"/>
  <c r="F512" i="1"/>
  <c r="F158" i="1"/>
  <c r="F64" i="1"/>
  <c r="F333" i="1"/>
  <c r="G64" i="1"/>
  <c r="F602" i="1"/>
  <c r="G329" i="1"/>
  <c r="F634" i="1"/>
  <c r="F177" i="1"/>
  <c r="F176" i="1"/>
  <c r="G150" i="1"/>
  <c r="F405" i="1"/>
  <c r="G74" i="1"/>
  <c r="F75" i="1"/>
  <c r="F495" i="1"/>
  <c r="G644" i="1"/>
  <c r="F67" i="1"/>
  <c r="F622" i="1"/>
  <c r="F334" i="1"/>
  <c r="F344" i="1"/>
  <c r="F591" i="1"/>
  <c r="G344" i="1"/>
  <c r="F534" i="1"/>
  <c r="F511" i="1"/>
  <c r="G511" i="1"/>
  <c r="F169" i="1"/>
  <c r="F172" i="1"/>
  <c r="F69" i="1"/>
  <c r="F655" i="1"/>
  <c r="G655" i="1"/>
  <c r="F686" i="1"/>
  <c r="F531" i="1"/>
  <c r="F152" i="1"/>
  <c r="F346" i="1"/>
  <c r="F404" i="1"/>
  <c r="F627" i="1"/>
  <c r="G155" i="1"/>
  <c r="F155" i="1"/>
  <c r="G180" i="1"/>
  <c r="F180" i="1"/>
  <c r="F65" i="1"/>
  <c r="F671" i="1"/>
  <c r="F151" i="1"/>
  <c r="F71" i="1"/>
  <c r="G601" i="1"/>
  <c r="G633" i="1"/>
  <c r="F801" i="1"/>
  <c r="A64" i="57"/>
  <c r="A1" i="57"/>
  <c r="A63" i="77"/>
  <c r="A11" i="57"/>
  <c r="A74" i="77"/>
  <c r="A68" i="77"/>
  <c r="A45" i="78"/>
  <c r="A47" i="72"/>
  <c r="A39" i="72"/>
  <c r="A69" i="77"/>
  <c r="A61" i="57"/>
  <c r="A44" i="72"/>
  <c r="A7" i="77"/>
  <c r="A59" i="77"/>
  <c r="A22" i="77"/>
  <c r="A32" i="57"/>
  <c r="A66" i="77"/>
  <c r="A33" i="56"/>
  <c r="F785" i="1"/>
  <c r="A61" i="77"/>
  <c r="A46" i="72"/>
  <c r="A29" i="8"/>
  <c r="A28" i="17" s="1"/>
  <c r="A62" i="57"/>
  <c r="A37" i="3"/>
  <c r="A37" i="7" s="1"/>
  <c r="A60" i="77"/>
  <c r="G7" i="72"/>
  <c r="G14" i="57"/>
  <c r="G81" i="42"/>
  <c r="A15" i="56"/>
  <c r="A36" i="51"/>
  <c r="A9" i="77"/>
  <c r="A67" i="77"/>
  <c r="A9" i="81"/>
  <c r="A65" i="77"/>
  <c r="D3" i="72"/>
  <c r="F793" i="1"/>
  <c r="A64" i="77"/>
  <c r="A1" i="77"/>
  <c r="B6" i="53"/>
  <c r="K61" i="72"/>
  <c r="A10" i="34"/>
  <c r="A15" i="77"/>
  <c r="A45" i="72"/>
  <c r="G47" i="57"/>
  <c r="F787" i="1"/>
  <c r="G29" i="57"/>
  <c r="G19" i="57"/>
  <c r="G18" i="57"/>
  <c r="G46" i="57"/>
  <c r="G45" i="57"/>
  <c r="G44" i="57"/>
  <c r="G21" i="57"/>
  <c r="G20" i="57"/>
  <c r="G34" i="57"/>
  <c r="G15" i="57"/>
  <c r="G28" i="57"/>
  <c r="G43" i="57"/>
  <c r="G22" i="57"/>
  <c r="G33" i="57"/>
  <c r="G13" i="57"/>
  <c r="G36" i="57"/>
  <c r="G24" i="57"/>
  <c r="G37" i="57"/>
  <c r="G23" i="57"/>
  <c r="A14" i="5"/>
  <c r="B5" i="62"/>
  <c r="F778" i="1"/>
  <c r="F804" i="1"/>
  <c r="F786" i="1"/>
  <c r="F777" i="1"/>
  <c r="G292" i="1"/>
  <c r="G337" i="1"/>
  <c r="G411" i="1"/>
  <c r="G414" i="1"/>
  <c r="G420" i="1"/>
  <c r="G668" i="1"/>
  <c r="G160" i="1"/>
  <c r="F160" i="1"/>
  <c r="G115" i="1"/>
  <c r="G332" i="1"/>
  <c r="G335" i="1"/>
  <c r="G412" i="1"/>
  <c r="G600" i="1"/>
  <c r="G650" i="1"/>
  <c r="G116" i="1"/>
  <c r="G339" i="1"/>
  <c r="G419" i="1"/>
  <c r="G425" i="1"/>
  <c r="G612" i="1"/>
  <c r="G622" i="1"/>
  <c r="F178" i="1"/>
  <c r="B12" i="53"/>
  <c r="D36" i="53" s="1"/>
  <c r="D31" i="62"/>
  <c r="B9" i="62"/>
  <c r="A12" i="62"/>
  <c r="B9" i="5"/>
  <c r="B12" i="30"/>
  <c r="F345" i="1"/>
  <c r="G345" i="1"/>
  <c r="F165" i="1"/>
  <c r="F179" i="1"/>
  <c r="F181" i="1"/>
  <c r="F183" i="1"/>
  <c r="G79" i="1"/>
  <c r="F81" i="1"/>
  <c r="F153" i="1"/>
  <c r="F157" i="1"/>
  <c r="F162" i="1"/>
  <c r="F638" i="1"/>
  <c r="B12" i="17"/>
  <c r="K9" i="78"/>
  <c r="K11" i="78" s="1"/>
  <c r="L67" i="6"/>
  <c r="L64" i="20"/>
  <c r="E3" i="57"/>
  <c r="K12" i="78"/>
  <c r="L12" i="78" s="1"/>
  <c r="G33" i="78" l="1"/>
  <c r="J29" i="33"/>
  <c r="F34" i="55"/>
  <c r="J29" i="20"/>
  <c r="A41" i="55"/>
  <c r="E31" i="34"/>
  <c r="I31" i="34"/>
  <c r="C31" i="34"/>
  <c r="I25" i="34"/>
  <c r="E25" i="34"/>
  <c r="C25" i="34"/>
  <c r="C23" i="48"/>
  <c r="E23" i="48"/>
  <c r="I23" i="48"/>
  <c r="E25" i="70"/>
  <c r="C25" i="70"/>
  <c r="I25" i="70"/>
  <c r="C31" i="70"/>
  <c r="I31" i="70"/>
  <c r="E31" i="70"/>
  <c r="I29" i="19"/>
  <c r="E29" i="19"/>
  <c r="F29" i="19" s="1"/>
  <c r="G29" i="19" s="1"/>
  <c r="C29" i="19"/>
  <c r="E31" i="19"/>
  <c r="I31" i="19"/>
  <c r="C31" i="19"/>
  <c r="A39" i="5"/>
  <c r="A39" i="7"/>
  <c r="A41" i="78"/>
  <c r="A39" i="6"/>
  <c r="I25" i="20"/>
  <c r="C25" i="20"/>
  <c r="E25" i="20"/>
  <c r="I31" i="20"/>
  <c r="C31" i="20"/>
  <c r="E31" i="20"/>
  <c r="E30" i="44"/>
  <c r="C30" i="44"/>
  <c r="I30" i="44"/>
  <c r="I29" i="34"/>
  <c r="C29" i="34"/>
  <c r="E29" i="34"/>
  <c r="F29" i="34" s="1"/>
  <c r="G29" i="34" s="1"/>
  <c r="G47" i="51"/>
  <c r="E31" i="33"/>
  <c r="I31" i="33"/>
  <c r="C31" i="33"/>
  <c r="E25" i="33"/>
  <c r="I25" i="33"/>
  <c r="C25" i="33"/>
  <c r="I29" i="17"/>
  <c r="E29" i="17"/>
  <c r="F29" i="17" s="1"/>
  <c r="G29" i="17" s="1"/>
  <c r="C29" i="17"/>
  <c r="E32" i="8"/>
  <c r="C32" i="8"/>
  <c r="I32" i="8"/>
  <c r="G44" i="80"/>
  <c r="G34" i="55"/>
  <c r="I35" i="33"/>
  <c r="E35" i="33"/>
  <c r="F35" i="33" s="1"/>
  <c r="G35" i="33" s="1"/>
  <c r="C35" i="33"/>
  <c r="I34" i="44"/>
  <c r="E34" i="44"/>
  <c r="F34" i="44" s="1"/>
  <c r="G34" i="44" s="1"/>
  <c r="C34" i="44"/>
  <c r="I33" i="48"/>
  <c r="E33" i="48"/>
  <c r="F33" i="48" s="1"/>
  <c r="G33" i="48" s="1"/>
  <c r="C33" i="48"/>
  <c r="I35" i="34"/>
  <c r="E35" i="34"/>
  <c r="F35" i="34" s="1"/>
  <c r="G35" i="34" s="1"/>
  <c r="C35" i="34"/>
  <c r="I36" i="8"/>
  <c r="C36" i="8"/>
  <c r="E36" i="8"/>
  <c r="F36" i="8" s="1"/>
  <c r="G36" i="8" s="1"/>
  <c r="I35" i="19"/>
  <c r="C35" i="19"/>
  <c r="E35" i="19"/>
  <c r="F35" i="19" s="1"/>
  <c r="G35" i="19" s="1"/>
  <c r="I35" i="17"/>
  <c r="C35" i="17"/>
  <c r="E35" i="17"/>
  <c r="F35" i="17" s="1"/>
  <c r="G35" i="17" s="1"/>
  <c r="I35" i="20"/>
  <c r="E35" i="20"/>
  <c r="F35" i="20" s="1"/>
  <c r="G35" i="20" s="1"/>
  <c r="C35" i="20"/>
  <c r="I35" i="70"/>
  <c r="C35" i="70"/>
  <c r="E35" i="70"/>
  <c r="F35" i="70" s="1"/>
  <c r="G35" i="70" s="1"/>
  <c r="B33" i="56"/>
  <c r="E33" i="72"/>
  <c r="F33" i="72" s="1"/>
  <c r="G33" i="72" s="1"/>
  <c r="A62" i="71"/>
  <c r="A43" i="71"/>
  <c r="A43" i="54"/>
  <c r="A43" i="6"/>
  <c r="A43" i="5"/>
  <c r="A38" i="95"/>
  <c r="A43" i="94"/>
  <c r="H63" i="95"/>
  <c r="H42" i="95"/>
  <c r="H40" i="95"/>
  <c r="H34" i="95"/>
  <c r="H66" i="94"/>
  <c r="H54" i="94"/>
  <c r="H51" i="94"/>
  <c r="H49" i="94"/>
  <c r="H43" i="94"/>
  <c r="H47" i="78"/>
  <c r="H33" i="95"/>
  <c r="H47" i="94"/>
  <c r="H45" i="94"/>
  <c r="H39" i="94"/>
  <c r="H31" i="94"/>
  <c r="H50" i="78"/>
  <c r="H37" i="95"/>
  <c r="H30" i="95"/>
  <c r="H48" i="95"/>
  <c r="H38" i="94"/>
  <c r="H34" i="94"/>
  <c r="H52" i="78"/>
  <c r="H46" i="78"/>
  <c r="H61" i="95"/>
  <c r="H45" i="95"/>
  <c r="H32" i="95"/>
  <c r="H29" i="95"/>
  <c r="H42" i="94"/>
  <c r="H36" i="78"/>
  <c r="H54" i="53"/>
  <c r="H43" i="95"/>
  <c r="H41" i="95"/>
  <c r="H39" i="95"/>
  <c r="H65" i="94"/>
  <c r="H53" i="94"/>
  <c r="H37" i="94"/>
  <c r="H33" i="94"/>
  <c r="H61" i="78"/>
  <c r="H54" i="78"/>
  <c r="H67" i="53"/>
  <c r="H47" i="95"/>
  <c r="H28" i="95"/>
  <c r="H61" i="94"/>
  <c r="H50" i="94"/>
  <c r="H30" i="94"/>
  <c r="H49" i="78"/>
  <c r="H68" i="94"/>
  <c r="H48" i="94"/>
  <c r="H46" i="94"/>
  <c r="H44" i="94"/>
  <c r="H36" i="94"/>
  <c r="H66" i="78"/>
  <c r="H45" i="78"/>
  <c r="H41" i="78"/>
  <c r="H52" i="94"/>
  <c r="H32" i="94"/>
  <c r="H29" i="94"/>
  <c r="H51" i="78"/>
  <c r="H40" i="78"/>
  <c r="H65" i="53"/>
  <c r="H60" i="95"/>
  <c r="H31" i="95"/>
  <c r="H39" i="78"/>
  <c r="H53" i="53"/>
  <c r="H48" i="53"/>
  <c r="H34" i="53"/>
  <c r="H31" i="53"/>
  <c r="H44" i="81"/>
  <c r="H39" i="81"/>
  <c r="H42" i="80"/>
  <c r="H53" i="61"/>
  <c r="H47" i="61"/>
  <c r="H40" i="61"/>
  <c r="H41" i="62"/>
  <c r="H29" i="62"/>
  <c r="H43" i="58"/>
  <c r="H55" i="19"/>
  <c r="H50" i="19"/>
  <c r="H44" i="19"/>
  <c r="H34" i="19"/>
  <c r="H49" i="95"/>
  <c r="H46" i="95"/>
  <c r="H44" i="95"/>
  <c r="H38" i="95"/>
  <c r="H35" i="94"/>
  <c r="H28" i="94"/>
  <c r="H64" i="78"/>
  <c r="H53" i="78"/>
  <c r="H48" i="78"/>
  <c r="H34" i="78"/>
  <c r="H31" i="78"/>
  <c r="H44" i="53"/>
  <c r="H38" i="53"/>
  <c r="H30" i="53"/>
  <c r="H49" i="81"/>
  <c r="H35" i="81"/>
  <c r="H37" i="78"/>
  <c r="H37" i="53"/>
  <c r="H56" i="81"/>
  <c r="H55" i="61"/>
  <c r="H38" i="61"/>
  <c r="H28" i="61"/>
  <c r="H57" i="62"/>
  <c r="H48" i="62"/>
  <c r="H40" i="62"/>
  <c r="H35" i="62"/>
  <c r="H55" i="58"/>
  <c r="H38" i="58"/>
  <c r="H53" i="19"/>
  <c r="H42" i="19"/>
  <c r="H37" i="19"/>
  <c r="H52" i="53"/>
  <c r="H49" i="62"/>
  <c r="H50" i="81"/>
  <c r="H56" i="80"/>
  <c r="H50" i="80"/>
  <c r="H44" i="80"/>
  <c r="H38" i="80"/>
  <c r="H30" i="80"/>
  <c r="H27" i="80"/>
  <c r="H49" i="61"/>
  <c r="H43" i="61"/>
  <c r="H54" i="62"/>
  <c r="H30" i="62"/>
  <c r="H26" i="62"/>
  <c r="H49" i="58"/>
  <c r="H31" i="58"/>
  <c r="H27" i="58"/>
  <c r="H46" i="19"/>
  <c r="H35" i="78"/>
  <c r="H51" i="53"/>
  <c r="H47" i="53"/>
  <c r="H32" i="81"/>
  <c r="H28" i="81"/>
  <c r="H26" i="80"/>
  <c r="H57" i="61"/>
  <c r="H35" i="61"/>
  <c r="H31" i="61"/>
  <c r="H27" i="61"/>
  <c r="H47" i="62"/>
  <c r="H37" i="62"/>
  <c r="H25" i="62"/>
  <c r="H48" i="58"/>
  <c r="H40" i="58"/>
  <c r="H35" i="58"/>
  <c r="H56" i="19"/>
  <c r="H52" i="19"/>
  <c r="H29" i="19"/>
  <c r="H30" i="78"/>
  <c r="H29" i="81"/>
  <c r="H51" i="80"/>
  <c r="H36" i="53"/>
  <c r="H32" i="53"/>
  <c r="H48" i="81"/>
  <c r="H43" i="81"/>
  <c r="H36" i="81"/>
  <c r="H49" i="80"/>
  <c r="H41" i="80"/>
  <c r="H48" i="61"/>
  <c r="H53" i="62"/>
  <c r="H42" i="62"/>
  <c r="H59" i="58"/>
  <c r="H54" i="58"/>
  <c r="H30" i="58"/>
  <c r="H26" i="58"/>
  <c r="H45" i="19"/>
  <c r="H39" i="19"/>
  <c r="H60" i="19"/>
  <c r="H36" i="58"/>
  <c r="H52" i="81"/>
  <c r="H40" i="81"/>
  <c r="H31" i="81"/>
  <c r="H37" i="80"/>
  <c r="H54" i="61"/>
  <c r="H37" i="61"/>
  <c r="H30" i="61"/>
  <c r="H26" i="61"/>
  <c r="H46" i="62"/>
  <c r="H47" i="58"/>
  <c r="H25" i="58"/>
  <c r="H51" i="19"/>
  <c r="H36" i="19"/>
  <c r="H55" i="62"/>
  <c r="H41" i="58"/>
  <c r="H28" i="58"/>
  <c r="H54" i="19"/>
  <c r="H50" i="53"/>
  <c r="H46" i="53"/>
  <c r="H35" i="53"/>
  <c r="H47" i="81"/>
  <c r="H27" i="81"/>
  <c r="H52" i="80"/>
  <c r="H48" i="80"/>
  <c r="H29" i="80"/>
  <c r="H42" i="61"/>
  <c r="H25" i="61"/>
  <c r="H56" i="62"/>
  <c r="H52" i="62"/>
  <c r="H39" i="62"/>
  <c r="H34" i="62"/>
  <c r="H53" i="58"/>
  <c r="H42" i="58"/>
  <c r="H37" i="58"/>
  <c r="H41" i="19"/>
  <c r="H39" i="53"/>
  <c r="H44" i="61"/>
  <c r="H44" i="58"/>
  <c r="H62" i="53"/>
  <c r="H30" i="81"/>
  <c r="H26" i="81"/>
  <c r="H43" i="80"/>
  <c r="H46" i="61"/>
  <c r="H45" i="62"/>
  <c r="H46" i="58"/>
  <c r="H28" i="19"/>
  <c r="H38" i="19"/>
  <c r="H38" i="78"/>
  <c r="H30" i="19"/>
  <c r="H44" i="78"/>
  <c r="H33" i="78"/>
  <c r="H46" i="81"/>
  <c r="H47" i="80"/>
  <c r="H32" i="80"/>
  <c r="H56" i="61"/>
  <c r="H52" i="61"/>
  <c r="H39" i="61"/>
  <c r="H34" i="61"/>
  <c r="H60" i="62"/>
  <c r="H51" i="62"/>
  <c r="H36" i="62"/>
  <c r="H56" i="58"/>
  <c r="H52" i="58"/>
  <c r="H39" i="58"/>
  <c r="H34" i="58"/>
  <c r="H29" i="58"/>
  <c r="H49" i="19"/>
  <c r="H43" i="19"/>
  <c r="H41" i="53"/>
  <c r="H42" i="81"/>
  <c r="H38" i="81"/>
  <c r="H40" i="80"/>
  <c r="H36" i="80"/>
  <c r="H45" i="61"/>
  <c r="H29" i="61"/>
  <c r="H44" i="62"/>
  <c r="H28" i="62"/>
  <c r="H45" i="58"/>
  <c r="H31" i="19"/>
  <c r="H41" i="61"/>
  <c r="H32" i="78"/>
  <c r="H45" i="53"/>
  <c r="H40" i="53"/>
  <c r="H51" i="81"/>
  <c r="H45" i="81"/>
  <c r="H46" i="80"/>
  <c r="H31" i="80"/>
  <c r="H28" i="80"/>
  <c r="H60" i="61"/>
  <c r="H51" i="61"/>
  <c r="H36" i="61"/>
  <c r="H50" i="62"/>
  <c r="H38" i="62"/>
  <c r="H51" i="58"/>
  <c r="H57" i="19"/>
  <c r="H48" i="19"/>
  <c r="H35" i="19"/>
  <c r="H27" i="19"/>
  <c r="H49" i="53"/>
  <c r="H43" i="62"/>
  <c r="H40" i="19"/>
  <c r="H26" i="19"/>
  <c r="H33" i="53"/>
  <c r="H41" i="81"/>
  <c r="H37" i="81"/>
  <c r="H45" i="80"/>
  <c r="H39" i="80"/>
  <c r="H35" i="80"/>
  <c r="H50" i="61"/>
  <c r="H31" i="62"/>
  <c r="H27" i="62"/>
  <c r="H50" i="58"/>
  <c r="H47" i="19"/>
  <c r="H25" i="19"/>
  <c r="H60" i="34"/>
  <c r="H51" i="34"/>
  <c r="H45" i="34"/>
  <c r="H30" i="34"/>
  <c r="H26" i="34"/>
  <c r="H39" i="48"/>
  <c r="H55" i="44"/>
  <c r="H34" i="44"/>
  <c r="H49" i="33"/>
  <c r="H36" i="33"/>
  <c r="H37" i="70"/>
  <c r="H54" i="20"/>
  <c r="H48" i="20"/>
  <c r="H38" i="20"/>
  <c r="H27" i="20"/>
  <c r="H30" i="20"/>
  <c r="H27" i="70"/>
  <c r="H37" i="48"/>
  <c r="H25" i="44"/>
  <c r="H34" i="33"/>
  <c r="H37" i="34"/>
  <c r="H28" i="33"/>
  <c r="H39" i="34"/>
  <c r="H25" i="34"/>
  <c r="H47" i="48"/>
  <c r="H34" i="48"/>
  <c r="H27" i="48"/>
  <c r="H51" i="44"/>
  <c r="H45" i="44"/>
  <c r="H41" i="44"/>
  <c r="H29" i="44"/>
  <c r="H59" i="33"/>
  <c r="H43" i="33"/>
  <c r="H51" i="70"/>
  <c r="H45" i="70"/>
  <c r="H26" i="20"/>
  <c r="H35" i="70"/>
  <c r="H39" i="44"/>
  <c r="H59" i="20"/>
  <c r="H55" i="34"/>
  <c r="H50" i="34"/>
  <c r="H44" i="34"/>
  <c r="H34" i="34"/>
  <c r="H57" i="48"/>
  <c r="H41" i="48"/>
  <c r="H36" i="44"/>
  <c r="H54" i="33"/>
  <c r="H48" i="33"/>
  <c r="H38" i="33"/>
  <c r="H27" i="33"/>
  <c r="H39" i="70"/>
  <c r="H29" i="70"/>
  <c r="H53" i="20"/>
  <c r="H47" i="20"/>
  <c r="H40" i="20"/>
  <c r="H31" i="20"/>
  <c r="H25" i="20"/>
  <c r="H27" i="34"/>
  <c r="H42" i="48"/>
  <c r="H46" i="44"/>
  <c r="H41" i="33"/>
  <c r="H30" i="70"/>
  <c r="H41" i="34"/>
  <c r="H52" i="48"/>
  <c r="H46" i="48"/>
  <c r="H36" i="48"/>
  <c r="H26" i="48"/>
  <c r="H50" i="44"/>
  <c r="H44" i="44"/>
  <c r="H26" i="33"/>
  <c r="H55" i="70"/>
  <c r="H50" i="70"/>
  <c r="H44" i="70"/>
  <c r="H34" i="70"/>
  <c r="H56" i="20"/>
  <c r="H35" i="20"/>
  <c r="H39" i="20"/>
  <c r="H56" i="70"/>
  <c r="H48" i="48"/>
  <c r="H30" i="44"/>
  <c r="H57" i="34"/>
  <c r="H49" i="34"/>
  <c r="H36" i="34"/>
  <c r="H29" i="34"/>
  <c r="H38" i="44"/>
  <c r="H28" i="44"/>
  <c r="H53" i="33"/>
  <c r="H47" i="33"/>
  <c r="H40" i="33"/>
  <c r="H31" i="33"/>
  <c r="H25" i="33"/>
  <c r="H41" i="70"/>
  <c r="H28" i="70"/>
  <c r="H52" i="20"/>
  <c r="H46" i="20"/>
  <c r="H42" i="20"/>
  <c r="H38" i="70"/>
  <c r="H29" i="20"/>
  <c r="H28" i="48"/>
  <c r="H36" i="20"/>
  <c r="H43" i="34"/>
  <c r="H51" i="48"/>
  <c r="H45" i="48"/>
  <c r="H38" i="48"/>
  <c r="H54" i="44"/>
  <c r="H49" i="44"/>
  <c r="H43" i="44"/>
  <c r="H33" i="44"/>
  <c r="H56" i="33"/>
  <c r="H35" i="33"/>
  <c r="H49" i="70"/>
  <c r="H36" i="70"/>
  <c r="H37" i="20"/>
  <c r="H52" i="44"/>
  <c r="H42" i="70"/>
  <c r="H43" i="20"/>
  <c r="H54" i="34"/>
  <c r="H48" i="34"/>
  <c r="H38" i="34"/>
  <c r="H54" i="48"/>
  <c r="H33" i="48"/>
  <c r="H29" i="48"/>
  <c r="H25" i="48"/>
  <c r="H40" i="44"/>
  <c r="H27" i="44"/>
  <c r="H52" i="33"/>
  <c r="H46" i="33"/>
  <c r="H42" i="33"/>
  <c r="H30" i="33"/>
  <c r="H59" i="70"/>
  <c r="H43" i="70"/>
  <c r="H51" i="20"/>
  <c r="H45" i="20"/>
  <c r="H37" i="33"/>
  <c r="H54" i="70"/>
  <c r="H53" i="48"/>
  <c r="H50" i="48"/>
  <c r="H44" i="48"/>
  <c r="H40" i="48"/>
  <c r="H24" i="48"/>
  <c r="H48" i="44"/>
  <c r="H35" i="44"/>
  <c r="H48" i="70"/>
  <c r="H52" i="70"/>
  <c r="H53" i="34"/>
  <c r="H47" i="34"/>
  <c r="H40" i="34"/>
  <c r="H28" i="34"/>
  <c r="H35" i="48"/>
  <c r="H23" i="48"/>
  <c r="H58" i="44"/>
  <c r="H42" i="44"/>
  <c r="H51" i="33"/>
  <c r="H45" i="33"/>
  <c r="H26" i="70"/>
  <c r="H55" i="20"/>
  <c r="H50" i="20"/>
  <c r="H44" i="20"/>
  <c r="H34" i="20"/>
  <c r="H28" i="20"/>
  <c r="H52" i="34"/>
  <c r="H31" i="34"/>
  <c r="H50" i="33"/>
  <c r="H49" i="20"/>
  <c r="H56" i="34"/>
  <c r="H35" i="34"/>
  <c r="H49" i="48"/>
  <c r="H43" i="48"/>
  <c r="H53" i="44"/>
  <c r="H47" i="44"/>
  <c r="H37" i="44"/>
  <c r="H26" i="44"/>
  <c r="H39" i="33"/>
  <c r="H29" i="33"/>
  <c r="H53" i="70"/>
  <c r="H47" i="70"/>
  <c r="H40" i="70"/>
  <c r="H31" i="70"/>
  <c r="H25" i="70"/>
  <c r="H41" i="20"/>
  <c r="H46" i="34"/>
  <c r="H55" i="33"/>
  <c r="H44" i="33"/>
  <c r="H32" i="48"/>
  <c r="H24" i="44"/>
  <c r="H42" i="34"/>
  <c r="H46" i="70"/>
  <c r="H62" i="17"/>
  <c r="H29" i="17"/>
  <c r="H57" i="18"/>
  <c r="H53" i="18"/>
  <c r="H26" i="18"/>
  <c r="H56" i="8"/>
  <c r="H46" i="8"/>
  <c r="H29" i="8"/>
  <c r="H31" i="8"/>
  <c r="H37" i="18"/>
  <c r="H54" i="17"/>
  <c r="H43" i="17"/>
  <c r="H40" i="17"/>
  <c r="H37" i="17"/>
  <c r="H34" i="17"/>
  <c r="H52" i="18"/>
  <c r="H31" i="18"/>
  <c r="H25" i="18"/>
  <c r="H45" i="8"/>
  <c r="H43" i="8"/>
  <c r="H40" i="8"/>
  <c r="H37" i="8"/>
  <c r="H47" i="8"/>
  <c r="H57" i="17"/>
  <c r="H53" i="17"/>
  <c r="H51" i="18"/>
  <c r="H61" i="8"/>
  <c r="H43" i="18"/>
  <c r="H52" i="17"/>
  <c r="H50" i="18"/>
  <c r="H42" i="18"/>
  <c r="H39" i="18"/>
  <c r="H36" i="18"/>
  <c r="H30" i="18"/>
  <c r="H55" i="8"/>
  <c r="H44" i="8"/>
  <c r="H41" i="8"/>
  <c r="H38" i="8"/>
  <c r="H35" i="8"/>
  <c r="H28" i="8"/>
  <c r="H27" i="8"/>
  <c r="H44" i="17"/>
  <c r="H51" i="17"/>
  <c r="H28" i="17"/>
  <c r="H56" i="18"/>
  <c r="H49" i="18"/>
  <c r="H58" i="8"/>
  <c r="H54" i="8"/>
  <c r="H38" i="18"/>
  <c r="H30" i="8"/>
  <c r="H50" i="17"/>
  <c r="H42" i="17"/>
  <c r="H39" i="17"/>
  <c r="H36" i="17"/>
  <c r="H48" i="18"/>
  <c r="H53" i="8"/>
  <c r="H26" i="8"/>
  <c r="H56" i="17"/>
  <c r="H49" i="17"/>
  <c r="H31" i="17"/>
  <c r="H47" i="18"/>
  <c r="H35" i="18"/>
  <c r="H29" i="18"/>
  <c r="H52" i="8"/>
  <c r="H46" i="18"/>
  <c r="H41" i="18"/>
  <c r="H27" i="18"/>
  <c r="H48" i="17"/>
  <c r="H27" i="17"/>
  <c r="H51" i="8"/>
  <c r="H40" i="18"/>
  <c r="H36" i="8"/>
  <c r="H47" i="17"/>
  <c r="H30" i="17"/>
  <c r="H26" i="17"/>
  <c r="H55" i="18"/>
  <c r="H45" i="18"/>
  <c r="H34" i="18"/>
  <c r="H28" i="18"/>
  <c r="H57" i="8"/>
  <c r="H50" i="8"/>
  <c r="H32" i="8"/>
  <c r="H39" i="8"/>
  <c r="H46" i="17"/>
  <c r="H41" i="17"/>
  <c r="H38" i="17"/>
  <c r="H35" i="17"/>
  <c r="H25" i="17"/>
  <c r="H44" i="18"/>
  <c r="H49" i="8"/>
  <c r="H55" i="17"/>
  <c r="H45" i="17"/>
  <c r="H60" i="18"/>
  <c r="H48" i="8"/>
  <c r="H54" i="18"/>
  <c r="H42" i="8"/>
  <c r="H52" i="56"/>
  <c r="H43" i="56"/>
  <c r="H63" i="93"/>
  <c r="H38" i="93"/>
  <c r="H28" i="93"/>
  <c r="H45" i="87"/>
  <c r="H49" i="91"/>
  <c r="H68" i="88"/>
  <c r="H50" i="88"/>
  <c r="H44" i="88"/>
  <c r="H34" i="88"/>
  <c r="H57" i="51"/>
  <c r="H47" i="51"/>
  <c r="H63" i="55"/>
  <c r="H45" i="55"/>
  <c r="H51" i="7"/>
  <c r="H38" i="7"/>
  <c r="H30" i="7"/>
  <c r="H53" i="54"/>
  <c r="H32" i="54"/>
  <c r="H54" i="5"/>
  <c r="H47" i="5"/>
  <c r="H39" i="5"/>
  <c r="H31" i="5"/>
  <c r="H38" i="6"/>
  <c r="H30" i="6"/>
  <c r="H52" i="71"/>
  <c r="H46" i="71"/>
  <c r="H37" i="71"/>
  <c r="H29" i="71"/>
  <c r="H62" i="31"/>
  <c r="H48" i="31"/>
  <c r="H42" i="31"/>
  <c r="H51" i="30"/>
  <c r="H39" i="30"/>
  <c r="H64" i="4"/>
  <c r="H43" i="4"/>
  <c r="H35" i="4"/>
  <c r="H48" i="85"/>
  <c r="H45" i="85"/>
  <c r="H33" i="85"/>
  <c r="H49" i="86"/>
  <c r="H46" i="86"/>
  <c r="H66" i="3"/>
  <c r="H48" i="3"/>
  <c r="H45" i="3"/>
  <c r="H33" i="3"/>
  <c r="H53" i="86"/>
  <c r="H42" i="86"/>
  <c r="H52" i="3"/>
  <c r="H66" i="4"/>
  <c r="H42" i="85"/>
  <c r="H33" i="30"/>
  <c r="H29" i="86"/>
  <c r="H62" i="56"/>
  <c r="H51" i="56"/>
  <c r="H36" i="56"/>
  <c r="H44" i="93"/>
  <c r="H68" i="87"/>
  <c r="H50" i="87"/>
  <c r="H35" i="87"/>
  <c r="H66" i="91"/>
  <c r="H42" i="91"/>
  <c r="H43" i="88"/>
  <c r="H33" i="88"/>
  <c r="H65" i="51"/>
  <c r="H37" i="51"/>
  <c r="H35" i="55"/>
  <c r="H66" i="7"/>
  <c r="H45" i="7"/>
  <c r="H37" i="7"/>
  <c r="H29" i="7"/>
  <c r="H61" i="54"/>
  <c r="H52" i="54"/>
  <c r="H47" i="54"/>
  <c r="H38" i="5"/>
  <c r="H61" i="6"/>
  <c r="H53" i="6"/>
  <c r="H46" i="6"/>
  <c r="H37" i="6"/>
  <c r="H29" i="6"/>
  <c r="H61" i="71"/>
  <c r="H36" i="71"/>
  <c r="H28" i="71"/>
  <c r="H54" i="31"/>
  <c r="H31" i="31"/>
  <c r="H67" i="30"/>
  <c r="H38" i="30"/>
  <c r="H32" i="30"/>
  <c r="H49" i="4"/>
  <c r="H46" i="4"/>
  <c r="H30" i="4"/>
  <c r="H52" i="85"/>
  <c r="H50" i="4"/>
  <c r="H29" i="3"/>
  <c r="H45" i="30"/>
  <c r="H53" i="85"/>
  <c r="H63" i="86"/>
  <c r="H50" i="56"/>
  <c r="H42" i="56"/>
  <c r="H37" i="93"/>
  <c r="H44" i="87"/>
  <c r="H34" i="87"/>
  <c r="H48" i="91"/>
  <c r="H49" i="88"/>
  <c r="H32" i="88"/>
  <c r="H46" i="51"/>
  <c r="H61" i="55"/>
  <c r="H44" i="55"/>
  <c r="H50" i="7"/>
  <c r="H36" i="7"/>
  <c r="H28" i="7"/>
  <c r="H39" i="54"/>
  <c r="H31" i="54"/>
  <c r="H61" i="5"/>
  <c r="H53" i="5"/>
  <c r="H46" i="5"/>
  <c r="H37" i="5"/>
  <c r="H30" i="5"/>
  <c r="H52" i="6"/>
  <c r="H36" i="6"/>
  <c r="H28" i="6"/>
  <c r="H51" i="71"/>
  <c r="H45" i="71"/>
  <c r="H68" i="31"/>
  <c r="H61" i="31"/>
  <c r="H53" i="31"/>
  <c r="H47" i="31"/>
  <c r="H30" i="31"/>
  <c r="H50" i="30"/>
  <c r="H47" i="30"/>
  <c r="H44" i="30"/>
  <c r="H37" i="30"/>
  <c r="H42" i="4"/>
  <c r="H29" i="4"/>
  <c r="H61" i="85"/>
  <c r="H51" i="85"/>
  <c r="H39" i="85"/>
  <c r="H66" i="86"/>
  <c r="H62" i="86"/>
  <c r="H56" i="86"/>
  <c r="H52" i="86"/>
  <c r="H34" i="86"/>
  <c r="H60" i="3"/>
  <c r="H55" i="3"/>
  <c r="H51" i="3"/>
  <c r="H39" i="3"/>
  <c r="H35" i="85"/>
  <c r="H42" i="3"/>
  <c r="H59" i="56"/>
  <c r="H49" i="56"/>
  <c r="H61" i="93"/>
  <c r="H43" i="93"/>
  <c r="H49" i="87"/>
  <c r="H43" i="87"/>
  <c r="H33" i="87"/>
  <c r="H65" i="91"/>
  <c r="H66" i="88"/>
  <c r="H42" i="88"/>
  <c r="H64" i="51"/>
  <c r="H36" i="51"/>
  <c r="H52" i="55"/>
  <c r="H34" i="55"/>
  <c r="H65" i="7"/>
  <c r="H44" i="7"/>
  <c r="H67" i="54"/>
  <c r="H60" i="54"/>
  <c r="H51" i="54"/>
  <c r="H46" i="54"/>
  <c r="H38" i="54"/>
  <c r="H30" i="54"/>
  <c r="H52" i="5"/>
  <c r="H36" i="5"/>
  <c r="H29" i="5"/>
  <c r="H60" i="6"/>
  <c r="H51" i="6"/>
  <c r="H45" i="6"/>
  <c r="H67" i="71"/>
  <c r="H60" i="71"/>
  <c r="H35" i="71"/>
  <c r="H52" i="31"/>
  <c r="H39" i="31"/>
  <c r="H29" i="31"/>
  <c r="H61" i="30"/>
  <c r="H36" i="30"/>
  <c r="H31" i="30"/>
  <c r="H63" i="4"/>
  <c r="H59" i="4"/>
  <c r="H53" i="4"/>
  <c r="H34" i="4"/>
  <c r="H28" i="4"/>
  <c r="H38" i="85"/>
  <c r="H32" i="85"/>
  <c r="H33" i="86"/>
  <c r="H64" i="3"/>
  <c r="H38" i="3"/>
  <c r="H32" i="3"/>
  <c r="H29" i="30"/>
  <c r="H39" i="4"/>
  <c r="H43" i="85"/>
  <c r="H37" i="4"/>
  <c r="H36" i="86"/>
  <c r="H54" i="86"/>
  <c r="H48" i="56"/>
  <c r="H41" i="56"/>
  <c r="H33" i="56"/>
  <c r="H66" i="87"/>
  <c r="H32" i="87"/>
  <c r="H54" i="91"/>
  <c r="H47" i="91"/>
  <c r="H34" i="91"/>
  <c r="H48" i="88"/>
  <c r="H31" i="88"/>
  <c r="H53" i="51"/>
  <c r="H51" i="55"/>
  <c r="H56" i="7"/>
  <c r="H49" i="7"/>
  <c r="H35" i="7"/>
  <c r="H37" i="54"/>
  <c r="H29" i="54"/>
  <c r="H60" i="5"/>
  <c r="H51" i="5"/>
  <c r="H45" i="5"/>
  <c r="H28" i="5"/>
  <c r="H35" i="6"/>
  <c r="H50" i="71"/>
  <c r="H44" i="71"/>
  <c r="H38" i="31"/>
  <c r="H28" i="31"/>
  <c r="H65" i="30"/>
  <c r="H54" i="30"/>
  <c r="H66" i="85"/>
  <c r="H50" i="85"/>
  <c r="H47" i="85"/>
  <c r="H44" i="85"/>
  <c r="H37" i="85"/>
  <c r="H51" i="86"/>
  <c r="H48" i="86"/>
  <c r="H45" i="86"/>
  <c r="H32" i="86"/>
  <c r="H50" i="3"/>
  <c r="H47" i="3"/>
  <c r="H44" i="3"/>
  <c r="H37" i="3"/>
  <c r="H30" i="86"/>
  <c r="H63" i="85"/>
  <c r="H58" i="56"/>
  <c r="H47" i="56"/>
  <c r="H32" i="56"/>
  <c r="H60" i="93"/>
  <c r="H49" i="93"/>
  <c r="H42" i="93"/>
  <c r="H34" i="93"/>
  <c r="H48" i="87"/>
  <c r="H42" i="87"/>
  <c r="H53" i="91"/>
  <c r="H33" i="91"/>
  <c r="H65" i="88"/>
  <c r="H30" i="88"/>
  <c r="H63" i="51"/>
  <c r="H52" i="51"/>
  <c r="H43" i="51"/>
  <c r="H35" i="51"/>
  <c r="H59" i="55"/>
  <c r="H50" i="55"/>
  <c r="H41" i="55"/>
  <c r="H33" i="55"/>
  <c r="H43" i="7"/>
  <c r="H34" i="7"/>
  <c r="H45" i="54"/>
  <c r="H36" i="54"/>
  <c r="H28" i="54"/>
  <c r="H35" i="5"/>
  <c r="H66" i="6"/>
  <c r="H59" i="6"/>
  <c r="H50" i="6"/>
  <c r="H44" i="6"/>
  <c r="H34" i="6"/>
  <c r="H43" i="71"/>
  <c r="H34" i="71"/>
  <c r="H66" i="31"/>
  <c r="H51" i="31"/>
  <c r="H46" i="31"/>
  <c r="H37" i="31"/>
  <c r="H43" i="30"/>
  <c r="H35" i="30"/>
  <c r="H48" i="4"/>
  <c r="H45" i="4"/>
  <c r="H33" i="4"/>
  <c r="H36" i="85"/>
  <c r="H31" i="85"/>
  <c r="H65" i="86"/>
  <c r="H36" i="3"/>
  <c r="H31" i="3"/>
  <c r="H64" i="30"/>
  <c r="H60" i="30"/>
  <c r="H38" i="86"/>
  <c r="H43" i="3"/>
  <c r="H35" i="3"/>
  <c r="H31" i="4"/>
  <c r="H59" i="85"/>
  <c r="H34" i="85"/>
  <c r="H46" i="56"/>
  <c r="H40" i="56"/>
  <c r="H31" i="56"/>
  <c r="H48" i="93"/>
  <c r="H33" i="93"/>
  <c r="H65" i="87"/>
  <c r="H31" i="87"/>
  <c r="H52" i="91"/>
  <c r="H46" i="91"/>
  <c r="H32" i="91"/>
  <c r="H54" i="88"/>
  <c r="H47" i="88"/>
  <c r="H39" i="88"/>
  <c r="H29" i="88"/>
  <c r="H51" i="51"/>
  <c r="H42" i="51"/>
  <c r="H49" i="55"/>
  <c r="H40" i="55"/>
  <c r="H63" i="7"/>
  <c r="H55" i="7"/>
  <c r="H65" i="54"/>
  <c r="H50" i="54"/>
  <c r="H66" i="5"/>
  <c r="H59" i="5"/>
  <c r="H50" i="5"/>
  <c r="H44" i="5"/>
  <c r="H34" i="5"/>
  <c r="H43" i="6"/>
  <c r="H65" i="71"/>
  <c r="H49" i="71"/>
  <c r="H36" i="31"/>
  <c r="H49" i="30"/>
  <c r="H46" i="30"/>
  <c r="H30" i="30"/>
  <c r="H52" i="4"/>
  <c r="H60" i="85"/>
  <c r="H54" i="85"/>
  <c r="H61" i="86"/>
  <c r="H55" i="86"/>
  <c r="H39" i="86"/>
  <c r="H31" i="86"/>
  <c r="H63" i="3"/>
  <c r="H59" i="3"/>
  <c r="H54" i="3"/>
  <c r="H42" i="30"/>
  <c r="H61" i="4"/>
  <c r="H51" i="4"/>
  <c r="H64" i="85"/>
  <c r="H47" i="4"/>
  <c r="H36" i="4"/>
  <c r="H57" i="56"/>
  <c r="H47" i="93"/>
  <c r="H41" i="93"/>
  <c r="H32" i="93"/>
  <c r="H54" i="87"/>
  <c r="H47" i="87"/>
  <c r="H30" i="87"/>
  <c r="H53" i="88"/>
  <c r="H38" i="88"/>
  <c r="H28" i="88"/>
  <c r="H50" i="51"/>
  <c r="H41" i="51"/>
  <c r="H34" i="51"/>
  <c r="H58" i="55"/>
  <c r="H48" i="55"/>
  <c r="H39" i="55"/>
  <c r="H32" i="55"/>
  <c r="H48" i="7"/>
  <c r="H33" i="7"/>
  <c r="H44" i="54"/>
  <c r="H35" i="54"/>
  <c r="H43" i="5"/>
  <c r="H49" i="6"/>
  <c r="H33" i="6"/>
  <c r="H42" i="71"/>
  <c r="H33" i="71"/>
  <c r="H65" i="31"/>
  <c r="H50" i="31"/>
  <c r="H45" i="31"/>
  <c r="H28" i="85"/>
  <c r="H56" i="56"/>
  <c r="H45" i="56"/>
  <c r="H39" i="56"/>
  <c r="H30" i="56"/>
  <c r="H53" i="87"/>
  <c r="H39" i="87"/>
  <c r="H29" i="87"/>
  <c r="H61" i="91"/>
  <c r="H51" i="91"/>
  <c r="H45" i="91"/>
  <c r="H31" i="91"/>
  <c r="H52" i="88"/>
  <c r="H46" i="88"/>
  <c r="H37" i="88"/>
  <c r="H69" i="51"/>
  <c r="H49" i="51"/>
  <c r="H40" i="51"/>
  <c r="H47" i="55"/>
  <c r="H38" i="55"/>
  <c r="H31" i="55"/>
  <c r="H62" i="7"/>
  <c r="H54" i="7"/>
  <c r="H42" i="7"/>
  <c r="H64" i="54"/>
  <c r="H49" i="54"/>
  <c r="H34" i="54"/>
  <c r="H49" i="5"/>
  <c r="H33" i="5"/>
  <c r="H64" i="6"/>
  <c r="H42" i="6"/>
  <c r="H32" i="6"/>
  <c r="H64" i="71"/>
  <c r="H48" i="71"/>
  <c r="H32" i="71"/>
  <c r="H35" i="31"/>
  <c r="H53" i="30"/>
  <c r="H34" i="30"/>
  <c r="H28" i="30"/>
  <c r="H38" i="4"/>
  <c r="H32" i="4"/>
  <c r="H49" i="85"/>
  <c r="H46" i="85"/>
  <c r="H30" i="85"/>
  <c r="H50" i="86"/>
  <c r="H47" i="86"/>
  <c r="H44" i="86"/>
  <c r="H37" i="86"/>
  <c r="H49" i="3"/>
  <c r="H46" i="3"/>
  <c r="H30" i="3"/>
  <c r="H44" i="4"/>
  <c r="H29" i="85"/>
  <c r="H48" i="30"/>
  <c r="H55" i="56"/>
  <c r="H29" i="56"/>
  <c r="H46" i="93"/>
  <c r="H40" i="93"/>
  <c r="H31" i="93"/>
  <c r="H52" i="87"/>
  <c r="H38" i="87"/>
  <c r="H28" i="87"/>
  <c r="H30" i="91"/>
  <c r="H36" i="88"/>
  <c r="H33" i="51"/>
  <c r="H57" i="55"/>
  <c r="H30" i="55"/>
  <c r="H53" i="7"/>
  <c r="H47" i="7"/>
  <c r="H32" i="7"/>
  <c r="H55" i="54"/>
  <c r="H43" i="54"/>
  <c r="H64" i="5"/>
  <c r="H42" i="5"/>
  <c r="H48" i="6"/>
  <c r="H55" i="71"/>
  <c r="H56" i="31"/>
  <c r="H49" i="31"/>
  <c r="H44" i="31"/>
  <c r="H34" i="31"/>
  <c r="H54" i="56"/>
  <c r="H44" i="56"/>
  <c r="H38" i="56"/>
  <c r="H28" i="56"/>
  <c r="H30" i="93"/>
  <c r="H46" i="87"/>
  <c r="H37" i="87"/>
  <c r="H68" i="91"/>
  <c r="H50" i="91"/>
  <c r="H44" i="91"/>
  <c r="H29" i="91"/>
  <c r="H61" i="88"/>
  <c r="H51" i="88"/>
  <c r="H45" i="88"/>
  <c r="H67" i="51"/>
  <c r="H48" i="51"/>
  <c r="H39" i="51"/>
  <c r="H32" i="51"/>
  <c r="H46" i="55"/>
  <c r="H37" i="55"/>
  <c r="H68" i="7"/>
  <c r="H61" i="7"/>
  <c r="H52" i="7"/>
  <c r="H33" i="54"/>
  <c r="H48" i="5"/>
  <c r="H32" i="5"/>
  <c r="H63" i="6"/>
  <c r="H31" i="6"/>
  <c r="H54" i="71"/>
  <c r="H47" i="71"/>
  <c r="H39" i="71"/>
  <c r="H31" i="71"/>
  <c r="H63" i="31"/>
  <c r="H43" i="31"/>
  <c r="H33" i="31"/>
  <c r="H53" i="56"/>
  <c r="H37" i="56"/>
  <c r="H27" i="56"/>
  <c r="H45" i="93"/>
  <c r="H39" i="93"/>
  <c r="H29" i="93"/>
  <c r="H61" i="87"/>
  <c r="H51" i="87"/>
  <c r="H36" i="87"/>
  <c r="H43" i="91"/>
  <c r="H28" i="91"/>
  <c r="H35" i="88"/>
  <c r="H38" i="51"/>
  <c r="H31" i="51"/>
  <c r="H36" i="55"/>
  <c r="H46" i="7"/>
  <c r="H39" i="7"/>
  <c r="H31" i="7"/>
  <c r="H62" i="54"/>
  <c r="H54" i="54"/>
  <c r="H48" i="54"/>
  <c r="H42" i="54"/>
  <c r="H63" i="5"/>
  <c r="H54" i="6"/>
  <c r="H47" i="6"/>
  <c r="H39" i="6"/>
  <c r="H62" i="71"/>
  <c r="H53" i="71"/>
  <c r="H38" i="71"/>
  <c r="H30" i="71"/>
  <c r="H55" i="31"/>
  <c r="H32" i="31"/>
  <c r="H28" i="3"/>
  <c r="H28" i="86"/>
  <c r="H43" i="86"/>
  <c r="H53" i="3"/>
  <c r="H34" i="3"/>
  <c r="H52" i="30"/>
  <c r="H54" i="4"/>
  <c r="H68" i="86"/>
  <c r="H62" i="30"/>
  <c r="H35" i="86"/>
  <c r="H60" i="4"/>
  <c r="H61" i="3"/>
  <c r="G55" i="17"/>
  <c r="G61" i="78"/>
  <c r="G58" i="8"/>
  <c r="G49" i="78"/>
  <c r="G59" i="6"/>
  <c r="G43" i="70"/>
  <c r="G54" i="71"/>
  <c r="G61" i="5"/>
  <c r="D31" i="17"/>
  <c r="B9" i="17"/>
  <c r="S22" i="93"/>
  <c r="U22" i="93" s="1"/>
  <c r="B9" i="51"/>
  <c r="D61" i="51" s="1"/>
  <c r="B9" i="54"/>
  <c r="D58" i="54" s="1"/>
  <c r="C13" i="5"/>
  <c r="A56" i="5" s="1"/>
  <c r="D57" i="5"/>
  <c r="B9" i="71"/>
  <c r="D58" i="71" s="1"/>
  <c r="B9" i="85"/>
  <c r="D57" i="85" s="1"/>
  <c r="D57" i="3"/>
  <c r="C13" i="3"/>
  <c r="A56" i="3" s="1"/>
  <c r="B38" i="94"/>
  <c r="M30" i="94"/>
  <c r="E37" i="94" s="1"/>
  <c r="B36" i="94"/>
  <c r="N29" i="94"/>
  <c r="U30" i="95"/>
  <c r="T30" i="95"/>
  <c r="S31" i="95"/>
  <c r="U31" i="95" s="1"/>
  <c r="S23" i="93"/>
  <c r="V23" i="93" s="1"/>
  <c r="N13" i="93"/>
  <c r="N14" i="93" s="1"/>
  <c r="M14" i="93"/>
  <c r="M17" i="93" s="1"/>
  <c r="O10" i="93"/>
  <c r="O11" i="93" s="1"/>
  <c r="D34" i="30"/>
  <c r="B34" i="30"/>
  <c r="C672" i="1"/>
  <c r="B52" i="61" s="1"/>
  <c r="I126" i="1"/>
  <c r="I125" i="1"/>
  <c r="I28" i="1"/>
  <c r="C70" i="1"/>
  <c r="C25" i="1"/>
  <c r="I166" i="1"/>
  <c r="C69" i="1"/>
  <c r="I24" i="1"/>
  <c r="C26" i="1"/>
  <c r="C73" i="1"/>
  <c r="I72" i="1"/>
  <c r="I698" i="1"/>
  <c r="C622" i="1"/>
  <c r="B48" i="61" s="1"/>
  <c r="I592" i="1"/>
  <c r="C125" i="1"/>
  <c r="C127" i="1"/>
  <c r="I27" i="1"/>
  <c r="C126" i="1"/>
  <c r="I69" i="1"/>
  <c r="C691" i="1"/>
  <c r="B50" i="80" s="1"/>
  <c r="I644" i="1"/>
  <c r="C602" i="1"/>
  <c r="B48" i="56" s="1"/>
  <c r="C419" i="1"/>
  <c r="C655" i="1"/>
  <c r="B47" i="80" s="1"/>
  <c r="C580" i="1"/>
  <c r="B46" i="56" s="1"/>
  <c r="C71" i="1"/>
  <c r="I580" i="1"/>
  <c r="I73" i="1"/>
  <c r="C717" i="1"/>
  <c r="C511" i="1"/>
  <c r="B52" i="4" s="1"/>
  <c r="I350" i="1"/>
  <c r="I418" i="1"/>
  <c r="I352" i="1"/>
  <c r="C24" i="1"/>
  <c r="I633" i="1"/>
  <c r="I169" i="1"/>
  <c r="C698" i="1"/>
  <c r="B31" i="17" s="1"/>
  <c r="C352" i="1"/>
  <c r="I240" i="1"/>
  <c r="I239" i="1"/>
  <c r="C612" i="1"/>
  <c r="B47" i="61" s="1"/>
  <c r="C351" i="1"/>
  <c r="I71" i="1"/>
  <c r="C28" i="1"/>
  <c r="I622" i="1"/>
  <c r="C236" i="1"/>
  <c r="I420" i="1"/>
  <c r="C644" i="1"/>
  <c r="B52" i="56" s="1"/>
  <c r="C238" i="1"/>
  <c r="I236" i="1"/>
  <c r="C168" i="1"/>
  <c r="I237" i="1"/>
  <c r="C350" i="1"/>
  <c r="I129" i="1"/>
  <c r="I419" i="1"/>
  <c r="I168" i="1"/>
  <c r="I499" i="1"/>
  <c r="I844" i="1"/>
  <c r="I672" i="1"/>
  <c r="C850" i="1"/>
  <c r="C128" i="1"/>
  <c r="I351" i="1"/>
  <c r="I128" i="1"/>
  <c r="C592" i="1"/>
  <c r="B45" i="58" s="1"/>
  <c r="C72" i="1"/>
  <c r="I602" i="1"/>
  <c r="I681" i="1"/>
  <c r="I655" i="1"/>
  <c r="C499" i="1"/>
  <c r="I167" i="1"/>
  <c r="C633" i="1"/>
  <c r="I127" i="1"/>
  <c r="C240" i="1"/>
  <c r="I511" i="1"/>
  <c r="I850" i="1"/>
  <c r="C169" i="1"/>
  <c r="C239" i="1"/>
  <c r="I26" i="1"/>
  <c r="I165" i="1"/>
  <c r="C237" i="1"/>
  <c r="I612" i="1"/>
  <c r="I70" i="1"/>
  <c r="C420" i="1"/>
  <c r="C418" i="1"/>
  <c r="C844" i="1"/>
  <c r="I691" i="1"/>
  <c r="C165" i="1"/>
  <c r="I238" i="1"/>
  <c r="C27" i="1"/>
  <c r="C166" i="1"/>
  <c r="C167" i="1"/>
  <c r="I25" i="1"/>
  <c r="I717" i="1"/>
  <c r="C681" i="1"/>
  <c r="B49" i="80" s="1"/>
  <c r="C129" i="1"/>
  <c r="I32" i="4"/>
  <c r="E32" i="4"/>
  <c r="F32" i="4" s="1"/>
  <c r="G32" i="4" s="1"/>
  <c r="C32" i="4"/>
  <c r="C43" i="4"/>
  <c r="E43" i="4"/>
  <c r="F43" i="4" s="1"/>
  <c r="G43" i="4" s="1"/>
  <c r="I43" i="4"/>
  <c r="K32" i="4"/>
  <c r="L26" i="4"/>
  <c r="L24" i="4"/>
  <c r="L25" i="4"/>
  <c r="C13" i="4"/>
  <c r="A56" i="4" s="1"/>
  <c r="D57" i="4"/>
  <c r="B12" i="4"/>
  <c r="D34" i="4" s="1"/>
  <c r="B9" i="31"/>
  <c r="D59" i="31" s="1"/>
  <c r="C13" i="31"/>
  <c r="A58" i="31" s="1"/>
  <c r="I32" i="31"/>
  <c r="E32" i="31"/>
  <c r="F32" i="31" s="1"/>
  <c r="G32" i="31" s="1"/>
  <c r="C32" i="31"/>
  <c r="I43" i="31"/>
  <c r="C43" i="31"/>
  <c r="E43" i="31"/>
  <c r="F43" i="31" s="1"/>
  <c r="G43" i="31" s="1"/>
  <c r="L24" i="31"/>
  <c r="L26" i="31"/>
  <c r="L25" i="31"/>
  <c r="J32" i="30"/>
  <c r="D58" i="30"/>
  <c r="C13" i="30"/>
  <c r="A57" i="30" s="1"/>
  <c r="B36" i="78"/>
  <c r="B48" i="78"/>
  <c r="B47" i="78"/>
  <c r="K28" i="78"/>
  <c r="K27" i="78"/>
  <c r="K26" i="78"/>
  <c r="B31" i="78"/>
  <c r="B30" i="78"/>
  <c r="B12" i="78"/>
  <c r="D36" i="78" s="1"/>
  <c r="K13" i="78"/>
  <c r="Q8" i="78"/>
  <c r="T8" i="78" s="1"/>
  <c r="T19" i="78" s="1"/>
  <c r="K37" i="78"/>
  <c r="K28" i="53"/>
  <c r="K27" i="53"/>
  <c r="K26" i="53"/>
  <c r="B48" i="53"/>
  <c r="B36" i="53"/>
  <c r="B31" i="53"/>
  <c r="B30" i="53"/>
  <c r="D32" i="81"/>
  <c r="B9" i="81"/>
  <c r="B38" i="81"/>
  <c r="K24" i="81"/>
  <c r="B32" i="81"/>
  <c r="K23" i="81"/>
  <c r="B39" i="81"/>
  <c r="K22" i="81"/>
  <c r="B27" i="81"/>
  <c r="B26" i="81"/>
  <c r="K22" i="80"/>
  <c r="B32" i="80"/>
  <c r="B39" i="80"/>
  <c r="B38" i="80"/>
  <c r="K24" i="80"/>
  <c r="K23" i="80"/>
  <c r="B27" i="80"/>
  <c r="B26" i="80"/>
  <c r="D32" i="80"/>
  <c r="B9" i="80"/>
  <c r="B26" i="61"/>
  <c r="B25" i="61"/>
  <c r="B27" i="61"/>
  <c r="B31" i="61"/>
  <c r="I31" i="58"/>
  <c r="E31" i="58"/>
  <c r="C31" i="58"/>
  <c r="B27" i="58"/>
  <c r="B26" i="58"/>
  <c r="B25" i="58"/>
  <c r="B10" i="58"/>
  <c r="D31" i="58" s="1"/>
  <c r="I27" i="48"/>
  <c r="E27" i="48"/>
  <c r="F27" i="48" s="1"/>
  <c r="G27" i="48" s="1"/>
  <c r="C27" i="48"/>
  <c r="I28" i="44"/>
  <c r="E28" i="44"/>
  <c r="F28" i="44" s="1"/>
  <c r="G28" i="44" s="1"/>
  <c r="C28" i="44"/>
  <c r="E29" i="33"/>
  <c r="F29" i="33" s="1"/>
  <c r="G29" i="33" s="1"/>
  <c r="C29" i="33"/>
  <c r="I29" i="33"/>
  <c r="E29" i="70"/>
  <c r="F29" i="70" s="1"/>
  <c r="G29" i="70" s="1"/>
  <c r="I29" i="70"/>
  <c r="C29" i="70"/>
  <c r="I29" i="20"/>
  <c r="E29" i="20"/>
  <c r="F29" i="20" s="1"/>
  <c r="G29" i="20" s="1"/>
  <c r="C29" i="20"/>
  <c r="A39" i="4"/>
  <c r="A39" i="30"/>
  <c r="I29" i="18"/>
  <c r="E29" i="18"/>
  <c r="F29" i="18" s="1"/>
  <c r="G29" i="18" s="1"/>
  <c r="C29" i="18"/>
  <c r="I35" i="18"/>
  <c r="E35" i="18"/>
  <c r="F35" i="18" s="1"/>
  <c r="G35" i="18" s="1"/>
  <c r="C35" i="18"/>
  <c r="B31" i="18"/>
  <c r="E30" i="8"/>
  <c r="F30" i="8" s="1"/>
  <c r="G30" i="8" s="1"/>
  <c r="C30" i="8"/>
  <c r="I30" i="8"/>
  <c r="C13" i="55"/>
  <c r="A54" i="55" s="1"/>
  <c r="B9" i="55"/>
  <c r="D55" i="55" s="1"/>
  <c r="R8" i="55"/>
  <c r="R19" i="55" s="1"/>
  <c r="R9" i="55" s="1"/>
  <c r="G51" i="55"/>
  <c r="S8" i="55"/>
  <c r="Q34" i="55" s="1"/>
  <c r="G50" i="55"/>
  <c r="I37" i="56"/>
  <c r="E37" i="56"/>
  <c r="F37" i="56" s="1"/>
  <c r="G37" i="56" s="1"/>
  <c r="C37" i="56"/>
  <c r="I31" i="56"/>
  <c r="C31" i="56"/>
  <c r="E31" i="56"/>
  <c r="F31" i="56" s="1"/>
  <c r="G31" i="56" s="1"/>
  <c r="I32" i="87"/>
  <c r="C32" i="87"/>
  <c r="E32" i="87"/>
  <c r="F32" i="87" s="1"/>
  <c r="G32" i="87" s="1"/>
  <c r="L25" i="87"/>
  <c r="L26" i="87"/>
  <c r="L24" i="87"/>
  <c r="I43" i="87"/>
  <c r="C43" i="87"/>
  <c r="E43" i="87"/>
  <c r="F43" i="87" s="1"/>
  <c r="G43" i="87" s="1"/>
  <c r="B9" i="86"/>
  <c r="D59" i="86" s="1"/>
  <c r="C13" i="86"/>
  <c r="A58" i="86" s="1"/>
  <c r="B9" i="7"/>
  <c r="D59" i="7" s="1"/>
  <c r="L25" i="88"/>
  <c r="L26" i="88"/>
  <c r="L24" i="88"/>
  <c r="I43" i="88"/>
  <c r="C43" i="88"/>
  <c r="E43" i="88"/>
  <c r="F43" i="88" s="1"/>
  <c r="G43" i="88" s="1"/>
  <c r="I32" i="88"/>
  <c r="C32" i="88"/>
  <c r="E32" i="88"/>
  <c r="F32" i="88" s="1"/>
  <c r="G32" i="88" s="1"/>
  <c r="K13" i="51"/>
  <c r="Q8" i="51"/>
  <c r="K38" i="51"/>
  <c r="K28" i="51"/>
  <c r="B50" i="51" s="1"/>
  <c r="C50" i="51" s="1"/>
  <c r="K29" i="51"/>
  <c r="B51" i="51" s="1"/>
  <c r="K27" i="51"/>
  <c r="B49" i="51" s="1"/>
  <c r="B38" i="51"/>
  <c r="B32" i="51"/>
  <c r="B31" i="51"/>
  <c r="M12" i="55"/>
  <c r="K13" i="55"/>
  <c r="T8" i="55"/>
  <c r="Q30" i="55" s="1"/>
  <c r="B30" i="55"/>
  <c r="B31" i="55"/>
  <c r="K28" i="55"/>
  <c r="B49" i="55" s="1"/>
  <c r="J49" i="55" s="1"/>
  <c r="K27" i="55"/>
  <c r="B48" i="55" s="1"/>
  <c r="J48" i="55" s="1"/>
  <c r="K26" i="55"/>
  <c r="B47" i="55" s="1"/>
  <c r="J47" i="55" s="1"/>
  <c r="B36" i="55"/>
  <c r="K25" i="7"/>
  <c r="K24" i="7"/>
  <c r="K26" i="7"/>
  <c r="B34" i="7"/>
  <c r="B30" i="7"/>
  <c r="B28" i="7"/>
  <c r="B29" i="7"/>
  <c r="K26" i="54"/>
  <c r="K24" i="54"/>
  <c r="K25" i="54"/>
  <c r="B34" i="54"/>
  <c r="B29" i="54"/>
  <c r="B30" i="54"/>
  <c r="B28" i="54"/>
  <c r="K9" i="54"/>
  <c r="K11" i="54" s="1"/>
  <c r="K12" i="54"/>
  <c r="L12" i="54" s="1"/>
  <c r="M12" i="54" s="1"/>
  <c r="T8" i="54"/>
  <c r="S8" i="5"/>
  <c r="T8" i="5"/>
  <c r="U8" i="5"/>
  <c r="R29" i="5" s="1"/>
  <c r="S29" i="5" s="1"/>
  <c r="V29" i="5" s="1"/>
  <c r="L12" i="5"/>
  <c r="M12" i="5" s="1"/>
  <c r="N12" i="5" s="1"/>
  <c r="L9" i="5"/>
  <c r="L11" i="5" s="1"/>
  <c r="O7" i="5" s="1"/>
  <c r="O8" i="5" s="1"/>
  <c r="L13" i="5"/>
  <c r="L26" i="5"/>
  <c r="L24" i="5"/>
  <c r="L25" i="5"/>
  <c r="B34" i="5"/>
  <c r="I32" i="5"/>
  <c r="C32" i="5"/>
  <c r="E32" i="5"/>
  <c r="F32" i="5" s="1"/>
  <c r="G32" i="5" s="1"/>
  <c r="I43" i="5"/>
  <c r="E43" i="5"/>
  <c r="F43" i="5" s="1"/>
  <c r="G43" i="5" s="1"/>
  <c r="C43" i="5"/>
  <c r="L26" i="6"/>
  <c r="L25" i="6"/>
  <c r="L24" i="6"/>
  <c r="B34" i="6"/>
  <c r="I43" i="6"/>
  <c r="E43" i="6"/>
  <c r="F43" i="6" s="1"/>
  <c r="G43" i="6" s="1"/>
  <c r="C43" i="6"/>
  <c r="I32" i="6"/>
  <c r="E32" i="6"/>
  <c r="F32" i="6" s="1"/>
  <c r="G32" i="6" s="1"/>
  <c r="C32" i="6"/>
  <c r="U8" i="71"/>
  <c r="L13" i="71"/>
  <c r="L12" i="71"/>
  <c r="M12" i="71" s="1"/>
  <c r="T8" i="71"/>
  <c r="S8" i="71"/>
  <c r="I32" i="71"/>
  <c r="E32" i="71"/>
  <c r="F32" i="71" s="1"/>
  <c r="G32" i="71" s="1"/>
  <c r="C32" i="71"/>
  <c r="I43" i="71"/>
  <c r="C43" i="71"/>
  <c r="E43" i="71"/>
  <c r="F43" i="71" s="1"/>
  <c r="G43" i="71" s="1"/>
  <c r="L24" i="71"/>
  <c r="L25" i="71"/>
  <c r="L26" i="71"/>
  <c r="E32" i="30"/>
  <c r="F32" i="30" s="1"/>
  <c r="G32" i="30" s="1"/>
  <c r="C32" i="30"/>
  <c r="I32" i="30"/>
  <c r="L24" i="30"/>
  <c r="L26" i="30"/>
  <c r="L25" i="30"/>
  <c r="I43" i="30"/>
  <c r="E43" i="30"/>
  <c r="F43" i="30" s="1"/>
  <c r="G43" i="30" s="1"/>
  <c r="C43" i="30"/>
  <c r="L24" i="85"/>
  <c r="L25" i="85"/>
  <c r="L26" i="85"/>
  <c r="E43" i="85"/>
  <c r="F43" i="85" s="1"/>
  <c r="G43" i="85" s="1"/>
  <c r="I43" i="85"/>
  <c r="C43" i="85"/>
  <c r="I32" i="85"/>
  <c r="E32" i="85"/>
  <c r="F32" i="85" s="1"/>
  <c r="G32" i="85" s="1"/>
  <c r="C32" i="85"/>
  <c r="I43" i="86"/>
  <c r="E43" i="86"/>
  <c r="F43" i="86" s="1"/>
  <c r="G43" i="86" s="1"/>
  <c r="C43" i="86"/>
  <c r="L26" i="86"/>
  <c r="L25" i="86"/>
  <c r="L24" i="86"/>
  <c r="E32" i="86"/>
  <c r="F32" i="86" s="1"/>
  <c r="G32" i="86" s="1"/>
  <c r="I32" i="86"/>
  <c r="C32" i="86"/>
  <c r="I32" i="3"/>
  <c r="E32" i="3"/>
  <c r="F32" i="3" s="1"/>
  <c r="G32" i="3" s="1"/>
  <c r="C32" i="3"/>
  <c r="I43" i="3"/>
  <c r="E43" i="3"/>
  <c r="F43" i="3" s="1"/>
  <c r="G43" i="3" s="1"/>
  <c r="C43" i="3"/>
  <c r="L26" i="3"/>
  <c r="L25" i="3"/>
  <c r="L24" i="3"/>
  <c r="A43" i="88"/>
  <c r="A38" i="93"/>
  <c r="A45" i="55"/>
  <c r="A43" i="87"/>
  <c r="A47" i="51"/>
  <c r="A43" i="91"/>
  <c r="A43" i="31"/>
  <c r="A43" i="85"/>
  <c r="A43" i="4"/>
  <c r="A43" i="30"/>
  <c r="A43" i="86"/>
  <c r="E44" i="72"/>
  <c r="F44" i="72" s="1"/>
  <c r="G44" i="72" s="1"/>
  <c r="C33" i="72"/>
  <c r="C44" i="72"/>
  <c r="B12" i="86"/>
  <c r="D34" i="86" s="1"/>
  <c r="K26" i="72"/>
  <c r="K25" i="72"/>
  <c r="K27" i="72"/>
  <c r="F862" i="1"/>
  <c r="E55" i="72"/>
  <c r="F55" i="72" s="1"/>
  <c r="G55" i="72" s="1"/>
  <c r="E56" i="72"/>
  <c r="F56" i="72" s="1"/>
  <c r="G56" i="72" s="1"/>
  <c r="E36" i="72"/>
  <c r="F36" i="72" s="1"/>
  <c r="G36" i="72" s="1"/>
  <c r="E47" i="72"/>
  <c r="F47" i="72" s="1"/>
  <c r="G47" i="72" s="1"/>
  <c r="C54" i="72"/>
  <c r="F710" i="1"/>
  <c r="C50" i="72"/>
  <c r="E45" i="72"/>
  <c r="F45" i="72" s="1"/>
  <c r="G45" i="72" s="1"/>
  <c r="F863" i="1"/>
  <c r="E46" i="72"/>
  <c r="F46" i="72" s="1"/>
  <c r="G46" i="72" s="1"/>
  <c r="H56" i="72"/>
  <c r="H53" i="72"/>
  <c r="H48" i="72"/>
  <c r="H34" i="72"/>
  <c r="H31" i="72"/>
  <c r="H38" i="72"/>
  <c r="G861" i="1"/>
  <c r="H50" i="72"/>
  <c r="H45" i="72"/>
  <c r="H62" i="72"/>
  <c r="H37" i="72"/>
  <c r="H55" i="72"/>
  <c r="H52" i="72"/>
  <c r="H33" i="72"/>
  <c r="H30" i="72"/>
  <c r="H47" i="72"/>
  <c r="H60" i="72"/>
  <c r="H44" i="72"/>
  <c r="H39" i="72"/>
  <c r="H49" i="72"/>
  <c r="H36" i="72"/>
  <c r="H54" i="72"/>
  <c r="H32" i="72"/>
  <c r="H29" i="72"/>
  <c r="H51" i="72"/>
  <c r="H46" i="72"/>
  <c r="H43" i="72"/>
  <c r="H35" i="72"/>
  <c r="C56" i="72"/>
  <c r="C36" i="72"/>
  <c r="C55" i="72"/>
  <c r="K31" i="4"/>
  <c r="J33" i="4"/>
  <c r="F43" i="91"/>
  <c r="G43" i="91" s="1"/>
  <c r="F866" i="1"/>
  <c r="L67" i="5"/>
  <c r="K57" i="81"/>
  <c r="A53" i="72"/>
  <c r="F445" i="1"/>
  <c r="A41" i="53"/>
  <c r="G27" i="57"/>
  <c r="F100" i="1"/>
  <c r="A38" i="5"/>
  <c r="A38" i="71"/>
  <c r="A38" i="4"/>
  <c r="A38" i="7"/>
  <c r="A40" i="53"/>
  <c r="F48" i="91"/>
  <c r="G48" i="91" s="1"/>
  <c r="F43" i="93"/>
  <c r="G43" i="93" s="1"/>
  <c r="A8" i="3"/>
  <c r="A8" i="31"/>
  <c r="A8" i="55"/>
  <c r="A8" i="51"/>
  <c r="A3" i="91"/>
  <c r="A3" i="51"/>
  <c r="A3" i="54"/>
  <c r="A3" i="4"/>
  <c r="A3" i="85"/>
  <c r="A3" i="71"/>
  <c r="A3" i="3"/>
  <c r="A3" i="56"/>
  <c r="A3" i="72"/>
  <c r="A3" i="55"/>
  <c r="A3" i="31"/>
  <c r="A3" i="30"/>
  <c r="A3" i="5"/>
  <c r="A3" i="6"/>
  <c r="A3" i="88"/>
  <c r="A3" i="86"/>
  <c r="F42" i="91"/>
  <c r="G42" i="91" s="1"/>
  <c r="F37" i="93"/>
  <c r="G37" i="93" s="1"/>
  <c r="F31" i="93"/>
  <c r="G31" i="93" s="1"/>
  <c r="F46" i="91"/>
  <c r="G46" i="91" s="1"/>
  <c r="F41" i="93"/>
  <c r="G41" i="93" s="1"/>
  <c r="F47" i="91"/>
  <c r="G47" i="91" s="1"/>
  <c r="F42" i="93"/>
  <c r="G42" i="93" s="1"/>
  <c r="F51" i="91"/>
  <c r="G51" i="91" s="1"/>
  <c r="F46" i="93"/>
  <c r="G46" i="93" s="1"/>
  <c r="C65" i="91"/>
  <c r="C60" i="93"/>
  <c r="F45" i="91"/>
  <c r="G45" i="91" s="1"/>
  <c r="F40" i="93"/>
  <c r="G40" i="93" s="1"/>
  <c r="F50" i="91"/>
  <c r="G50" i="91" s="1"/>
  <c r="F45" i="93"/>
  <c r="G45" i="93" s="1"/>
  <c r="F103" i="1"/>
  <c r="A10" i="31"/>
  <c r="A10" i="55"/>
  <c r="A10" i="51"/>
  <c r="A10" i="88"/>
  <c r="A10" i="87"/>
  <c r="A10" i="91"/>
  <c r="F44" i="91"/>
  <c r="G44" i="91" s="1"/>
  <c r="F39" i="93"/>
  <c r="G39" i="93" s="1"/>
  <c r="F66" i="91"/>
  <c r="G66" i="91" s="1"/>
  <c r="F61" i="93"/>
  <c r="G61" i="93" s="1"/>
  <c r="F38" i="93"/>
  <c r="G38" i="93" s="1"/>
  <c r="C66" i="91"/>
  <c r="C61" i="93"/>
  <c r="F49" i="91"/>
  <c r="G49" i="91" s="1"/>
  <c r="F44" i="93"/>
  <c r="G44" i="93" s="1"/>
  <c r="F49" i="93"/>
  <c r="G49" i="93" s="1"/>
  <c r="F61" i="91"/>
  <c r="G61" i="91" s="1"/>
  <c r="F898" i="1"/>
  <c r="F31" i="91"/>
  <c r="G31" i="91" s="1"/>
  <c r="F32" i="91"/>
  <c r="G32" i="91" s="1"/>
  <c r="F900" i="1"/>
  <c r="F60" i="93"/>
  <c r="G60" i="93" s="1"/>
  <c r="F899" i="1"/>
  <c r="L64" i="44"/>
  <c r="A38" i="30"/>
  <c r="F54" i="91"/>
  <c r="G54" i="91" s="1"/>
  <c r="K68" i="53"/>
  <c r="L64" i="70"/>
  <c r="L66" i="8"/>
  <c r="L68" i="71"/>
  <c r="L61" i="61"/>
  <c r="L60" i="58"/>
  <c r="K70" i="51"/>
  <c r="F65" i="91"/>
  <c r="G65" i="91" s="1"/>
  <c r="L63" i="34"/>
  <c r="L64" i="33"/>
  <c r="K64" i="55"/>
  <c r="K67" i="78"/>
  <c r="L67" i="30"/>
  <c r="A49" i="4"/>
  <c r="K68" i="54"/>
  <c r="R32" i="91"/>
  <c r="S9" i="91"/>
  <c r="R26" i="91"/>
  <c r="R24" i="91"/>
  <c r="R30" i="91"/>
  <c r="R29" i="91"/>
  <c r="R21" i="91"/>
  <c r="S21" i="91" s="1"/>
  <c r="T21" i="91" s="1"/>
  <c r="R25" i="91"/>
  <c r="R22" i="91"/>
  <c r="R27" i="91"/>
  <c r="T9" i="91"/>
  <c r="R31" i="91"/>
  <c r="R23" i="91"/>
  <c r="R28" i="91"/>
  <c r="U9" i="91"/>
  <c r="M13" i="91"/>
  <c r="O10" i="91" s="1"/>
  <c r="O11" i="91" s="1"/>
  <c r="A28" i="33"/>
  <c r="F742" i="1"/>
  <c r="F274" i="1"/>
  <c r="F102" i="1"/>
  <c r="F46" i="57"/>
  <c r="F23" i="57"/>
  <c r="F33" i="57"/>
  <c r="F47" i="57"/>
  <c r="F34" i="57"/>
  <c r="F28" i="57"/>
  <c r="F13" i="57"/>
  <c r="F29" i="57"/>
  <c r="F36" i="57"/>
  <c r="F14" i="57"/>
  <c r="F37" i="57"/>
  <c r="F15" i="57"/>
  <c r="F43" i="57"/>
  <c r="F24" i="57"/>
  <c r="F374" i="1"/>
  <c r="F373" i="1"/>
  <c r="A9" i="34"/>
  <c r="F44" i="88"/>
  <c r="G44" i="88" s="1"/>
  <c r="F66" i="88"/>
  <c r="G66" i="88" s="1"/>
  <c r="F54" i="88"/>
  <c r="G54" i="88" s="1"/>
  <c r="F44" i="54"/>
  <c r="G44" i="54" s="1"/>
  <c r="A32" i="8"/>
  <c r="F719" i="1"/>
  <c r="F43" i="7"/>
  <c r="G43" i="7" s="1"/>
  <c r="A10" i="8"/>
  <c r="F101" i="1"/>
  <c r="F34" i="19"/>
  <c r="G34" i="19" s="1"/>
  <c r="F42" i="56"/>
  <c r="G42" i="56" s="1"/>
  <c r="F839" i="1"/>
  <c r="C63" i="5"/>
  <c r="F46" i="88"/>
  <c r="G46" i="88" s="1"/>
  <c r="F47" i="31"/>
  <c r="G47" i="31" s="1"/>
  <c r="F51" i="88"/>
  <c r="G51" i="88" s="1"/>
  <c r="F45" i="5"/>
  <c r="G45" i="5" s="1"/>
  <c r="F43" i="56"/>
  <c r="G43" i="56" s="1"/>
  <c r="C66" i="86"/>
  <c r="A52" i="4"/>
  <c r="A38" i="31"/>
  <c r="A28" i="70"/>
  <c r="A9" i="80"/>
  <c r="B5" i="78"/>
  <c r="A38" i="87"/>
  <c r="A10" i="3"/>
  <c r="E3" i="72"/>
  <c r="A40" i="55"/>
  <c r="E74" i="42"/>
  <c r="A9" i="72"/>
  <c r="A42" i="51"/>
  <c r="A8" i="34"/>
  <c r="A38" i="72"/>
  <c r="A38" i="6"/>
  <c r="A38" i="54"/>
  <c r="A40" i="78"/>
  <c r="A7" i="56"/>
  <c r="G8" i="56"/>
  <c r="F20" i="57"/>
  <c r="F21" i="57"/>
  <c r="F75" i="42"/>
  <c r="F81" i="42" s="1"/>
  <c r="F22" i="57"/>
  <c r="F18" i="57"/>
  <c r="F19" i="57"/>
  <c r="D31" i="18"/>
  <c r="B9" i="18"/>
  <c r="F53" i="51"/>
  <c r="G53" i="51" s="1"/>
  <c r="L13" i="30"/>
  <c r="L9" i="30"/>
  <c r="L11" i="30" s="1"/>
  <c r="L12" i="30"/>
  <c r="M12" i="30" s="1"/>
  <c r="N12" i="30" s="1"/>
  <c r="N7" i="78"/>
  <c r="N8" i="78" s="1"/>
  <c r="M12" i="78"/>
  <c r="K12" i="53"/>
  <c r="L12" i="53" s="1"/>
  <c r="K37" i="53"/>
  <c r="K9" i="53"/>
  <c r="K11" i="53" s="1"/>
  <c r="K13" i="53"/>
  <c r="K9" i="81"/>
  <c r="K11" i="81" s="1"/>
  <c r="K12" i="81"/>
  <c r="L12" i="81" s="1"/>
  <c r="K13" i="81"/>
  <c r="K33" i="81"/>
  <c r="K12" i="80"/>
  <c r="L12" i="80" s="1"/>
  <c r="B12" i="18"/>
  <c r="B12" i="8"/>
  <c r="K12" i="51"/>
  <c r="L12" i="51" s="1"/>
  <c r="K9" i="51"/>
  <c r="K11" i="51" s="1"/>
  <c r="S8" i="51"/>
  <c r="S20" i="51" s="1"/>
  <c r="N7" i="55"/>
  <c r="N8" i="55" s="1"/>
  <c r="Q8" i="7"/>
  <c r="Q9" i="7" s="1"/>
  <c r="Q10" i="7" s="1"/>
  <c r="Q11" i="7" s="1"/>
  <c r="Q12" i="7" s="1"/>
  <c r="Q13" i="7" s="1"/>
  <c r="Q14" i="7" s="1"/>
  <c r="S8" i="54"/>
  <c r="R8" i="54"/>
  <c r="L9" i="6"/>
  <c r="L11" i="6" s="1"/>
  <c r="L13" i="6"/>
  <c r="L12" i="6"/>
  <c r="M12" i="6" s="1"/>
  <c r="O7" i="71"/>
  <c r="O8" i="71" s="1"/>
  <c r="B38" i="71" s="1"/>
  <c r="O10" i="71"/>
  <c r="O11" i="71" s="1"/>
  <c r="R8" i="85"/>
  <c r="R9" i="85" s="1"/>
  <c r="R10" i="85" s="1"/>
  <c r="R11" i="85" s="1"/>
  <c r="R12" i="85" s="1"/>
  <c r="R13" i="85" s="1"/>
  <c r="R14" i="85" s="1"/>
  <c r="L12" i="86"/>
  <c r="M12" i="86" s="1"/>
  <c r="L13" i="86"/>
  <c r="L12" i="4"/>
  <c r="M12" i="4" s="1"/>
  <c r="L9" i="4"/>
  <c r="L11" i="4" s="1"/>
  <c r="L13" i="4"/>
  <c r="J32" i="4"/>
  <c r="T8" i="86"/>
  <c r="S8" i="86"/>
  <c r="U8" i="86"/>
  <c r="L9" i="86"/>
  <c r="L11" i="86" s="1"/>
  <c r="L12" i="3"/>
  <c r="M12" i="3" s="1"/>
  <c r="N12" i="3" s="1"/>
  <c r="L13" i="3"/>
  <c r="L9" i="3"/>
  <c r="L11" i="3" s="1"/>
  <c r="O12" i="3"/>
  <c r="P12" i="3" s="1"/>
  <c r="B14" i="56"/>
  <c r="D33" i="56"/>
  <c r="B5" i="7"/>
  <c r="B5" i="61"/>
  <c r="A28" i="20"/>
  <c r="A26" i="48"/>
  <c r="B5" i="55"/>
  <c r="A28" i="34"/>
  <c r="A30" i="56"/>
  <c r="A27" i="44"/>
  <c r="J33" i="30"/>
  <c r="B5" i="81"/>
  <c r="F444" i="1"/>
  <c r="B5" i="51"/>
  <c r="B5" i="54"/>
  <c r="B5" i="53"/>
  <c r="A28" i="19"/>
  <c r="F43" i="20"/>
  <c r="G43" i="20" s="1"/>
  <c r="F48" i="30"/>
  <c r="G48" i="30" s="1"/>
  <c r="F41" i="17"/>
  <c r="G41" i="17" s="1"/>
  <c r="F48" i="6"/>
  <c r="G48" i="6" s="1"/>
  <c r="F65" i="51"/>
  <c r="G65" i="51" s="1"/>
  <c r="F49" i="4"/>
  <c r="G49" i="4" s="1"/>
  <c r="F41" i="18"/>
  <c r="G41" i="18" s="1"/>
  <c r="F51" i="72"/>
  <c r="G51" i="72" s="1"/>
  <c r="F49" i="7"/>
  <c r="G49" i="7" s="1"/>
  <c r="F41" i="34"/>
  <c r="G41" i="34" s="1"/>
  <c r="F50" i="7"/>
  <c r="G50" i="7" s="1"/>
  <c r="F38" i="48"/>
  <c r="G38" i="48" s="1"/>
  <c r="F43" i="19"/>
  <c r="G43" i="19" s="1"/>
  <c r="F61" i="3"/>
  <c r="G61" i="3" s="1"/>
  <c r="F62" i="30"/>
  <c r="G62" i="30" s="1"/>
  <c r="F42" i="54"/>
  <c r="G42" i="54" s="1"/>
  <c r="F38" i="19"/>
  <c r="G38" i="19" s="1"/>
  <c r="F28" i="48"/>
  <c r="G28" i="48" s="1"/>
  <c r="F35" i="8"/>
  <c r="G35" i="8" s="1"/>
  <c r="F47" i="54"/>
  <c r="G47" i="54" s="1"/>
  <c r="F28" i="80"/>
  <c r="G28" i="80" s="1"/>
  <c r="F38" i="18"/>
  <c r="G38" i="18" s="1"/>
  <c r="F46" i="30"/>
  <c r="G46" i="30" s="1"/>
  <c r="F32" i="78"/>
  <c r="G32" i="78" s="1"/>
  <c r="F62" i="53"/>
  <c r="G62" i="53" s="1"/>
  <c r="F50" i="72"/>
  <c r="G50" i="72" s="1"/>
  <c r="F42" i="31"/>
  <c r="G42" i="31" s="1"/>
  <c r="F34" i="58"/>
  <c r="G34" i="58" s="1"/>
  <c r="F64" i="3"/>
  <c r="G64" i="3" s="1"/>
  <c r="F60" i="30"/>
  <c r="G60" i="30" s="1"/>
  <c r="F62" i="7"/>
  <c r="G62" i="7" s="1"/>
  <c r="F39" i="17"/>
  <c r="G39" i="17" s="1"/>
  <c r="F35" i="31"/>
  <c r="G35" i="31" s="1"/>
  <c r="F39" i="19"/>
  <c r="G39" i="19" s="1"/>
  <c r="F53" i="5"/>
  <c r="G53" i="5" s="1"/>
  <c r="F45" i="78"/>
  <c r="G45" i="78" s="1"/>
  <c r="F64" i="5"/>
  <c r="G64" i="5" s="1"/>
  <c r="F65" i="30"/>
  <c r="G65" i="30" s="1"/>
  <c r="F65" i="53"/>
  <c r="G65" i="53" s="1"/>
  <c r="F67" i="51"/>
  <c r="G67" i="51" s="1"/>
  <c r="F53" i="4"/>
  <c r="G53" i="4" s="1"/>
  <c r="F41" i="48"/>
  <c r="G41" i="48" s="1"/>
  <c r="F37" i="48"/>
  <c r="G37" i="48" s="1"/>
  <c r="F52" i="55"/>
  <c r="G52" i="55" s="1"/>
  <c r="F42" i="18"/>
  <c r="G42" i="18" s="1"/>
  <c r="F43" i="17"/>
  <c r="G43" i="17" s="1"/>
  <c r="F37" i="44"/>
  <c r="G37" i="44" s="1"/>
  <c r="F44" i="55"/>
  <c r="G44" i="55" s="1"/>
  <c r="F43" i="72"/>
  <c r="G43" i="72" s="1"/>
  <c r="F35" i="71"/>
  <c r="G35" i="71" s="1"/>
  <c r="F47" i="5"/>
  <c r="G47" i="5" s="1"/>
  <c r="F40" i="56"/>
  <c r="G40" i="56" s="1"/>
  <c r="F35" i="5"/>
  <c r="G35" i="5" s="1"/>
  <c r="F35" i="30"/>
  <c r="G35" i="30" s="1"/>
  <c r="F38" i="62"/>
  <c r="G38" i="62" s="1"/>
  <c r="F42" i="62"/>
  <c r="G42" i="62" s="1"/>
  <c r="F46" i="3"/>
  <c r="G46" i="3" s="1"/>
  <c r="F42" i="4"/>
  <c r="G42" i="4" s="1"/>
  <c r="F50" i="54"/>
  <c r="G50" i="54" s="1"/>
  <c r="F38" i="34"/>
  <c r="G38" i="34" s="1"/>
  <c r="F29" i="62"/>
  <c r="G29" i="62" s="1"/>
  <c r="F51" i="7"/>
  <c r="G51" i="7" s="1"/>
  <c r="F64" i="4"/>
  <c r="G64" i="4" s="1"/>
  <c r="F40" i="48"/>
  <c r="G40" i="48" s="1"/>
  <c r="F41" i="56"/>
  <c r="G41" i="56" s="1"/>
  <c r="F40" i="8"/>
  <c r="G40" i="8" s="1"/>
  <c r="F54" i="6"/>
  <c r="G54" i="6" s="1"/>
  <c r="F61" i="7"/>
  <c r="G61" i="7" s="1"/>
  <c r="F42" i="58"/>
  <c r="G42" i="58" s="1"/>
  <c r="F56" i="61"/>
  <c r="G56" i="61" s="1"/>
  <c r="F44" i="8"/>
  <c r="G44" i="8" s="1"/>
  <c r="F64" i="51"/>
  <c r="G64" i="51" s="1"/>
  <c r="F41" i="20"/>
  <c r="G41" i="20" s="1"/>
  <c r="F36" i="62"/>
  <c r="G36" i="62" s="1"/>
  <c r="F53" i="72"/>
  <c r="G53" i="72" s="1"/>
  <c r="F40" i="61"/>
  <c r="G40" i="61" s="1"/>
  <c r="F63" i="31"/>
  <c r="G63" i="31" s="1"/>
  <c r="F62" i="31"/>
  <c r="G62" i="31" s="1"/>
  <c r="F43" i="34"/>
  <c r="G43" i="34" s="1"/>
  <c r="F52" i="81"/>
  <c r="G52" i="81" s="1"/>
  <c r="F61" i="30"/>
  <c r="G61" i="30" s="1"/>
  <c r="F61" i="71"/>
  <c r="G61" i="71" s="1"/>
  <c r="F42" i="44"/>
  <c r="G42" i="44" s="1"/>
  <c r="F54" i="44"/>
  <c r="G54" i="44" s="1"/>
  <c r="F42" i="8"/>
  <c r="G42" i="8" s="1"/>
  <c r="F49" i="53"/>
  <c r="G49" i="53" s="1"/>
  <c r="F61" i="54"/>
  <c r="G61" i="54" s="1"/>
  <c r="F50" i="71"/>
  <c r="G50" i="71" s="1"/>
  <c r="F39" i="48"/>
  <c r="G39" i="48" s="1"/>
  <c r="F62" i="71"/>
  <c r="G62" i="71" s="1"/>
  <c r="F35" i="51"/>
  <c r="G35" i="51" s="1"/>
  <c r="F43" i="62"/>
  <c r="G43" i="62" s="1"/>
  <c r="F43" i="33"/>
  <c r="G43" i="33" s="1"/>
  <c r="D6" i="57"/>
  <c r="E6" i="57" s="1"/>
  <c r="F6" i="57" s="1"/>
  <c r="F60" i="4"/>
  <c r="G60" i="4" s="1"/>
  <c r="F48" i="7"/>
  <c r="G48" i="7" s="1"/>
  <c r="F47" i="4"/>
  <c r="G47" i="4" s="1"/>
  <c r="F47" i="3"/>
  <c r="G47" i="3" s="1"/>
  <c r="F38" i="44"/>
  <c r="G38" i="44" s="1"/>
  <c r="F39" i="70"/>
  <c r="G39" i="70" s="1"/>
  <c r="F39" i="18"/>
  <c r="G39" i="18" s="1"/>
  <c r="F42" i="80"/>
  <c r="G42" i="80" s="1"/>
  <c r="F47" i="71"/>
  <c r="G47" i="71" s="1"/>
  <c r="F47" i="6"/>
  <c r="G47" i="6" s="1"/>
  <c r="F60" i="6"/>
  <c r="G60" i="6" s="1"/>
  <c r="F39" i="62"/>
  <c r="G39" i="62" s="1"/>
  <c r="F39" i="33"/>
  <c r="G39" i="33" s="1"/>
  <c r="F60" i="72"/>
  <c r="G60" i="72" s="1"/>
  <c r="F58" i="55"/>
  <c r="G58" i="55" s="1"/>
  <c r="F60" i="3"/>
  <c r="G60" i="3" s="1"/>
  <c r="F30" i="17"/>
  <c r="G30" i="17" s="1"/>
  <c r="F42" i="81"/>
  <c r="G42" i="81" s="1"/>
  <c r="F47" i="30"/>
  <c r="G47" i="30" s="1"/>
  <c r="F39" i="20"/>
  <c r="G39" i="20" s="1"/>
  <c r="F52" i="53"/>
  <c r="G52" i="53" s="1"/>
  <c r="F39" i="58"/>
  <c r="G39" i="58" s="1"/>
  <c r="F52" i="78"/>
  <c r="G52" i="78" s="1"/>
  <c r="F39" i="34"/>
  <c r="G39" i="34" s="1"/>
  <c r="F48" i="54"/>
  <c r="G48" i="54" s="1"/>
  <c r="F55" i="31"/>
  <c r="G55" i="31" s="1"/>
  <c r="F42" i="17"/>
  <c r="G42" i="17" s="1"/>
  <c r="F50" i="78"/>
  <c r="G50" i="78" s="1"/>
  <c r="F42" i="61"/>
  <c r="G42" i="61" s="1"/>
  <c r="F44" i="31"/>
  <c r="G44" i="31" s="1"/>
  <c r="F36" i="34"/>
  <c r="G36" i="34" s="1"/>
  <c r="F51" i="54"/>
  <c r="G51" i="54" s="1"/>
  <c r="F50" i="3"/>
  <c r="G50" i="3" s="1"/>
  <c r="F50" i="5"/>
  <c r="G50" i="5" s="1"/>
  <c r="F36" i="20"/>
  <c r="G36" i="20" s="1"/>
  <c r="F42" i="70"/>
  <c r="G42" i="70" s="1"/>
  <c r="F44" i="56"/>
  <c r="G44" i="56" s="1"/>
  <c r="F48" i="72"/>
  <c r="G48" i="72" s="1"/>
  <c r="F56" i="34"/>
  <c r="G56" i="34" s="1"/>
  <c r="F54" i="54"/>
  <c r="G54" i="54" s="1"/>
  <c r="F58" i="56"/>
  <c r="G58" i="56" s="1"/>
  <c r="F56" i="18"/>
  <c r="G56" i="18" s="1"/>
  <c r="F35" i="80"/>
  <c r="G35" i="80" s="1"/>
  <c r="F57" i="51"/>
  <c r="G57" i="51" s="1"/>
  <c r="F55" i="54"/>
  <c r="G55" i="54" s="1"/>
  <c r="F54" i="5"/>
  <c r="G54" i="5" s="1"/>
  <c r="F35" i="4"/>
  <c r="G35" i="4" s="1"/>
  <c r="F39" i="51"/>
  <c r="G39" i="51" s="1"/>
  <c r="F43" i="58"/>
  <c r="G43" i="58" s="1"/>
  <c r="F43" i="61"/>
  <c r="G43" i="61" s="1"/>
  <c r="F45" i="56"/>
  <c r="G45" i="56" s="1"/>
  <c r="J35" i="4"/>
  <c r="F40" i="81"/>
  <c r="G40" i="81" s="1"/>
  <c r="F36" i="18"/>
  <c r="G36" i="18" s="1"/>
  <c r="F44" i="30"/>
  <c r="G44" i="30" s="1"/>
  <c r="F60" i="54"/>
  <c r="G60" i="54" s="1"/>
  <c r="F37" i="53"/>
  <c r="G37" i="53" s="1"/>
  <c r="F386" i="1"/>
  <c r="F32" i="7"/>
  <c r="G32" i="7" s="1"/>
  <c r="F45" i="54"/>
  <c r="G45" i="54" s="1"/>
  <c r="F37" i="78"/>
  <c r="G37" i="78" s="1"/>
  <c r="F64" i="6"/>
  <c r="G64" i="6" s="1"/>
  <c r="N24" i="77"/>
  <c r="F36" i="61"/>
  <c r="G36" i="61" s="1"/>
  <c r="F550" i="1"/>
  <c r="A10" i="81"/>
  <c r="F115" i="1"/>
  <c r="F473" i="1"/>
  <c r="F744" i="1"/>
  <c r="F631" i="1"/>
  <c r="F27" i="1"/>
  <c r="F16" i="1"/>
  <c r="F759" i="1"/>
  <c r="F466" i="1"/>
  <c r="F52" i="1"/>
  <c r="F291" i="1"/>
  <c r="F228" i="1"/>
  <c r="F312" i="1"/>
  <c r="F771" i="1"/>
  <c r="F672" i="1"/>
  <c r="F736" i="1"/>
  <c r="F748" i="1"/>
  <c r="F792" i="1"/>
  <c r="F566" i="1"/>
  <c r="F530" i="1"/>
  <c r="F822" i="1"/>
  <c r="F295" i="1"/>
  <c r="F842" i="1"/>
  <c r="F520" i="1"/>
  <c r="F45" i="88"/>
  <c r="G45" i="88" s="1"/>
  <c r="F45" i="30"/>
  <c r="G45" i="30" s="1"/>
  <c r="F46" i="54"/>
  <c r="G46" i="54" s="1"/>
  <c r="F45" i="4"/>
  <c r="G45" i="4" s="1"/>
  <c r="F46" i="7"/>
  <c r="G46" i="7" s="1"/>
  <c r="F45" i="31"/>
  <c r="G45" i="31" s="1"/>
  <c r="F65" i="87"/>
  <c r="G65" i="87" s="1"/>
  <c r="F65" i="7"/>
  <c r="G65" i="7" s="1"/>
  <c r="F63" i="4"/>
  <c r="G63" i="4" s="1"/>
  <c r="F52" i="51"/>
  <c r="G52" i="51" s="1"/>
  <c r="F45" i="3"/>
  <c r="G45" i="3" s="1"/>
  <c r="F37" i="18"/>
  <c r="G37" i="18" s="1"/>
  <c r="F39" i="56"/>
  <c r="G39" i="56" s="1"/>
  <c r="F65" i="31"/>
  <c r="G65" i="31" s="1"/>
  <c r="F34" i="78"/>
  <c r="G34" i="78" s="1"/>
  <c r="F34" i="53"/>
  <c r="G34" i="53" s="1"/>
  <c r="F41" i="81"/>
  <c r="G41" i="81" s="1"/>
  <c r="F36" i="44"/>
  <c r="G36" i="44" s="1"/>
  <c r="F37" i="19"/>
  <c r="G37" i="19" s="1"/>
  <c r="D4" i="57"/>
  <c r="E4" i="57" s="1"/>
  <c r="F4" i="57" s="1"/>
  <c r="A9" i="8"/>
  <c r="B5" i="80"/>
  <c r="A28" i="18"/>
  <c r="A39" i="71"/>
  <c r="A39" i="54"/>
  <c r="F36" i="81"/>
  <c r="G36" i="81" s="1"/>
  <c r="F705" i="1"/>
  <c r="A13" i="77"/>
  <c r="A32" i="56"/>
  <c r="A42" i="72"/>
  <c r="D62" i="72"/>
  <c r="B5" i="58"/>
  <c r="F31" i="31"/>
  <c r="G31" i="31" s="1"/>
  <c r="F40" i="1"/>
  <c r="A5" i="77"/>
  <c r="A59" i="3"/>
  <c r="A61" i="94" s="1"/>
  <c r="A35" i="72"/>
  <c r="F32" i="48"/>
  <c r="G32" i="48" s="1"/>
  <c r="F30" i="33"/>
  <c r="G30" i="33" s="1"/>
  <c r="F130" i="1"/>
  <c r="A30" i="8"/>
  <c r="A31" i="56"/>
  <c r="F389" i="1"/>
  <c r="F33" i="71"/>
  <c r="G33" i="71" s="1"/>
  <c r="F33" i="6"/>
  <c r="G33" i="6" s="1"/>
  <c r="F37" i="51"/>
  <c r="G37" i="51" s="1"/>
  <c r="F28" i="34"/>
  <c r="G28" i="34" s="1"/>
  <c r="F28" i="33"/>
  <c r="G28" i="33" s="1"/>
  <c r="F341" i="1"/>
  <c r="F245" i="1"/>
  <c r="F251" i="1"/>
  <c r="F562" i="1"/>
  <c r="F774" i="1"/>
  <c r="F5" i="1"/>
  <c r="F738" i="1"/>
  <c r="F296" i="1"/>
  <c r="F30" i="1"/>
  <c r="F48" i="88"/>
  <c r="G48" i="88" s="1"/>
  <c r="F52" i="72"/>
  <c r="G52" i="72" s="1"/>
  <c r="F40" i="19"/>
  <c r="G40" i="19" s="1"/>
  <c r="F40" i="20"/>
  <c r="G40" i="20" s="1"/>
  <c r="F48" i="31"/>
  <c r="G48" i="31" s="1"/>
  <c r="F53" i="78"/>
  <c r="G53" i="78" s="1"/>
  <c r="F40" i="70"/>
  <c r="G40" i="70" s="1"/>
  <c r="F61" i="6"/>
  <c r="G61" i="6" s="1"/>
  <c r="F62" i="54"/>
  <c r="G62" i="54" s="1"/>
  <c r="F61" i="4"/>
  <c r="G61" i="4" s="1"/>
  <c r="F59" i="55"/>
  <c r="G59" i="55" s="1"/>
  <c r="F63" i="7"/>
  <c r="G63" i="7" s="1"/>
  <c r="F29" i="61"/>
  <c r="G29" i="61" s="1"/>
  <c r="F30" i="58"/>
  <c r="G30" i="58" s="1"/>
  <c r="F30" i="20"/>
  <c r="G30" i="20" s="1"/>
  <c r="F30" i="34"/>
  <c r="G30" i="34" s="1"/>
  <c r="F30" i="62"/>
  <c r="G30" i="62" s="1"/>
  <c r="F34" i="70"/>
  <c r="G34" i="70" s="1"/>
  <c r="F36" i="56"/>
  <c r="G36" i="56" s="1"/>
  <c r="F34" i="62"/>
  <c r="G34" i="62" s="1"/>
  <c r="F34" i="61"/>
  <c r="G34" i="61" s="1"/>
  <c r="F34" i="20"/>
  <c r="G34" i="20" s="1"/>
  <c r="F34" i="33"/>
  <c r="G34" i="33" s="1"/>
  <c r="F42" i="71"/>
  <c r="G42" i="71" s="1"/>
  <c r="F44" i="53"/>
  <c r="G44" i="53" s="1"/>
  <c r="F33" i="44"/>
  <c r="G33" i="44" s="1"/>
  <c r="F42" i="3"/>
  <c r="G42" i="3" s="1"/>
  <c r="F414" i="1"/>
  <c r="F50" i="88"/>
  <c r="G50" i="88" s="1"/>
  <c r="F50" i="31"/>
  <c r="G50" i="31" s="1"/>
  <c r="F41" i="58"/>
  <c r="G41" i="58" s="1"/>
  <c r="F49" i="5"/>
  <c r="G49" i="5" s="1"/>
  <c r="F49" i="30"/>
  <c r="G49" i="30" s="1"/>
  <c r="F41" i="62"/>
  <c r="G41" i="62" s="1"/>
  <c r="F41" i="33"/>
  <c r="G41" i="33" s="1"/>
  <c r="F49" i="3"/>
  <c r="G49" i="3" s="1"/>
  <c r="F49" i="6"/>
  <c r="G49" i="6" s="1"/>
  <c r="F30" i="18"/>
  <c r="G30" i="18" s="1"/>
  <c r="A27" i="8"/>
  <c r="A28" i="56"/>
  <c r="F55" i="18"/>
  <c r="G55" i="18" s="1"/>
  <c r="F55" i="61"/>
  <c r="G55" i="61" s="1"/>
  <c r="F54" i="30"/>
  <c r="G54" i="30" s="1"/>
  <c r="F55" i="3"/>
  <c r="G55" i="3" s="1"/>
  <c r="F56" i="7"/>
  <c r="G56" i="7" s="1"/>
  <c r="F34" i="17"/>
  <c r="G34" i="17" s="1"/>
  <c r="F34" i="18"/>
  <c r="G34" i="18" s="1"/>
  <c r="F42" i="5"/>
  <c r="G42" i="5" s="1"/>
  <c r="F29" i="58"/>
  <c r="G29" i="58" s="1"/>
  <c r="F14" i="1"/>
  <c r="F46" i="51"/>
  <c r="G46" i="51" s="1"/>
  <c r="F42" i="7"/>
  <c r="G42" i="7" s="1"/>
  <c r="F127" i="1"/>
  <c r="F292" i="1"/>
  <c r="F409" i="1"/>
  <c r="F211" i="1"/>
  <c r="F121" i="1"/>
  <c r="F455" i="1"/>
  <c r="F99" i="1"/>
  <c r="F217" i="1"/>
  <c r="C64" i="3"/>
  <c r="F682" i="1"/>
  <c r="I22" i="48"/>
  <c r="A33" i="72"/>
  <c r="A36" i="3"/>
  <c r="A49" i="72"/>
  <c r="A54" i="85"/>
  <c r="F43" i="18"/>
  <c r="G43" i="18" s="1"/>
  <c r="F133" i="1"/>
  <c r="F539" i="1"/>
  <c r="F135" i="1"/>
  <c r="A60" i="72"/>
  <c r="F817" i="1"/>
  <c r="F678" i="1"/>
  <c r="F145" i="1"/>
  <c r="F805" i="1"/>
  <c r="F553" i="1"/>
  <c r="B23" i="57"/>
  <c r="F131" i="1"/>
  <c r="F53" i="1"/>
  <c r="F844" i="1"/>
  <c r="F31" i="1"/>
  <c r="F358" i="1"/>
  <c r="C66" i="31"/>
  <c r="F34" i="1"/>
  <c r="F845" i="1"/>
  <c r="F579" i="1"/>
  <c r="F837" i="1"/>
  <c r="F743" i="1"/>
  <c r="F717" i="1"/>
  <c r="F843" i="1"/>
  <c r="F120" i="1"/>
  <c r="C64" i="6"/>
  <c r="F828" i="1"/>
  <c r="F126" i="1"/>
  <c r="F691" i="1"/>
  <c r="F328" i="1"/>
  <c r="F464" i="1"/>
  <c r="F216" i="1"/>
  <c r="F848" i="1"/>
  <c r="F834" i="1"/>
  <c r="F820" i="1"/>
  <c r="F136" i="1"/>
  <c r="C65" i="31"/>
  <c r="F226" i="1"/>
  <c r="F468" i="1"/>
  <c r="F770" i="1"/>
  <c r="C64" i="30"/>
  <c r="F460" i="1"/>
  <c r="F196" i="1"/>
  <c r="F29" i="1"/>
  <c r="F508" i="1"/>
  <c r="F756" i="1"/>
  <c r="F419" i="1"/>
  <c r="F138" i="1"/>
  <c r="F462" i="1"/>
  <c r="F243" i="1"/>
  <c r="F590" i="1"/>
  <c r="F556" i="1"/>
  <c r="F282" i="1"/>
  <c r="F18" i="1"/>
  <c r="F242" i="1"/>
  <c r="F681" i="1"/>
  <c r="F427" i="1"/>
  <c r="F365" i="1"/>
  <c r="F308" i="1"/>
  <c r="F497" i="1"/>
  <c r="C63" i="4"/>
  <c r="F20" i="1"/>
  <c r="F747" i="1"/>
  <c r="F769" i="1"/>
  <c r="C65" i="7"/>
  <c r="F745" i="1"/>
  <c r="F392" i="1"/>
  <c r="F791" i="1"/>
  <c r="F142" i="1"/>
  <c r="F387" i="1"/>
  <c r="F702" i="1"/>
  <c r="F315" i="1"/>
  <c r="F521" i="1"/>
  <c r="F703" i="1"/>
  <c r="F307" i="1"/>
  <c r="F847" i="1"/>
  <c r="F36" i="1"/>
  <c r="F147" i="1"/>
  <c r="F502" i="1"/>
  <c r="F469" i="1"/>
  <c r="F589" i="1"/>
  <c r="F850" i="1"/>
  <c r="F227" i="1"/>
  <c r="F811" i="1"/>
  <c r="F411" i="1"/>
  <c r="F849" i="1"/>
  <c r="B22" i="57"/>
  <c r="F485" i="1"/>
  <c r="F654" i="1"/>
  <c r="F337" i="1"/>
  <c r="F215" i="1"/>
  <c r="F851" i="1"/>
  <c r="F722" i="1"/>
  <c r="F325" i="1"/>
  <c r="F472" i="1"/>
  <c r="F436" i="1"/>
  <c r="F499" i="1"/>
  <c r="F543" i="1"/>
  <c r="F297" i="1"/>
  <c r="F28" i="1"/>
  <c r="F711" i="1"/>
  <c r="F391" i="1"/>
  <c r="F330" i="1"/>
  <c r="F585" i="1"/>
  <c r="F480" i="1"/>
  <c r="F410" i="1"/>
  <c r="F366" i="1"/>
  <c r="F13" i="1"/>
  <c r="F25" i="1"/>
  <c r="F841" i="1"/>
  <c r="F293" i="1"/>
  <c r="F856" i="1"/>
  <c r="F852" i="1"/>
  <c r="F377" i="1"/>
  <c r="F561" i="1"/>
  <c r="F281" i="1"/>
  <c r="F546" i="1"/>
  <c r="B18" i="57"/>
  <c r="F256" i="1"/>
  <c r="F19" i="1"/>
  <c r="F361" i="1"/>
  <c r="F720" i="1"/>
  <c r="F823" i="1"/>
  <c r="F332" i="1"/>
  <c r="F141" i="1"/>
  <c r="F806" i="1"/>
  <c r="B24" i="57"/>
  <c r="F879" i="1"/>
  <c r="F271" i="1"/>
  <c r="F554" i="1"/>
  <c r="F760" i="1"/>
  <c r="F7" i="1"/>
  <c r="F600" i="1"/>
  <c r="F501" i="1"/>
  <c r="F424" i="1"/>
  <c r="F340" i="1"/>
  <c r="F46" i="1"/>
  <c r="F220" i="1"/>
  <c r="F236" i="1"/>
  <c r="F4" i="1"/>
  <c r="F772" i="1"/>
  <c r="F331" i="1"/>
  <c r="F735" i="1"/>
  <c r="F667" i="1"/>
  <c r="F642" i="1"/>
  <c r="F320" i="1"/>
  <c r="C65" i="86"/>
  <c r="C63" i="6"/>
  <c r="C64" i="54"/>
  <c r="C63" i="3"/>
  <c r="C64" i="71"/>
  <c r="B4" i="57"/>
  <c r="F273" i="1"/>
  <c r="F754" i="1"/>
  <c r="B21" i="57"/>
  <c r="F835" i="1"/>
  <c r="F694" i="1"/>
  <c r="F814" i="1"/>
  <c r="F143" i="1"/>
  <c r="F393" i="1"/>
  <c r="F51" i="1"/>
  <c r="F214" i="1"/>
  <c r="F732" i="1"/>
  <c r="F752" i="1"/>
  <c r="F739" i="1"/>
  <c r="F230" i="1"/>
  <c r="F258" i="1"/>
  <c r="F643" i="1"/>
  <c r="F765" i="1"/>
  <c r="F523" i="1"/>
  <c r="F581" i="1"/>
  <c r="F481" i="1"/>
  <c r="F407" i="1"/>
  <c r="F467" i="1"/>
  <c r="F789" i="1"/>
  <c r="F48" i="1"/>
  <c r="F718" i="1"/>
  <c r="F821" i="1"/>
  <c r="F776" i="1"/>
  <c r="F675" i="1"/>
  <c r="F425" i="1"/>
  <c r="F813" i="1"/>
  <c r="F790" i="1"/>
  <c r="F117" i="1"/>
  <c r="F883" i="1"/>
  <c r="F519" i="1"/>
  <c r="F470" i="1"/>
  <c r="F272" i="1"/>
  <c r="F367" i="1"/>
  <c r="F617" i="1"/>
  <c r="F303" i="1"/>
  <c r="F360" i="1"/>
  <c r="F257" i="1"/>
  <c r="F123" i="1"/>
  <c r="F255" i="1"/>
  <c r="F768" i="1"/>
  <c r="F757" i="1"/>
  <c r="F212" i="1"/>
  <c r="F514" i="1"/>
  <c r="B5" i="57"/>
  <c r="F240" i="1"/>
  <c r="F706" i="1"/>
  <c r="F788" i="1"/>
  <c r="F533" i="1"/>
  <c r="F698" i="1"/>
  <c r="C60" i="72"/>
  <c r="C64" i="5"/>
  <c r="F865" i="1"/>
  <c r="F857" i="1"/>
  <c r="F559" i="1"/>
  <c r="F298" i="1"/>
  <c r="F12" i="1"/>
  <c r="F229" i="1"/>
  <c r="F32" i="1"/>
  <c r="F551" i="1"/>
  <c r="F435" i="1"/>
  <c r="F11" i="1"/>
  <c r="F773" i="1"/>
  <c r="F699" i="1"/>
  <c r="F428" i="1"/>
  <c r="C64" i="78"/>
  <c r="F701" i="1"/>
  <c r="C61" i="55"/>
  <c r="C64" i="4"/>
  <c r="F677" i="1"/>
  <c r="F766" i="1"/>
  <c r="F687" i="1"/>
  <c r="F50" i="1"/>
  <c r="F861" i="1"/>
  <c r="F877" i="1"/>
  <c r="F197" i="1"/>
  <c r="F189" i="1"/>
  <c r="F855" i="1"/>
  <c r="F359" i="1"/>
  <c r="F465" i="1"/>
  <c r="F492" i="1"/>
  <c r="F137" i="1"/>
  <c r="F8" i="1"/>
  <c r="F437" i="1"/>
  <c r="F833" i="1"/>
  <c r="F6" i="1"/>
  <c r="F525" i="1"/>
  <c r="F875" i="1"/>
  <c r="F201" i="1"/>
  <c r="F316" i="1"/>
  <c r="F352" i="1"/>
  <c r="F599" i="1"/>
  <c r="F326" i="1"/>
  <c r="F494" i="1"/>
  <c r="C65" i="30"/>
  <c r="F342" i="1"/>
  <c r="C66" i="7"/>
  <c r="C67" i="51"/>
  <c r="C65" i="71"/>
  <c r="F324" i="1"/>
  <c r="F241" i="1"/>
  <c r="F613" i="1"/>
  <c r="F490" i="1"/>
  <c r="F456" i="1"/>
  <c r="F198" i="1"/>
  <c r="F874" i="1"/>
  <c r="F528" i="1"/>
  <c r="F621" i="1"/>
  <c r="F376" i="1"/>
  <c r="F503" i="1"/>
  <c r="F24" i="1"/>
  <c r="F854" i="1"/>
  <c r="F846" i="1"/>
  <c r="F26" i="1"/>
  <c r="C65" i="54"/>
  <c r="C63" i="85"/>
  <c r="F483" i="1"/>
  <c r="F871" i="1"/>
  <c r="F882" i="1"/>
  <c r="C64" i="85"/>
  <c r="F92" i="1"/>
  <c r="F840" i="1"/>
  <c r="F708" i="1"/>
  <c r="F618" i="1"/>
  <c r="F853" i="1"/>
  <c r="F91" i="1"/>
  <c r="F213" i="1"/>
  <c r="F61" i="85"/>
  <c r="G61" i="85" s="1"/>
  <c r="F869" i="1"/>
  <c r="F489" i="1"/>
  <c r="F223" i="1"/>
  <c r="F780" i="1"/>
  <c r="F721" i="1"/>
  <c r="F268" i="1"/>
  <c r="F90" i="1"/>
  <c r="F375" i="1"/>
  <c r="F384" i="1"/>
  <c r="F873" i="1"/>
  <c r="F880" i="1"/>
  <c r="F398" i="1"/>
  <c r="F884" i="1"/>
  <c r="F723" i="1"/>
  <c r="A51" i="85"/>
  <c r="F93" i="1"/>
  <c r="F89" i="1"/>
  <c r="F49" i="1"/>
  <c r="C65" i="53"/>
  <c r="F302" i="1"/>
  <c r="A33" i="3"/>
  <c r="A34" i="72"/>
  <c r="A31" i="8"/>
  <c r="A30" i="17"/>
  <c r="A30" i="18"/>
  <c r="A30" i="34"/>
  <c r="A30" i="20"/>
  <c r="A36" i="81"/>
  <c r="A45" i="53"/>
  <c r="A36" i="80"/>
  <c r="C3" i="33"/>
  <c r="C3" i="80"/>
  <c r="C3" i="61"/>
  <c r="A3" i="78"/>
  <c r="A7" i="34"/>
  <c r="A7" i="81"/>
  <c r="A7" i="8"/>
  <c r="A63" i="86"/>
  <c r="A61" i="5"/>
  <c r="A62" i="30"/>
  <c r="A61" i="4"/>
  <c r="A63" i="31"/>
  <c r="A63" i="7"/>
  <c r="A65" i="51"/>
  <c r="A62" i="54"/>
  <c r="A59" i="55"/>
  <c r="J35" i="85"/>
  <c r="F28" i="58"/>
  <c r="G28" i="58" s="1"/>
  <c r="K32" i="30"/>
  <c r="A26" i="3"/>
  <c r="A27" i="72"/>
  <c r="A32" i="3"/>
  <c r="A50" i="72"/>
  <c r="A48" i="72"/>
  <c r="E28" i="72"/>
  <c r="A63" i="57"/>
  <c r="P24" i="77"/>
  <c r="A62" i="77"/>
  <c r="A11" i="77"/>
  <c r="A42" i="57"/>
  <c r="A17" i="77"/>
  <c r="A61" i="78"/>
  <c r="A62" i="53"/>
  <c r="L71" i="85"/>
  <c r="K69" i="7"/>
  <c r="K57" i="80"/>
  <c r="A52" i="3"/>
  <c r="A10" i="80"/>
  <c r="K31" i="30"/>
  <c r="J31" i="30"/>
  <c r="A31" i="3"/>
  <c r="A32" i="72"/>
  <c r="K35" i="30"/>
  <c r="F32" i="55"/>
  <c r="G32" i="55" s="1"/>
  <c r="A39" i="87"/>
  <c r="A39" i="31"/>
  <c r="A67" i="3"/>
  <c r="A63" i="72"/>
  <c r="F31" i="85"/>
  <c r="G31" i="85" s="1"/>
  <c r="F30" i="81"/>
  <c r="G30" i="81" s="1"/>
  <c r="B6" i="58"/>
  <c r="F810" i="1"/>
  <c r="F876" i="1"/>
  <c r="A37" i="71"/>
  <c r="A37" i="54"/>
  <c r="F47" i="88"/>
  <c r="G47" i="88" s="1"/>
  <c r="F47" i="86"/>
  <c r="G47" i="86" s="1"/>
  <c r="A37" i="6"/>
  <c r="F28" i="61"/>
  <c r="G28" i="61" s="1"/>
  <c r="B6" i="80"/>
  <c r="F35" i="81"/>
  <c r="G35" i="81" s="1"/>
  <c r="F42" i="86"/>
  <c r="G42" i="86" s="1"/>
  <c r="F725" i="1"/>
  <c r="F522" i="1"/>
  <c r="F885" i="1"/>
  <c r="F859" i="1"/>
  <c r="F657" i="1"/>
  <c r="F259" i="1"/>
  <c r="F491" i="1"/>
  <c r="F872" i="1"/>
  <c r="F504" i="1"/>
  <c r="F56" i="70"/>
  <c r="G56" i="70" s="1"/>
  <c r="F260" i="1"/>
  <c r="F283" i="1"/>
  <c r="F221" i="1"/>
  <c r="F61" i="1"/>
  <c r="C65" i="87"/>
  <c r="F784" i="1"/>
  <c r="F798" i="1"/>
  <c r="F889" i="1"/>
  <c r="A35" i="3"/>
  <c r="A35" i="94" s="1"/>
  <c r="F893" i="1"/>
  <c r="F896" i="1"/>
  <c r="F30" i="70"/>
  <c r="G30" i="70" s="1"/>
  <c r="F864" i="1"/>
  <c r="F284" i="1"/>
  <c r="F615" i="1"/>
  <c r="F625" i="1"/>
  <c r="A52" i="85"/>
  <c r="F60" i="1"/>
  <c r="C65" i="88"/>
  <c r="F783" i="1"/>
  <c r="F779" i="1"/>
  <c r="F797" i="1"/>
  <c r="F892" i="1"/>
  <c r="F267" i="1"/>
  <c r="F31" i="7"/>
  <c r="G31" i="7" s="1"/>
  <c r="A49" i="3"/>
  <c r="A49" i="6" s="1"/>
  <c r="F891" i="1"/>
  <c r="F895" i="1"/>
  <c r="C66" i="87"/>
  <c r="A38" i="88"/>
  <c r="F782" i="1"/>
  <c r="F800" i="1"/>
  <c r="F796" i="1"/>
  <c r="F270" i="1"/>
  <c r="F266" i="1"/>
  <c r="F29" i="80"/>
  <c r="G29" i="80" s="1"/>
  <c r="F29" i="48"/>
  <c r="G29" i="48" s="1"/>
  <c r="F730" i="1"/>
  <c r="F318" i="1"/>
  <c r="F887" i="1"/>
  <c r="F890" i="1"/>
  <c r="F894" i="1"/>
  <c r="A39" i="88"/>
  <c r="C66" i="88"/>
  <c r="F781" i="1"/>
  <c r="F799" i="1"/>
  <c r="F795" i="1"/>
  <c r="F269" i="1"/>
  <c r="K32" i="31"/>
  <c r="F31" i="88"/>
  <c r="G31" i="88" s="1"/>
  <c r="L13" i="31"/>
  <c r="B12" i="88"/>
  <c r="D34" i="88" s="1"/>
  <c r="F62" i="86"/>
  <c r="G62" i="86" s="1"/>
  <c r="F64" i="85"/>
  <c r="G64" i="85" s="1"/>
  <c r="F39" i="61"/>
  <c r="G39" i="61" s="1"/>
  <c r="F60" i="5"/>
  <c r="G60" i="5" s="1"/>
  <c r="F63" i="86"/>
  <c r="G63" i="86" s="1"/>
  <c r="F50" i="86"/>
  <c r="G50" i="86" s="1"/>
  <c r="F37" i="20"/>
  <c r="G37" i="20" s="1"/>
  <c r="F40" i="17"/>
  <c r="G40" i="17" s="1"/>
  <c r="F38" i="8"/>
  <c r="G38" i="8" s="1"/>
  <c r="F51" i="78"/>
  <c r="G51" i="78" s="1"/>
  <c r="F40" i="62"/>
  <c r="G40" i="62" s="1"/>
  <c r="F37" i="17"/>
  <c r="G37" i="17" s="1"/>
  <c r="F49" i="54"/>
  <c r="G49" i="54" s="1"/>
  <c r="F45" i="71"/>
  <c r="G45" i="71" s="1"/>
  <c r="F51" i="31"/>
  <c r="G51" i="31" s="1"/>
  <c r="F59" i="3"/>
  <c r="G59" i="3" s="1"/>
  <c r="F42" i="19"/>
  <c r="G42" i="19" s="1"/>
  <c r="F60" i="71"/>
  <c r="G60" i="71" s="1"/>
  <c r="F43" i="8"/>
  <c r="G43" i="8" s="1"/>
  <c r="F50" i="30"/>
  <c r="G50" i="30" s="1"/>
  <c r="F63" i="51"/>
  <c r="G63" i="51" s="1"/>
  <c r="F48" i="4"/>
  <c r="G48" i="4" s="1"/>
  <c r="F50" i="6"/>
  <c r="G50" i="6" s="1"/>
  <c r="F48" i="5"/>
  <c r="G48" i="5" s="1"/>
  <c r="F43" i="80"/>
  <c r="G43" i="80" s="1"/>
  <c r="F51" i="86"/>
  <c r="G51" i="86" s="1"/>
  <c r="F48" i="85"/>
  <c r="G48" i="85" s="1"/>
  <c r="F45" i="85"/>
  <c r="G45" i="85" s="1"/>
  <c r="F59" i="85"/>
  <c r="G59" i="85" s="1"/>
  <c r="F41" i="44"/>
  <c r="G41" i="44" s="1"/>
  <c r="F37" i="58"/>
  <c r="G37" i="58" s="1"/>
  <c r="F45" i="6"/>
  <c r="G45" i="6" s="1"/>
  <c r="F28" i="81"/>
  <c r="G28" i="81" s="1"/>
  <c r="F56" i="20"/>
  <c r="G56" i="20" s="1"/>
  <c r="F51" i="53"/>
  <c r="G51" i="53" s="1"/>
  <c r="F40" i="33"/>
  <c r="G40" i="33" s="1"/>
  <c r="F55" i="7"/>
  <c r="G55" i="7" s="1"/>
  <c r="F40" i="58"/>
  <c r="G40" i="58" s="1"/>
  <c r="F37" i="62"/>
  <c r="G37" i="62" s="1"/>
  <c r="F39" i="44"/>
  <c r="G39" i="44" s="1"/>
  <c r="F43" i="81"/>
  <c r="G43" i="81" s="1"/>
  <c r="F42" i="20"/>
  <c r="G42" i="20" s="1"/>
  <c r="F51" i="71"/>
  <c r="G51" i="71" s="1"/>
  <c r="F59" i="5"/>
  <c r="G59" i="5" s="1"/>
  <c r="F42" i="34"/>
  <c r="G42" i="34" s="1"/>
  <c r="F54" i="72"/>
  <c r="G54" i="72" s="1"/>
  <c r="F59" i="4"/>
  <c r="G59" i="4" s="1"/>
  <c r="F42" i="33"/>
  <c r="G42" i="33" s="1"/>
  <c r="F28" i="19"/>
  <c r="G28" i="19" s="1"/>
  <c r="F35" i="7"/>
  <c r="G35" i="7" s="1"/>
  <c r="F57" i="55"/>
  <c r="G57" i="55" s="1"/>
  <c r="F53" i="53"/>
  <c r="G53" i="53" s="1"/>
  <c r="F33" i="3"/>
  <c r="G33" i="3" s="1"/>
  <c r="F50" i="4"/>
  <c r="G50" i="4" s="1"/>
  <c r="F28" i="70"/>
  <c r="G28" i="70" s="1"/>
  <c r="F40" i="18"/>
  <c r="G40" i="18" s="1"/>
  <c r="F30" i="56"/>
  <c r="G30" i="56" s="1"/>
  <c r="F50" i="85"/>
  <c r="G50" i="85" s="1"/>
  <c r="F31" i="80"/>
  <c r="G31" i="80" s="1"/>
  <c r="F57" i="17"/>
  <c r="G57" i="17" s="1"/>
  <c r="F42" i="6"/>
  <c r="G42" i="6" s="1"/>
  <c r="F44" i="78"/>
  <c r="G44" i="78" s="1"/>
  <c r="F34" i="34"/>
  <c r="G34" i="34" s="1"/>
  <c r="F42" i="30"/>
  <c r="G42" i="30" s="1"/>
  <c r="F31" i="71"/>
  <c r="G31" i="71" s="1"/>
  <c r="F57" i="61"/>
  <c r="G57" i="61" s="1"/>
  <c r="F33" i="7"/>
  <c r="G33" i="7" s="1"/>
  <c r="F53" i="30"/>
  <c r="G53" i="30" s="1"/>
  <c r="F30" i="61"/>
  <c r="G30" i="61" s="1"/>
  <c r="F32" i="72"/>
  <c r="G32" i="72" s="1"/>
  <c r="F56" i="8"/>
  <c r="G56" i="8" s="1"/>
  <c r="F51" i="81"/>
  <c r="G51" i="81" s="1"/>
  <c r="F64" i="71"/>
  <c r="G64" i="71" s="1"/>
  <c r="F63" i="6"/>
  <c r="G63" i="6" s="1"/>
  <c r="F47" i="85"/>
  <c r="G47" i="85" s="1"/>
  <c r="F33" i="85"/>
  <c r="G33" i="85" s="1"/>
  <c r="F26" i="48"/>
  <c r="G26" i="48" s="1"/>
  <c r="F59" i="56"/>
  <c r="G59" i="56" s="1"/>
  <c r="F55" i="44"/>
  <c r="G55" i="44" s="1"/>
  <c r="F31" i="81"/>
  <c r="G31" i="81" s="1"/>
  <c r="F54" i="48"/>
  <c r="G54" i="48" s="1"/>
  <c r="F56" i="33"/>
  <c r="G56" i="33" s="1"/>
  <c r="F46" i="53"/>
  <c r="G46" i="53" s="1"/>
  <c r="F36" i="70"/>
  <c r="G36" i="70" s="1"/>
  <c r="F34" i="48"/>
  <c r="G34" i="48" s="1"/>
  <c r="F38" i="17"/>
  <c r="G38" i="17" s="1"/>
  <c r="F38" i="58"/>
  <c r="G38" i="58" s="1"/>
  <c r="F54" i="3"/>
  <c r="G54" i="3" s="1"/>
  <c r="F46" i="5"/>
  <c r="G46" i="5" s="1"/>
  <c r="F36" i="17"/>
  <c r="G36" i="17" s="1"/>
  <c r="F40" i="80"/>
  <c r="G40" i="80" s="1"/>
  <c r="F57" i="8"/>
  <c r="G57" i="8" s="1"/>
  <c r="F46" i="6"/>
  <c r="G46" i="6" s="1"/>
  <c r="F38" i="33"/>
  <c r="G38" i="33" s="1"/>
  <c r="F56" i="17"/>
  <c r="G56" i="17" s="1"/>
  <c r="F40" i="44"/>
  <c r="G40" i="44" s="1"/>
  <c r="F38" i="56"/>
  <c r="G38" i="56" s="1"/>
  <c r="F41" i="19"/>
  <c r="G41" i="19" s="1"/>
  <c r="F41" i="70"/>
  <c r="G41" i="70" s="1"/>
  <c r="F44" i="71"/>
  <c r="G44" i="71" s="1"/>
  <c r="F50" i="53"/>
  <c r="G50" i="53" s="1"/>
  <c r="F36" i="19"/>
  <c r="G36" i="19" s="1"/>
  <c r="F56" i="19"/>
  <c r="G56" i="19" s="1"/>
  <c r="F35" i="44"/>
  <c r="G35" i="44" s="1"/>
  <c r="F32" i="54"/>
  <c r="G32" i="54" s="1"/>
  <c r="F37" i="33"/>
  <c r="G37" i="33" s="1"/>
  <c r="F33" i="53"/>
  <c r="G33" i="53" s="1"/>
  <c r="F31" i="3"/>
  <c r="G31" i="3" s="1"/>
  <c r="F46" i="4"/>
  <c r="G46" i="4" s="1"/>
  <c r="F37" i="61"/>
  <c r="G37" i="61" s="1"/>
  <c r="F30" i="80"/>
  <c r="G30" i="80" s="1"/>
  <c r="F63" i="5"/>
  <c r="G63" i="5" s="1"/>
  <c r="F63" i="3"/>
  <c r="G63" i="3" s="1"/>
  <c r="F56" i="86"/>
  <c r="G56" i="86" s="1"/>
  <c r="F46" i="85"/>
  <c r="G46" i="85" s="1"/>
  <c r="F41" i="61"/>
  <c r="G41" i="61" s="1"/>
  <c r="F64" i="54"/>
  <c r="G64" i="54" s="1"/>
  <c r="F63" i="85"/>
  <c r="G63" i="85" s="1"/>
  <c r="F53" i="6"/>
  <c r="G53" i="6" s="1"/>
  <c r="F46" i="71"/>
  <c r="G46" i="71" s="1"/>
  <c r="F55" i="70"/>
  <c r="G55" i="70" s="1"/>
  <c r="F44" i="6"/>
  <c r="G44" i="6" s="1"/>
  <c r="F56" i="31"/>
  <c r="G56" i="31" s="1"/>
  <c r="F45" i="7"/>
  <c r="G45" i="7" s="1"/>
  <c r="F44" i="4"/>
  <c r="G44" i="4" s="1"/>
  <c r="F38" i="20"/>
  <c r="G38" i="20" s="1"/>
  <c r="F36" i="58"/>
  <c r="G36" i="58" s="1"/>
  <c r="F54" i="53"/>
  <c r="G54" i="53" s="1"/>
  <c r="F55" i="58"/>
  <c r="G55" i="58" s="1"/>
  <c r="F46" i="31"/>
  <c r="G46" i="31" s="1"/>
  <c r="F55" i="20"/>
  <c r="G55" i="20" s="1"/>
  <c r="F36" i="48"/>
  <c r="G36" i="48" s="1"/>
  <c r="F44" i="3"/>
  <c r="G44" i="3" s="1"/>
  <c r="F36" i="33"/>
  <c r="G36" i="33" s="1"/>
  <c r="F56" i="62"/>
  <c r="G56" i="62" s="1"/>
  <c r="F38" i="61"/>
  <c r="G38" i="61" s="1"/>
  <c r="F47" i="7"/>
  <c r="G47" i="7" s="1"/>
  <c r="F54" i="4"/>
  <c r="G54" i="4" s="1"/>
  <c r="F38" i="70"/>
  <c r="G38" i="70" s="1"/>
  <c r="F37" i="8"/>
  <c r="G37" i="8" s="1"/>
  <c r="F44" i="5"/>
  <c r="G44" i="5" s="1"/>
  <c r="F39" i="8"/>
  <c r="G39" i="8" s="1"/>
  <c r="F54" i="7"/>
  <c r="G54" i="7" s="1"/>
  <c r="F52" i="80"/>
  <c r="G52" i="80" s="1"/>
  <c r="F53" i="48"/>
  <c r="G53" i="48" s="1"/>
  <c r="F55" i="33"/>
  <c r="G55" i="33" s="1"/>
  <c r="F64" i="30"/>
  <c r="G64" i="30" s="1"/>
  <c r="F45" i="86"/>
  <c r="G45" i="86" s="1"/>
  <c r="F65" i="86"/>
  <c r="G65" i="86" s="1"/>
  <c r="F42" i="85"/>
  <c r="G42" i="85" s="1"/>
  <c r="F61" i="86"/>
  <c r="G61" i="86" s="1"/>
  <c r="F44" i="86"/>
  <c r="G44" i="86" s="1"/>
  <c r="F49" i="85"/>
  <c r="G49" i="85" s="1"/>
  <c r="F31" i="6"/>
  <c r="G31" i="6" s="1"/>
  <c r="F49" i="71"/>
  <c r="G49" i="71" s="1"/>
  <c r="F64" i="78"/>
  <c r="G64" i="78" s="1"/>
  <c r="F57" i="34"/>
  <c r="G57" i="34" s="1"/>
  <c r="F53" i="3"/>
  <c r="G53" i="3" s="1"/>
  <c r="F45" i="53"/>
  <c r="G45" i="53" s="1"/>
  <c r="F41" i="8"/>
  <c r="G41" i="8" s="1"/>
  <c r="F28" i="62"/>
  <c r="G28" i="62" s="1"/>
  <c r="F32" i="53"/>
  <c r="G32" i="53" s="1"/>
  <c r="F48" i="71"/>
  <c r="G48" i="71" s="1"/>
  <c r="F40" i="34"/>
  <c r="G40" i="34" s="1"/>
  <c r="F33" i="51"/>
  <c r="G33" i="51" s="1"/>
  <c r="F35" i="48"/>
  <c r="G35" i="48" s="1"/>
  <c r="F48" i="3"/>
  <c r="G48" i="3" s="1"/>
  <c r="F37" i="34"/>
  <c r="G37" i="34" s="1"/>
  <c r="F49" i="72"/>
  <c r="G49" i="72" s="1"/>
  <c r="F37" i="70"/>
  <c r="G37" i="70" s="1"/>
  <c r="F35" i="3"/>
  <c r="G35" i="3" s="1"/>
  <c r="F65" i="71"/>
  <c r="G65" i="71" s="1"/>
  <c r="F54" i="31"/>
  <c r="G54" i="31" s="1"/>
  <c r="F61" i="55"/>
  <c r="G61" i="55" s="1"/>
  <c r="F31" i="4"/>
  <c r="G31" i="4" s="1"/>
  <c r="F35" i="55"/>
  <c r="G35" i="55" s="1"/>
  <c r="F35" i="6"/>
  <c r="G35" i="6" s="1"/>
  <c r="F55" i="62"/>
  <c r="G55" i="62" s="1"/>
  <c r="F28" i="20"/>
  <c r="G28" i="20" s="1"/>
  <c r="F27" i="44"/>
  <c r="G27" i="44" s="1"/>
  <c r="F35" i="53"/>
  <c r="G35" i="53" s="1"/>
  <c r="F61" i="31"/>
  <c r="G61" i="31" s="1"/>
  <c r="F57" i="56"/>
  <c r="G57" i="56" s="1"/>
  <c r="F66" i="7"/>
  <c r="G66" i="7" s="1"/>
  <c r="F57" i="18"/>
  <c r="G57" i="18" s="1"/>
  <c r="F33" i="4"/>
  <c r="G33" i="4" s="1"/>
  <c r="F55" i="34"/>
  <c r="G55" i="34" s="1"/>
  <c r="F28" i="18"/>
  <c r="G28" i="18" s="1"/>
  <c r="F55" i="19"/>
  <c r="G55" i="19" s="1"/>
  <c r="F56" i="58"/>
  <c r="G56" i="58" s="1"/>
  <c r="F33" i="30"/>
  <c r="G33" i="30" s="1"/>
  <c r="F57" i="19"/>
  <c r="G57" i="19" s="1"/>
  <c r="F51" i="80"/>
  <c r="G51" i="80" s="1"/>
  <c r="F35" i="78"/>
  <c r="G35" i="78" s="1"/>
  <c r="F57" i="62"/>
  <c r="G57" i="62" s="1"/>
  <c r="F48" i="86"/>
  <c r="G48" i="86" s="1"/>
  <c r="F41" i="80"/>
  <c r="G41" i="80" s="1"/>
  <c r="F35" i="86"/>
  <c r="G35" i="86" s="1"/>
  <c r="F45" i="55"/>
  <c r="G45" i="55" s="1"/>
  <c r="F36" i="80"/>
  <c r="G36" i="80" s="1"/>
  <c r="F36" i="51"/>
  <c r="G36" i="51" s="1"/>
  <c r="F55" i="71"/>
  <c r="G55" i="71" s="1"/>
  <c r="D5" i="57"/>
  <c r="E5" i="57" s="1"/>
  <c r="F5" i="57" s="1"/>
  <c r="F31" i="5"/>
  <c r="G31" i="5" s="1"/>
  <c r="F66" i="31"/>
  <c r="G66" i="31" s="1"/>
  <c r="F65" i="54"/>
  <c r="G65" i="54" s="1"/>
  <c r="F28" i="17"/>
  <c r="G28" i="17" s="1"/>
  <c r="F33" i="5"/>
  <c r="G33" i="5" s="1"/>
  <c r="F37" i="55"/>
  <c r="G37" i="55" s="1"/>
  <c r="F35" i="54"/>
  <c r="G35" i="54" s="1"/>
  <c r="F33" i="54"/>
  <c r="G33" i="54" s="1"/>
  <c r="F29" i="8"/>
  <c r="G29" i="8" s="1"/>
  <c r="F54" i="78"/>
  <c r="G54" i="78" s="1"/>
  <c r="F43" i="54"/>
  <c r="G43" i="54" s="1"/>
  <c r="F35" i="58"/>
  <c r="G35" i="58" s="1"/>
  <c r="F29" i="81"/>
  <c r="G29" i="81" s="1"/>
  <c r="F35" i="61"/>
  <c r="G35" i="61" s="1"/>
  <c r="F55" i="86"/>
  <c r="G55" i="86" s="1"/>
  <c r="F66" i="86"/>
  <c r="G66" i="86" s="1"/>
  <c r="F35" i="85"/>
  <c r="G35" i="85" s="1"/>
  <c r="F44" i="85"/>
  <c r="G44" i="85" s="1"/>
  <c r="F46" i="86"/>
  <c r="G46" i="86" s="1"/>
  <c r="F54" i="86"/>
  <c r="G54" i="86" s="1"/>
  <c r="F29" i="44"/>
  <c r="G29" i="44" s="1"/>
  <c r="F44" i="81"/>
  <c r="G44" i="81" s="1"/>
  <c r="F35" i="62"/>
  <c r="G35" i="62" s="1"/>
  <c r="F53" i="85"/>
  <c r="G53" i="85" s="1"/>
  <c r="F48" i="51"/>
  <c r="G48" i="51" s="1"/>
  <c r="F46" i="78"/>
  <c r="G46" i="78" s="1"/>
  <c r="F49" i="86"/>
  <c r="G49" i="86" s="1"/>
  <c r="F46" i="55"/>
  <c r="G46" i="55" s="1"/>
  <c r="F37" i="81"/>
  <c r="G37" i="81" s="1"/>
  <c r="F44" i="7"/>
  <c r="G44" i="7" s="1"/>
  <c r="F42" i="87"/>
  <c r="G42" i="87" s="1"/>
  <c r="F66" i="87"/>
  <c r="G66" i="87" s="1"/>
  <c r="F42" i="88"/>
  <c r="G42" i="88" s="1"/>
  <c r="F44" i="87"/>
  <c r="G44" i="87" s="1"/>
  <c r="F46" i="87"/>
  <c r="G46" i="87" s="1"/>
  <c r="F48" i="87"/>
  <c r="G48" i="87" s="1"/>
  <c r="F50" i="87"/>
  <c r="G50" i="87" s="1"/>
  <c r="F54" i="87"/>
  <c r="G54" i="87" s="1"/>
  <c r="F61" i="88"/>
  <c r="G61" i="88" s="1"/>
  <c r="F35" i="87"/>
  <c r="G35" i="87" s="1"/>
  <c r="F61" i="87"/>
  <c r="G61" i="87" s="1"/>
  <c r="F35" i="88"/>
  <c r="G35" i="88" s="1"/>
  <c r="F65" i="88"/>
  <c r="G65" i="88" s="1"/>
  <c r="F31" i="87"/>
  <c r="G31" i="87" s="1"/>
  <c r="F45" i="87"/>
  <c r="G45" i="87" s="1"/>
  <c r="F47" i="87"/>
  <c r="G47" i="87" s="1"/>
  <c r="F51" i="87"/>
  <c r="G51" i="87" s="1"/>
  <c r="F49" i="87"/>
  <c r="G49" i="87" s="1"/>
  <c r="F49" i="88"/>
  <c r="G49" i="88" s="1"/>
  <c r="F31" i="86"/>
  <c r="G31" i="86" s="1"/>
  <c r="K31" i="56"/>
  <c r="J30" i="8"/>
  <c r="J33" i="72"/>
  <c r="K32" i="86"/>
  <c r="L13" i="88"/>
  <c r="L12" i="88"/>
  <c r="M12" i="88" s="1"/>
  <c r="L9" i="88"/>
  <c r="L11" i="88" s="1"/>
  <c r="K32" i="88"/>
  <c r="B9" i="88"/>
  <c r="D59" i="88" s="1"/>
  <c r="K32" i="87"/>
  <c r="L12" i="87"/>
  <c r="M12" i="87" s="1"/>
  <c r="L9" i="87"/>
  <c r="L11" i="87" s="1"/>
  <c r="L13" i="87"/>
  <c r="C13" i="87"/>
  <c r="A58" i="87" s="1"/>
  <c r="F802" i="1"/>
  <c r="F49" i="31"/>
  <c r="G49" i="31" s="1"/>
  <c r="F37" i="80"/>
  <c r="G37" i="80" s="1"/>
  <c r="A38" i="85"/>
  <c r="A38" i="86"/>
  <c r="A39" i="86"/>
  <c r="A39" i="85"/>
  <c r="A43" i="51"/>
  <c r="F33" i="55"/>
  <c r="G33" i="55" s="1"/>
  <c r="A61" i="85"/>
  <c r="F34" i="51"/>
  <c r="G34" i="51" s="1"/>
  <c r="J32" i="85"/>
  <c r="J33" i="85"/>
  <c r="F31" i="54"/>
  <c r="G31" i="54" s="1"/>
  <c r="J31" i="85"/>
  <c r="F31" i="30"/>
  <c r="G31" i="30" s="1"/>
  <c r="K69" i="3"/>
  <c r="N69" i="3" s="1"/>
  <c r="A69" i="3" s="1"/>
  <c r="F868" i="1"/>
  <c r="F280" i="1"/>
  <c r="F200" i="1"/>
  <c r="F881" i="1"/>
  <c r="F526" i="1"/>
  <c r="F870" i="1"/>
  <c r="F867" i="1"/>
  <c r="F323" i="1"/>
  <c r="F399" i="1"/>
  <c r="F349" i="1"/>
  <c r="F347" i="1"/>
  <c r="F416" i="1"/>
  <c r="F727" i="1"/>
  <c r="F860" i="1"/>
  <c r="F417" i="1"/>
  <c r="F858" i="1"/>
  <c r="F348" i="1"/>
  <c r="F415" i="1"/>
  <c r="F319" i="1"/>
  <c r="F560" i="1"/>
  <c r="F488" i="1"/>
  <c r="F565" i="1"/>
  <c r="F487" i="1"/>
  <c r="F431" i="1"/>
  <c r="F224" i="1"/>
  <c r="F62" i="1"/>
  <c r="F301" i="1"/>
  <c r="F299" i="1"/>
  <c r="F395" i="1"/>
  <c r="F265" i="1"/>
  <c r="F263" i="1"/>
  <c r="F261" i="1"/>
  <c r="F192" i="1"/>
  <c r="F724" i="1"/>
  <c r="F371" i="1"/>
  <c r="F505" i="1"/>
  <c r="F584" i="1"/>
  <c r="F647" i="1"/>
  <c r="F616" i="1"/>
  <c r="F225" i="1"/>
  <c r="F63" i="1"/>
  <c r="F59" i="1"/>
  <c r="F317" i="1"/>
  <c r="F486" i="1"/>
  <c r="F432" i="1"/>
  <c r="F430" i="1"/>
  <c r="F573" i="1"/>
  <c r="F636" i="1"/>
  <c r="F658" i="1"/>
  <c r="C37" i="94" l="1"/>
  <c r="R31" i="71"/>
  <c r="S31" i="71" s="1"/>
  <c r="R30" i="71"/>
  <c r="S30" i="71" s="1"/>
  <c r="T30" i="71" s="1"/>
  <c r="R27" i="71"/>
  <c r="S27" i="71" s="1"/>
  <c r="R25" i="71"/>
  <c r="S25" i="71" s="1"/>
  <c r="R33" i="71"/>
  <c r="S33" i="71" s="1"/>
  <c r="R24" i="71"/>
  <c r="S24" i="71" s="1"/>
  <c r="T24" i="71" s="1"/>
  <c r="R28" i="71"/>
  <c r="S28" i="71" s="1"/>
  <c r="R26" i="71"/>
  <c r="S26" i="71" s="1"/>
  <c r="U26" i="71" s="1"/>
  <c r="R32" i="71"/>
  <c r="S32" i="71" s="1"/>
  <c r="U32" i="71" s="1"/>
  <c r="U17" i="86"/>
  <c r="U9" i="86" s="1"/>
  <c r="R29" i="86"/>
  <c r="S29" i="86" s="1"/>
  <c r="V29" i="86" s="1"/>
  <c r="S17" i="86"/>
  <c r="R24" i="86"/>
  <c r="S24" i="86" s="1"/>
  <c r="T24" i="86" s="1"/>
  <c r="R27" i="86"/>
  <c r="S27" i="86" s="1"/>
  <c r="R25" i="86"/>
  <c r="S25" i="86" s="1"/>
  <c r="R33" i="86"/>
  <c r="S33" i="86" s="1"/>
  <c r="R31" i="86"/>
  <c r="S31" i="86" s="1"/>
  <c r="R30" i="86"/>
  <c r="S30" i="86" s="1"/>
  <c r="T30" i="86" s="1"/>
  <c r="T17" i="86"/>
  <c r="T9" i="86" s="1"/>
  <c r="R32" i="86"/>
  <c r="S32" i="86" s="1"/>
  <c r="U32" i="86" s="1"/>
  <c r="R28" i="86"/>
  <c r="S28" i="86" s="1"/>
  <c r="R26" i="86"/>
  <c r="S26" i="86" s="1"/>
  <c r="U26" i="86" s="1"/>
  <c r="U17" i="71"/>
  <c r="U9" i="71" s="1"/>
  <c r="R29" i="71"/>
  <c r="S29" i="71" s="1"/>
  <c r="V29" i="71" s="1"/>
  <c r="R22" i="5"/>
  <c r="S22" i="5" s="1"/>
  <c r="U22" i="5" s="1"/>
  <c r="R32" i="5"/>
  <c r="S32" i="5" s="1"/>
  <c r="U32" i="5" s="1"/>
  <c r="R28" i="5"/>
  <c r="S28" i="5" s="1"/>
  <c r="R26" i="5"/>
  <c r="S26" i="5" s="1"/>
  <c r="U26" i="5" s="1"/>
  <c r="S17" i="5"/>
  <c r="S9" i="5" s="1"/>
  <c r="R25" i="5"/>
  <c r="S25" i="5" s="1"/>
  <c r="R33" i="5"/>
  <c r="S33" i="5" s="1"/>
  <c r="R30" i="5"/>
  <c r="S30" i="5" s="1"/>
  <c r="T30" i="5" s="1"/>
  <c r="R24" i="5"/>
  <c r="S24" i="5" s="1"/>
  <c r="T24" i="5" s="1"/>
  <c r="R31" i="5"/>
  <c r="S31" i="5" s="1"/>
  <c r="R27" i="5"/>
  <c r="S27" i="5" s="1"/>
  <c r="T17" i="54"/>
  <c r="T9" i="54" s="1"/>
  <c r="Q29" i="54"/>
  <c r="R17" i="54"/>
  <c r="R9" i="54" s="1"/>
  <c r="Q31" i="54"/>
  <c r="Q30" i="54"/>
  <c r="Q27" i="54"/>
  <c r="Q25" i="54"/>
  <c r="Q24" i="54"/>
  <c r="Q33" i="54"/>
  <c r="S17" i="54"/>
  <c r="S9" i="54" s="1"/>
  <c r="Q32" i="54"/>
  <c r="Q28" i="54"/>
  <c r="Q26" i="54"/>
  <c r="C48" i="61"/>
  <c r="E48" i="61"/>
  <c r="E52" i="61"/>
  <c r="C52" i="61"/>
  <c r="E49" i="80"/>
  <c r="C49" i="80"/>
  <c r="E48" i="56"/>
  <c r="C48" i="56"/>
  <c r="E50" i="80"/>
  <c r="C50" i="80"/>
  <c r="E45" i="58"/>
  <c r="C45" i="58"/>
  <c r="R21" i="5"/>
  <c r="S21" i="5" s="1"/>
  <c r="T21" i="5" s="1"/>
  <c r="L13" i="55"/>
  <c r="L14" i="55" s="1"/>
  <c r="L19" i="55" s="1"/>
  <c r="N10" i="55"/>
  <c r="N11" i="55" s="1"/>
  <c r="S19" i="55"/>
  <c r="S9" i="55" s="1"/>
  <c r="Q29" i="55"/>
  <c r="O10" i="5"/>
  <c r="O11" i="5" s="1"/>
  <c r="R23" i="5"/>
  <c r="S23" i="5" s="1"/>
  <c r="V23" i="5" s="1"/>
  <c r="U17" i="5"/>
  <c r="U9" i="5" s="1"/>
  <c r="B53" i="18"/>
  <c r="B48" i="81"/>
  <c r="B50" i="18"/>
  <c r="I50" i="18" s="1"/>
  <c r="T17" i="5"/>
  <c r="T9" i="5" s="1"/>
  <c r="Q23" i="55"/>
  <c r="R23" i="55" s="1"/>
  <c r="S23" i="55" s="1"/>
  <c r="Q27" i="55"/>
  <c r="R27" i="55" s="1"/>
  <c r="T27" i="55" s="1"/>
  <c r="Q31" i="55"/>
  <c r="R31" i="55" s="1"/>
  <c r="S31" i="55" s="1"/>
  <c r="Q26" i="55"/>
  <c r="R26" i="55" s="1"/>
  <c r="S26" i="55" s="1"/>
  <c r="Q24" i="55"/>
  <c r="R24" i="55" s="1"/>
  <c r="T24" i="55" s="1"/>
  <c r="Q33" i="55"/>
  <c r="B53" i="56"/>
  <c r="I53" i="56" s="1"/>
  <c r="C39" i="94"/>
  <c r="N12" i="71"/>
  <c r="B50" i="61"/>
  <c r="I50" i="61" s="1"/>
  <c r="B54" i="58"/>
  <c r="B50" i="81"/>
  <c r="I50" i="81" s="1"/>
  <c r="B49" i="56"/>
  <c r="E49" i="56" s="1"/>
  <c r="B47" i="18"/>
  <c r="I47" i="18" s="1"/>
  <c r="B56" i="56"/>
  <c r="B44" i="58"/>
  <c r="I44" i="58" s="1"/>
  <c r="B47" i="56"/>
  <c r="B50" i="56"/>
  <c r="C50" i="56" s="1"/>
  <c r="B45" i="18"/>
  <c r="A31" i="18"/>
  <c r="B46" i="61"/>
  <c r="B33" i="94"/>
  <c r="E33" i="94" s="1"/>
  <c r="F33" i="94" s="1"/>
  <c r="G33" i="94" s="1"/>
  <c r="B51" i="18"/>
  <c r="B47" i="58"/>
  <c r="I47" i="58" s="1"/>
  <c r="B50" i="58"/>
  <c r="I50" i="58" s="1"/>
  <c r="B51" i="61"/>
  <c r="B48" i="80"/>
  <c r="B28" i="94"/>
  <c r="I28" i="94" s="1"/>
  <c r="B54" i="18"/>
  <c r="B51" i="58"/>
  <c r="B54" i="61"/>
  <c r="B46" i="80"/>
  <c r="I46" i="80" s="1"/>
  <c r="B52" i="58"/>
  <c r="B47" i="81"/>
  <c r="I47" i="81" s="1"/>
  <c r="B54" i="56"/>
  <c r="B46" i="81"/>
  <c r="E46" i="81" s="1"/>
  <c r="B52" i="18"/>
  <c r="A45" i="95"/>
  <c r="A50" i="94"/>
  <c r="A31" i="20"/>
  <c r="A33" i="95"/>
  <c r="A33" i="94"/>
  <c r="A31" i="17"/>
  <c r="A31" i="34"/>
  <c r="B46" i="18"/>
  <c r="B55" i="56"/>
  <c r="B46" i="58"/>
  <c r="A31" i="70"/>
  <c r="A29" i="48"/>
  <c r="A30" i="44"/>
  <c r="A31" i="19"/>
  <c r="A68" i="53"/>
  <c r="A69" i="94"/>
  <c r="A67" i="78"/>
  <c r="A64" i="95"/>
  <c r="A57" i="80"/>
  <c r="A60" i="58"/>
  <c r="A61" i="19"/>
  <c r="A61" i="62"/>
  <c r="A61" i="61"/>
  <c r="A57" i="81"/>
  <c r="A60" i="33"/>
  <c r="A60" i="20"/>
  <c r="A58" i="48"/>
  <c r="A60" i="70"/>
  <c r="A59" i="44"/>
  <c r="A61" i="34"/>
  <c r="A32" i="94"/>
  <c r="A32" i="95"/>
  <c r="A31" i="33"/>
  <c r="A31" i="95"/>
  <c r="A31" i="94"/>
  <c r="B49" i="81"/>
  <c r="B27" i="56"/>
  <c r="A37" i="94"/>
  <c r="A36" i="94"/>
  <c r="A39" i="53"/>
  <c r="A39" i="78"/>
  <c r="B53" i="58"/>
  <c r="B53" i="61"/>
  <c r="M25" i="95"/>
  <c r="E39" i="94"/>
  <c r="D38" i="94"/>
  <c r="K38" i="94" s="1"/>
  <c r="D36" i="94"/>
  <c r="K36" i="94" s="1"/>
  <c r="C36" i="94"/>
  <c r="E36" i="94"/>
  <c r="I36" i="94"/>
  <c r="N30" i="94"/>
  <c r="B39" i="94"/>
  <c r="I39" i="94" s="1"/>
  <c r="B37" i="94"/>
  <c r="I37" i="94" s="1"/>
  <c r="E38" i="94"/>
  <c r="I38" i="94"/>
  <c r="C38" i="94"/>
  <c r="S32" i="95"/>
  <c r="S24" i="93"/>
  <c r="N7" i="54"/>
  <c r="N8" i="54" s="1"/>
  <c r="Q23" i="54"/>
  <c r="R23" i="54" s="1"/>
  <c r="U23" i="54" s="1"/>
  <c r="B30" i="31"/>
  <c r="B45" i="81"/>
  <c r="I45" i="81" s="1"/>
  <c r="B51" i="56"/>
  <c r="C51" i="56" s="1"/>
  <c r="B49" i="61"/>
  <c r="B49" i="58"/>
  <c r="B49" i="18"/>
  <c r="B29" i="31"/>
  <c r="B45" i="80"/>
  <c r="C45" i="80" s="1"/>
  <c r="B28" i="87"/>
  <c r="E28" i="87" s="1"/>
  <c r="B27" i="34"/>
  <c r="B27" i="33"/>
  <c r="B27" i="70"/>
  <c r="B27" i="17"/>
  <c r="B28" i="8"/>
  <c r="B27" i="19"/>
  <c r="B30" i="94"/>
  <c r="B30" i="95"/>
  <c r="B25" i="48"/>
  <c r="B26" i="44"/>
  <c r="B27" i="20"/>
  <c r="B30" i="93"/>
  <c r="B30" i="91"/>
  <c r="B29" i="4"/>
  <c r="B29" i="56"/>
  <c r="C29" i="56" s="1"/>
  <c r="B30" i="4"/>
  <c r="B31" i="8"/>
  <c r="B32" i="56"/>
  <c r="B33" i="95"/>
  <c r="K33" i="95" s="1"/>
  <c r="B33" i="93"/>
  <c r="K33" i="93" s="1"/>
  <c r="B33" i="91"/>
  <c r="C31" i="17"/>
  <c r="I31" i="17"/>
  <c r="E31" i="17"/>
  <c r="B44" i="17"/>
  <c r="B45" i="8"/>
  <c r="B44" i="70"/>
  <c r="B44" i="62"/>
  <c r="B43" i="44"/>
  <c r="B44" i="19"/>
  <c r="B44" i="20"/>
  <c r="B44" i="33"/>
  <c r="B42" i="48"/>
  <c r="B44" i="34"/>
  <c r="B49" i="8"/>
  <c r="B48" i="19"/>
  <c r="B48" i="62"/>
  <c r="B48" i="34"/>
  <c r="B47" i="44"/>
  <c r="B48" i="20"/>
  <c r="B46" i="48"/>
  <c r="B48" i="70"/>
  <c r="B48" i="33"/>
  <c r="B48" i="17"/>
  <c r="B29" i="87"/>
  <c r="C29" i="87" s="1"/>
  <c r="B28" i="56"/>
  <c r="I28" i="56" s="1"/>
  <c r="B26" i="18"/>
  <c r="B48" i="48"/>
  <c r="B50" i="33"/>
  <c r="B49" i="44"/>
  <c r="B50" i="17"/>
  <c r="B51" i="8"/>
  <c r="B50" i="70"/>
  <c r="B50" i="19"/>
  <c r="B50" i="62"/>
  <c r="B50" i="34"/>
  <c r="B50" i="20"/>
  <c r="B51" i="34"/>
  <c r="B50" i="44"/>
  <c r="B51" i="19"/>
  <c r="B49" i="48"/>
  <c r="B51" i="33"/>
  <c r="B51" i="17"/>
  <c r="B51" i="70"/>
  <c r="B51" i="20"/>
  <c r="B52" i="8"/>
  <c r="B51" i="62"/>
  <c r="B52" i="62"/>
  <c r="B53" i="8"/>
  <c r="B52" i="19"/>
  <c r="B52" i="20"/>
  <c r="B52" i="34"/>
  <c r="B52" i="33"/>
  <c r="B52" i="70"/>
  <c r="B50" i="48"/>
  <c r="B51" i="44"/>
  <c r="B52" i="17"/>
  <c r="B29" i="5"/>
  <c r="I29" i="5" s="1"/>
  <c r="B29" i="88"/>
  <c r="E29" i="88" s="1"/>
  <c r="B30" i="87"/>
  <c r="E30" i="87" s="1"/>
  <c r="B27" i="18"/>
  <c r="B44" i="61"/>
  <c r="C44" i="61" s="1"/>
  <c r="B49" i="20"/>
  <c r="B49" i="33"/>
  <c r="B49" i="34"/>
  <c r="B49" i="62"/>
  <c r="B48" i="44"/>
  <c r="B47" i="48"/>
  <c r="B50" i="8"/>
  <c r="B49" i="17"/>
  <c r="B49" i="70"/>
  <c r="B49" i="19"/>
  <c r="B33" i="87"/>
  <c r="B29" i="6"/>
  <c r="B30" i="5"/>
  <c r="I30" i="5" s="1"/>
  <c r="B30" i="88"/>
  <c r="I30" i="88" s="1"/>
  <c r="B48" i="58"/>
  <c r="B53" i="20"/>
  <c r="B53" i="34"/>
  <c r="B53" i="33"/>
  <c r="B53" i="17"/>
  <c r="B54" i="8"/>
  <c r="B53" i="70"/>
  <c r="B53" i="62"/>
  <c r="B53" i="19"/>
  <c r="B51" i="48"/>
  <c r="B52" i="44"/>
  <c r="B25" i="17"/>
  <c r="B26" i="8"/>
  <c r="B25" i="19"/>
  <c r="B28" i="95"/>
  <c r="B24" i="44"/>
  <c r="B28" i="93"/>
  <c r="B28" i="91"/>
  <c r="B26" i="20"/>
  <c r="B24" i="48"/>
  <c r="B26" i="70"/>
  <c r="B27" i="8"/>
  <c r="B26" i="33"/>
  <c r="B26" i="17"/>
  <c r="B26" i="19"/>
  <c r="B29" i="95"/>
  <c r="B29" i="94"/>
  <c r="B26" i="34"/>
  <c r="B25" i="44"/>
  <c r="B29" i="93"/>
  <c r="B29" i="91"/>
  <c r="B46" i="62"/>
  <c r="B46" i="70"/>
  <c r="B46" i="19"/>
  <c r="B47" i="8"/>
  <c r="B44" i="48"/>
  <c r="B46" i="20"/>
  <c r="B46" i="34"/>
  <c r="B46" i="33"/>
  <c r="B45" i="44"/>
  <c r="B46" i="17"/>
  <c r="B25" i="18"/>
  <c r="B30" i="6"/>
  <c r="B44" i="18"/>
  <c r="E44" i="18" s="1"/>
  <c r="B54" i="20"/>
  <c r="B54" i="19"/>
  <c r="B54" i="34"/>
  <c r="B54" i="33"/>
  <c r="B55" i="8"/>
  <c r="B54" i="17"/>
  <c r="B54" i="62"/>
  <c r="B52" i="48"/>
  <c r="B54" i="70"/>
  <c r="B53" i="44"/>
  <c r="B28" i="5"/>
  <c r="B45" i="34"/>
  <c r="B45" i="20"/>
  <c r="B45" i="33"/>
  <c r="B44" i="44"/>
  <c r="B43" i="48"/>
  <c r="B45" i="62"/>
  <c r="B45" i="70"/>
  <c r="B46" i="8"/>
  <c r="B45" i="17"/>
  <c r="B45" i="19"/>
  <c r="B28" i="88"/>
  <c r="B48" i="18"/>
  <c r="B33" i="88"/>
  <c r="B45" i="61"/>
  <c r="B47" i="33"/>
  <c r="B47" i="70"/>
  <c r="B47" i="20"/>
  <c r="B47" i="34"/>
  <c r="B47" i="62"/>
  <c r="B46" i="44"/>
  <c r="B45" i="48"/>
  <c r="B48" i="8"/>
  <c r="B47" i="17"/>
  <c r="B47" i="19"/>
  <c r="B28" i="6"/>
  <c r="C28" i="6" s="1"/>
  <c r="R8" i="78"/>
  <c r="R19" i="78" s="1"/>
  <c r="R9" i="78" s="1"/>
  <c r="E47" i="78"/>
  <c r="I47" i="78"/>
  <c r="C47" i="78"/>
  <c r="I48" i="78"/>
  <c r="C48" i="78"/>
  <c r="E48" i="78"/>
  <c r="C36" i="78"/>
  <c r="I36" i="78"/>
  <c r="E36" i="78"/>
  <c r="E30" i="78"/>
  <c r="I30" i="78"/>
  <c r="C30" i="78"/>
  <c r="I31" i="78"/>
  <c r="E31" i="78"/>
  <c r="C31" i="78"/>
  <c r="Q9" i="78"/>
  <c r="Q10" i="78" s="1"/>
  <c r="Q11" i="78" s="1"/>
  <c r="Q12" i="78" s="1"/>
  <c r="Q13" i="78" s="1"/>
  <c r="Q18" i="78" s="1"/>
  <c r="S8" i="78"/>
  <c r="Q29" i="78" s="1"/>
  <c r="C47" i="53"/>
  <c r="E47" i="53"/>
  <c r="I47" i="53"/>
  <c r="I36" i="53"/>
  <c r="E36" i="53"/>
  <c r="C36" i="53"/>
  <c r="I48" i="53"/>
  <c r="E48" i="53"/>
  <c r="C48" i="53"/>
  <c r="E30" i="53"/>
  <c r="I30" i="53"/>
  <c r="C30" i="53"/>
  <c r="C31" i="53"/>
  <c r="E31" i="53"/>
  <c r="I31" i="53"/>
  <c r="I39" i="81"/>
  <c r="E39" i="81"/>
  <c r="C39" i="81"/>
  <c r="I32" i="81"/>
  <c r="C32" i="81"/>
  <c r="E32" i="81"/>
  <c r="I38" i="81"/>
  <c r="C38" i="81"/>
  <c r="E38" i="81"/>
  <c r="I26" i="81"/>
  <c r="C26" i="81"/>
  <c r="E26" i="81"/>
  <c r="C27" i="81"/>
  <c r="E27" i="81"/>
  <c r="I27" i="81"/>
  <c r="I38" i="80"/>
  <c r="E38" i="80"/>
  <c r="C38" i="80"/>
  <c r="I49" i="80"/>
  <c r="E39" i="80"/>
  <c r="C39" i="80"/>
  <c r="I39" i="80"/>
  <c r="I32" i="80"/>
  <c r="C32" i="80"/>
  <c r="E32" i="80"/>
  <c r="I47" i="80"/>
  <c r="E47" i="80"/>
  <c r="C47" i="80"/>
  <c r="I50" i="80"/>
  <c r="I26" i="80"/>
  <c r="E26" i="80"/>
  <c r="C26" i="80"/>
  <c r="C27" i="80"/>
  <c r="E27" i="80"/>
  <c r="I27" i="80"/>
  <c r="K9" i="80"/>
  <c r="K11" i="80" s="1"/>
  <c r="N10" i="80" s="1"/>
  <c r="N11" i="80" s="1"/>
  <c r="Q14" i="80"/>
  <c r="Q8" i="80"/>
  <c r="Q9" i="80" s="1"/>
  <c r="Q10" i="80" s="1"/>
  <c r="Q11" i="80" s="1"/>
  <c r="Q12" i="80" s="1"/>
  <c r="I47" i="61"/>
  <c r="C47" i="61"/>
  <c r="E47" i="61"/>
  <c r="I48" i="61"/>
  <c r="I52" i="61"/>
  <c r="E27" i="61"/>
  <c r="C27" i="61"/>
  <c r="I27" i="61"/>
  <c r="I25" i="61"/>
  <c r="E25" i="61"/>
  <c r="C25" i="61"/>
  <c r="I31" i="61"/>
  <c r="E31" i="61"/>
  <c r="C31" i="61"/>
  <c r="I26" i="61"/>
  <c r="C26" i="61"/>
  <c r="E26" i="61"/>
  <c r="I45" i="58"/>
  <c r="C44" i="58"/>
  <c r="I25" i="58"/>
  <c r="E25" i="58"/>
  <c r="C25" i="58"/>
  <c r="I26" i="58"/>
  <c r="C26" i="58"/>
  <c r="E26" i="58"/>
  <c r="E27" i="58"/>
  <c r="I27" i="58"/>
  <c r="C27" i="58"/>
  <c r="A63" i="17"/>
  <c r="A61" i="18"/>
  <c r="A62" i="8"/>
  <c r="I31" i="18"/>
  <c r="E31" i="18"/>
  <c r="C31" i="18"/>
  <c r="E52" i="56"/>
  <c r="C52" i="56"/>
  <c r="I52" i="56"/>
  <c r="I46" i="56"/>
  <c r="E46" i="56"/>
  <c r="C46" i="56"/>
  <c r="E33" i="56"/>
  <c r="C33" i="56"/>
  <c r="I33" i="56"/>
  <c r="I48" i="56"/>
  <c r="Q9" i="51"/>
  <c r="Q10" i="51" s="1"/>
  <c r="Q11" i="51" s="1"/>
  <c r="Q12" i="51" s="1"/>
  <c r="Q13" i="51" s="1"/>
  <c r="Q14" i="51" s="1"/>
  <c r="T8" i="51"/>
  <c r="Q30" i="51" s="1"/>
  <c r="R30" i="51" s="1"/>
  <c r="R8" i="51"/>
  <c r="C31" i="51"/>
  <c r="I31" i="51"/>
  <c r="E31" i="51"/>
  <c r="I32" i="51"/>
  <c r="C32" i="51"/>
  <c r="E32" i="51"/>
  <c r="C38" i="51"/>
  <c r="I38" i="51"/>
  <c r="E38" i="51"/>
  <c r="E49" i="51"/>
  <c r="C49" i="51"/>
  <c r="I49" i="51"/>
  <c r="I51" i="51"/>
  <c r="E51" i="51"/>
  <c r="C51" i="51"/>
  <c r="E50" i="51"/>
  <c r="I50" i="51"/>
  <c r="Q25" i="55"/>
  <c r="R25" i="55" s="1"/>
  <c r="U25" i="55" s="1"/>
  <c r="T19" i="55"/>
  <c r="T9" i="55" s="1"/>
  <c r="Q35" i="55"/>
  <c r="Q28" i="55"/>
  <c r="R28" i="55" s="1"/>
  <c r="M13" i="55"/>
  <c r="M14" i="55" s="1"/>
  <c r="I36" i="55"/>
  <c r="E36" i="55"/>
  <c r="C36" i="55"/>
  <c r="I49" i="55"/>
  <c r="E49" i="55"/>
  <c r="C49" i="55"/>
  <c r="I47" i="55"/>
  <c r="E47" i="55"/>
  <c r="C47" i="55"/>
  <c r="E31" i="55"/>
  <c r="C31" i="55"/>
  <c r="I31" i="55"/>
  <c r="C48" i="55"/>
  <c r="I48" i="55"/>
  <c r="E48" i="55"/>
  <c r="C30" i="55"/>
  <c r="I30" i="55"/>
  <c r="E30" i="55"/>
  <c r="I28" i="7"/>
  <c r="C28" i="7"/>
  <c r="E28" i="7"/>
  <c r="E29" i="7"/>
  <c r="C29" i="7"/>
  <c r="I29" i="7"/>
  <c r="E34" i="7"/>
  <c r="C34" i="7"/>
  <c r="I34" i="7"/>
  <c r="I30" i="7"/>
  <c r="E30" i="7"/>
  <c r="C30" i="7"/>
  <c r="C28" i="54"/>
  <c r="I28" i="54"/>
  <c r="E28" i="54"/>
  <c r="I29" i="54"/>
  <c r="E29" i="54"/>
  <c r="C29" i="54"/>
  <c r="I34" i="54"/>
  <c r="E34" i="54"/>
  <c r="C34" i="54"/>
  <c r="I30" i="54"/>
  <c r="E30" i="54"/>
  <c r="C30" i="54"/>
  <c r="E34" i="5"/>
  <c r="C34" i="5"/>
  <c r="I34" i="5"/>
  <c r="I34" i="6"/>
  <c r="E34" i="6"/>
  <c r="C34" i="6"/>
  <c r="R23" i="71"/>
  <c r="S23" i="71" s="1"/>
  <c r="V23" i="71" s="1"/>
  <c r="M26" i="71" s="1"/>
  <c r="S17" i="71"/>
  <c r="S9" i="71" s="1"/>
  <c r="R21" i="71"/>
  <c r="S21" i="71" s="1"/>
  <c r="T21" i="71" s="1"/>
  <c r="M24" i="71" s="1"/>
  <c r="T17" i="71"/>
  <c r="T9" i="71" s="1"/>
  <c r="R22" i="71"/>
  <c r="S22" i="71" s="1"/>
  <c r="U22" i="71" s="1"/>
  <c r="M25" i="71" s="1"/>
  <c r="I38" i="71"/>
  <c r="E38" i="71"/>
  <c r="C38" i="71"/>
  <c r="R8" i="31"/>
  <c r="R9" i="31" s="1"/>
  <c r="R10" i="31" s="1"/>
  <c r="R11" i="31" s="1"/>
  <c r="R12" i="31" s="1"/>
  <c r="R13" i="31" s="1"/>
  <c r="R14" i="31" s="1"/>
  <c r="L12" i="85"/>
  <c r="M12" i="85" s="1"/>
  <c r="N12" i="85" s="1"/>
  <c r="L9" i="85"/>
  <c r="L11" i="85" s="1"/>
  <c r="O10" i="85" s="1"/>
  <c r="O11" i="85" s="1"/>
  <c r="L13" i="85"/>
  <c r="S8" i="85"/>
  <c r="U8" i="85"/>
  <c r="T8" i="85"/>
  <c r="A35" i="87"/>
  <c r="A35" i="88"/>
  <c r="A35" i="5"/>
  <c r="A35" i="31"/>
  <c r="A35" i="85"/>
  <c r="A35" i="4"/>
  <c r="A35" i="30"/>
  <c r="A53" i="30"/>
  <c r="A35" i="86"/>
  <c r="A69" i="88"/>
  <c r="A63" i="56"/>
  <c r="A64" i="93"/>
  <c r="A69" i="87"/>
  <c r="A69" i="91"/>
  <c r="A64" i="55"/>
  <c r="A69" i="7"/>
  <c r="A70" i="51"/>
  <c r="A67" i="5"/>
  <c r="A68" i="71"/>
  <c r="A67" i="6"/>
  <c r="A69" i="31"/>
  <c r="A68" i="54"/>
  <c r="A68" i="30"/>
  <c r="A67" i="85"/>
  <c r="A67" i="4"/>
  <c r="A69" i="86"/>
  <c r="A32" i="93"/>
  <c r="A32" i="91"/>
  <c r="A32" i="87"/>
  <c r="A32" i="5"/>
  <c r="A32" i="88"/>
  <c r="A32" i="31"/>
  <c r="A32" i="30"/>
  <c r="A32" i="86"/>
  <c r="A37" i="87"/>
  <c r="A37" i="88"/>
  <c r="A40" i="51"/>
  <c r="A39" i="55"/>
  <c r="A36" i="88"/>
  <c r="A37" i="5"/>
  <c r="A38" i="55"/>
  <c r="A37" i="31"/>
  <c r="A41" i="51"/>
  <c r="A36" i="87"/>
  <c r="A36" i="5"/>
  <c r="A36" i="31"/>
  <c r="A37" i="85"/>
  <c r="A36" i="30"/>
  <c r="A37" i="4"/>
  <c r="A36" i="85"/>
  <c r="A37" i="30"/>
  <c r="A36" i="4"/>
  <c r="A36" i="86"/>
  <c r="A37" i="86"/>
  <c r="A33" i="87"/>
  <c r="A33" i="88"/>
  <c r="A33" i="93"/>
  <c r="A33" i="91"/>
  <c r="A33" i="5"/>
  <c r="A33" i="31"/>
  <c r="A33" i="85"/>
  <c r="A33" i="4"/>
  <c r="A33" i="30"/>
  <c r="A33" i="86"/>
  <c r="A31" i="87"/>
  <c r="A31" i="88"/>
  <c r="A31" i="91"/>
  <c r="A31" i="93"/>
  <c r="A31" i="5"/>
  <c r="A31" i="31"/>
  <c r="A31" i="30"/>
  <c r="A31" i="86"/>
  <c r="O7" i="3"/>
  <c r="O8" i="3" s="1"/>
  <c r="Q8" i="72"/>
  <c r="K9" i="72"/>
  <c r="K11" i="72" s="1"/>
  <c r="K12" i="72"/>
  <c r="L12" i="72" s="1"/>
  <c r="M12" i="72" s="1"/>
  <c r="K13" i="72"/>
  <c r="N12" i="72"/>
  <c r="O12" i="72" s="1"/>
  <c r="T7" i="77"/>
  <c r="B2" i="6" s="1"/>
  <c r="D28" i="72"/>
  <c r="A59" i="72"/>
  <c r="K62" i="72"/>
  <c r="G9" i="72"/>
  <c r="G26" i="72"/>
  <c r="A52" i="72"/>
  <c r="A51" i="72"/>
  <c r="L12" i="31"/>
  <c r="M12" i="31" s="1"/>
  <c r="N12" i="31" s="1"/>
  <c r="M13" i="31" s="1"/>
  <c r="L9" i="31"/>
  <c r="L11" i="31" s="1"/>
  <c r="L79" i="31"/>
  <c r="L67" i="17"/>
  <c r="L72" i="31"/>
  <c r="I27" i="30"/>
  <c r="G8" i="8"/>
  <c r="G8" i="17" s="1"/>
  <c r="A34" i="3"/>
  <c r="L64" i="93"/>
  <c r="A25" i="44"/>
  <c r="A9" i="31"/>
  <c r="A9" i="87"/>
  <c r="A9" i="55"/>
  <c r="A9" i="88"/>
  <c r="A9" i="51"/>
  <c r="A7" i="31"/>
  <c r="A7" i="93"/>
  <c r="A7" i="87"/>
  <c r="A7" i="51"/>
  <c r="A26" i="70"/>
  <c r="I27" i="93"/>
  <c r="A12" i="31"/>
  <c r="A10" i="93"/>
  <c r="A12" i="91"/>
  <c r="A12" i="55"/>
  <c r="A12" i="87"/>
  <c r="A12" i="88"/>
  <c r="A12" i="51"/>
  <c r="A26" i="34"/>
  <c r="A11" i="31"/>
  <c r="A9" i="93"/>
  <c r="A11" i="91"/>
  <c r="A11" i="55"/>
  <c r="A11" i="87"/>
  <c r="A11" i="88"/>
  <c r="A11" i="51"/>
  <c r="A13" i="3"/>
  <c r="A13" i="31"/>
  <c r="A13" i="91"/>
  <c r="A13" i="55"/>
  <c r="A13" i="87"/>
  <c r="A13" i="88"/>
  <c r="A13" i="51"/>
  <c r="A61" i="88"/>
  <c r="A44" i="93"/>
  <c r="A26" i="20"/>
  <c r="C3" i="91"/>
  <c r="C3" i="93"/>
  <c r="A26" i="17"/>
  <c r="A37" i="72"/>
  <c r="C14" i="91"/>
  <c r="C14" i="93"/>
  <c r="A26" i="19"/>
  <c r="A26" i="18"/>
  <c r="L68" i="91"/>
  <c r="L63" i="93"/>
  <c r="A50" i="91"/>
  <c r="A45" i="93"/>
  <c r="A26" i="33"/>
  <c r="A48" i="93"/>
  <c r="A24" i="48"/>
  <c r="A52" i="91"/>
  <c r="A47" i="93"/>
  <c r="B3" i="91"/>
  <c r="B3" i="93"/>
  <c r="S22" i="91"/>
  <c r="U22" i="91" s="1"/>
  <c r="C3" i="86"/>
  <c r="C3" i="55"/>
  <c r="A59" i="85"/>
  <c r="C3" i="44"/>
  <c r="C3" i="7"/>
  <c r="A61" i="91"/>
  <c r="A61" i="87"/>
  <c r="C3" i="30"/>
  <c r="C3" i="48"/>
  <c r="A53" i="91"/>
  <c r="C3" i="17"/>
  <c r="C3" i="72"/>
  <c r="A49" i="91"/>
  <c r="L70" i="91"/>
  <c r="L64" i="91" s="1" a="1"/>
  <c r="L64" i="91" s="1"/>
  <c r="C3" i="31"/>
  <c r="C3" i="18"/>
  <c r="C3" i="85"/>
  <c r="C3" i="56"/>
  <c r="C3" i="19"/>
  <c r="C3" i="20"/>
  <c r="C3" i="87"/>
  <c r="C3" i="54"/>
  <c r="A7" i="91"/>
  <c r="A7" i="88"/>
  <c r="I27" i="6"/>
  <c r="I27" i="91"/>
  <c r="L69" i="91"/>
  <c r="C3" i="34"/>
  <c r="C3" i="88"/>
  <c r="C3" i="58"/>
  <c r="C3" i="78"/>
  <c r="C3" i="62"/>
  <c r="C3" i="53"/>
  <c r="A42" i="85"/>
  <c r="C3" i="81"/>
  <c r="C3" i="6"/>
  <c r="N13" i="91"/>
  <c r="N14" i="91" s="1"/>
  <c r="M14" i="91"/>
  <c r="M17" i="91" s="1"/>
  <c r="S23" i="91"/>
  <c r="V23" i="91" s="1"/>
  <c r="A49" i="87"/>
  <c r="A49" i="88"/>
  <c r="I27" i="54"/>
  <c r="I24" i="19"/>
  <c r="I26" i="56"/>
  <c r="I27" i="85"/>
  <c r="I24" i="20"/>
  <c r="I29" i="78"/>
  <c r="I30" i="51"/>
  <c r="I27" i="87"/>
  <c r="I24" i="34"/>
  <c r="I24" i="58"/>
  <c r="I29" i="53"/>
  <c r="I27" i="3"/>
  <c r="I23" i="44"/>
  <c r="I27" i="88"/>
  <c r="I27" i="31"/>
  <c r="I27" i="4"/>
  <c r="I25" i="80"/>
  <c r="I25" i="8"/>
  <c r="I27" i="7"/>
  <c r="I27" i="86"/>
  <c r="I24" i="18"/>
  <c r="I29" i="55"/>
  <c r="I24" i="33"/>
  <c r="I24" i="62"/>
  <c r="G27" i="85"/>
  <c r="G29" i="53"/>
  <c r="G30" i="51"/>
  <c r="G25" i="81"/>
  <c r="G24" i="62"/>
  <c r="G27" i="7"/>
  <c r="G27" i="4"/>
  <c r="G27" i="5"/>
  <c r="G24" i="61"/>
  <c r="G24" i="34"/>
  <c r="G24" i="58"/>
  <c r="G29" i="55"/>
  <c r="G26" i="56"/>
  <c r="G25" i="80"/>
  <c r="G25" i="8"/>
  <c r="G29" i="78"/>
  <c r="G27" i="54"/>
  <c r="B19" i="87"/>
  <c r="C14" i="87"/>
  <c r="F27" i="85"/>
  <c r="F25" i="8"/>
  <c r="F24" i="62"/>
  <c r="F29" i="53"/>
  <c r="F29" i="55"/>
  <c r="F30" i="51"/>
  <c r="F27" i="7"/>
  <c r="F29" i="78"/>
  <c r="F25" i="81"/>
  <c r="F24" i="58"/>
  <c r="F27" i="5"/>
  <c r="F24" i="34"/>
  <c r="F25" i="80"/>
  <c r="F26" i="56"/>
  <c r="F27" i="4"/>
  <c r="F27" i="54"/>
  <c r="F24" i="61"/>
  <c r="A52" i="87"/>
  <c r="B3" i="88"/>
  <c r="A50" i="85"/>
  <c r="S8" i="30"/>
  <c r="T8" i="30"/>
  <c r="U8" i="30"/>
  <c r="O7" i="30"/>
  <c r="O8" i="30" s="1"/>
  <c r="T9" i="78"/>
  <c r="Q25" i="78"/>
  <c r="R25" i="78" s="1"/>
  <c r="U25" i="78" s="1"/>
  <c r="Q30" i="78"/>
  <c r="Q33" i="78"/>
  <c r="Q35" i="78"/>
  <c r="Q28" i="78"/>
  <c r="R28" i="78" s="1"/>
  <c r="L13" i="78"/>
  <c r="N7" i="53"/>
  <c r="N8" i="53" s="1"/>
  <c r="R8" i="53"/>
  <c r="R19" i="53" s="1"/>
  <c r="T8" i="53"/>
  <c r="T19" i="53" s="1"/>
  <c r="S8" i="53"/>
  <c r="S19" i="53" s="1"/>
  <c r="M12" i="53"/>
  <c r="M12" i="81"/>
  <c r="T8" i="81"/>
  <c r="T15" i="81" s="1"/>
  <c r="S8" i="81"/>
  <c r="S15" i="81" s="1"/>
  <c r="R8" i="81"/>
  <c r="R15" i="81" s="1"/>
  <c r="N7" i="81"/>
  <c r="N8" i="81" s="1"/>
  <c r="K33" i="80"/>
  <c r="L14" i="80"/>
  <c r="L15" i="80" s="1"/>
  <c r="M12" i="80"/>
  <c r="M14" i="80" s="1"/>
  <c r="S9" i="51"/>
  <c r="Q35" i="51"/>
  <c r="R35" i="51" s="1"/>
  <c r="T35" i="51" s="1"/>
  <c r="Q25" i="51"/>
  <c r="R25" i="51" s="1"/>
  <c r="T25" i="51" s="1"/>
  <c r="Q28" i="51"/>
  <c r="R28" i="51" s="1"/>
  <c r="T28" i="51" s="1"/>
  <c r="Q34" i="51"/>
  <c r="R34" i="51" s="1"/>
  <c r="N7" i="51"/>
  <c r="N8" i="51" s="1"/>
  <c r="N10" i="51"/>
  <c r="N11" i="51" s="1"/>
  <c r="M12" i="51"/>
  <c r="Q27" i="51"/>
  <c r="R27" i="51" s="1"/>
  <c r="S28" i="55"/>
  <c r="U28" i="55"/>
  <c r="K12" i="7"/>
  <c r="L12" i="7" s="1"/>
  <c r="K13" i="7"/>
  <c r="K9" i="7"/>
  <c r="K11" i="7" s="1"/>
  <c r="L13" i="54"/>
  <c r="M13" i="54" s="1"/>
  <c r="M14" i="54" s="1"/>
  <c r="Q21" i="54"/>
  <c r="R21" i="54" s="1"/>
  <c r="S21" i="54" s="1"/>
  <c r="Q22" i="54"/>
  <c r="R22" i="54" s="1"/>
  <c r="T22" i="54" s="1"/>
  <c r="M13" i="5"/>
  <c r="N13" i="5" s="1"/>
  <c r="N14" i="5" s="1"/>
  <c r="U8" i="6"/>
  <c r="S8" i="6"/>
  <c r="T8" i="6"/>
  <c r="N12" i="6"/>
  <c r="O7" i="6"/>
  <c r="O8" i="6" s="1"/>
  <c r="B38" i="6" s="1"/>
  <c r="N12" i="86"/>
  <c r="L38" i="85"/>
  <c r="K38" i="54"/>
  <c r="L38" i="4"/>
  <c r="K41" i="51"/>
  <c r="K41" i="78"/>
  <c r="K38" i="7"/>
  <c r="K40" i="55"/>
  <c r="K37" i="80"/>
  <c r="K37" i="81"/>
  <c r="K41" i="53"/>
  <c r="M13" i="30"/>
  <c r="N13" i="30" s="1"/>
  <c r="N14" i="30" s="1"/>
  <c r="O7" i="4"/>
  <c r="O8" i="4" s="1"/>
  <c r="S8" i="4"/>
  <c r="U8" i="4"/>
  <c r="T8" i="4"/>
  <c r="N12" i="4"/>
  <c r="R21" i="85"/>
  <c r="S21" i="85" s="1"/>
  <c r="T21" i="85" s="1"/>
  <c r="M24" i="85" s="1"/>
  <c r="O7" i="86"/>
  <c r="O8" i="86" s="1"/>
  <c r="R23" i="86"/>
  <c r="S9" i="86"/>
  <c r="R21" i="86"/>
  <c r="S21" i="86" s="1"/>
  <c r="T21" i="86" s="1"/>
  <c r="M24" i="86" s="1"/>
  <c r="R22" i="86"/>
  <c r="T8" i="3"/>
  <c r="S8" i="3"/>
  <c r="U8" i="3"/>
  <c r="M13" i="3"/>
  <c r="N13" i="3" s="1"/>
  <c r="N14" i="3" s="1"/>
  <c r="B20" i="88"/>
  <c r="C15" i="85"/>
  <c r="C14" i="88"/>
  <c r="B3" i="71"/>
  <c r="B3" i="85"/>
  <c r="B3" i="87"/>
  <c r="F59" i="57"/>
  <c r="F78" i="57" s="1"/>
  <c r="A42" i="4"/>
  <c r="A43" i="72"/>
  <c r="A42" i="3"/>
  <c r="B3" i="86"/>
  <c r="B3" i="80"/>
  <c r="B3" i="56"/>
  <c r="B3" i="48"/>
  <c r="B3" i="54"/>
  <c r="B3" i="51"/>
  <c r="B3" i="58"/>
  <c r="B3" i="81"/>
  <c r="B3" i="44"/>
  <c r="B3" i="7"/>
  <c r="B3" i="70"/>
  <c r="B3" i="6"/>
  <c r="B3" i="34"/>
  <c r="B3" i="3"/>
  <c r="B3" i="19"/>
  <c r="B3" i="33"/>
  <c r="B3" i="55"/>
  <c r="B3" i="8"/>
  <c r="B3" i="53"/>
  <c r="B3" i="31"/>
  <c r="B3" i="20"/>
  <c r="B3" i="72"/>
  <c r="B3" i="78"/>
  <c r="B3" i="17"/>
  <c r="B3" i="4"/>
  <c r="B3" i="5"/>
  <c r="B3" i="61"/>
  <c r="B3" i="18"/>
  <c r="C15" i="86"/>
  <c r="C13" i="78"/>
  <c r="C15" i="7"/>
  <c r="C13" i="34"/>
  <c r="C13" i="18"/>
  <c r="C15" i="56"/>
  <c r="C15" i="4"/>
  <c r="C11" i="44"/>
  <c r="C13" i="17"/>
  <c r="C15" i="5"/>
  <c r="C12" i="62"/>
  <c r="C12" i="81"/>
  <c r="C12" i="61"/>
  <c r="C12" i="58"/>
  <c r="C14" i="54"/>
  <c r="C15" i="30"/>
  <c r="C11" i="20"/>
  <c r="C15" i="31"/>
  <c r="C14" i="55"/>
  <c r="C11" i="70"/>
  <c r="C13" i="19"/>
  <c r="C13" i="8"/>
  <c r="C15" i="6"/>
  <c r="C15" i="3"/>
  <c r="C11" i="48"/>
  <c r="C10" i="33"/>
  <c r="C14" i="51"/>
  <c r="C15" i="71"/>
  <c r="D61" i="8"/>
  <c r="C81" i="42"/>
  <c r="C59" i="57"/>
  <c r="C78" i="57"/>
  <c r="D62" i="56"/>
  <c r="A55" i="3"/>
  <c r="A55" i="72"/>
  <c r="A54" i="72"/>
  <c r="A50" i="4"/>
  <c r="A50" i="3"/>
  <c r="A3" i="57"/>
  <c r="A57" i="77"/>
  <c r="A61" i="86"/>
  <c r="A60" i="71"/>
  <c r="A60" i="54"/>
  <c r="A63" i="51"/>
  <c r="A59" i="6"/>
  <c r="A61" i="31"/>
  <c r="A60" i="30"/>
  <c r="A59" i="4"/>
  <c r="A57" i="55"/>
  <c r="A59" i="5"/>
  <c r="A61" i="7"/>
  <c r="A29" i="3"/>
  <c r="A30" i="72"/>
  <c r="A49" i="86"/>
  <c r="A37" i="81"/>
  <c r="A49" i="31"/>
  <c r="A46" i="53"/>
  <c r="A37" i="80"/>
  <c r="A44" i="7"/>
  <c r="A44" i="54"/>
  <c r="A46" i="78"/>
  <c r="A49" i="71"/>
  <c r="B5" i="3"/>
  <c r="B5" i="72"/>
  <c r="A12" i="3"/>
  <c r="A11" i="72"/>
  <c r="A51" i="3"/>
  <c r="A51" i="4"/>
  <c r="A7" i="3"/>
  <c r="A7" i="72"/>
  <c r="A56" i="86"/>
  <c r="A54" i="71"/>
  <c r="A54" i="3"/>
  <c r="A53" i="6"/>
  <c r="A54" i="54"/>
  <c r="A54" i="4"/>
  <c r="A56" i="31"/>
  <c r="A54" i="7"/>
  <c r="A53" i="5"/>
  <c r="A28" i="3"/>
  <c r="A29" i="72"/>
  <c r="F72" i="42"/>
  <c r="F1" i="57"/>
  <c r="A4" i="3"/>
  <c r="A4" i="72"/>
  <c r="I28" i="72"/>
  <c r="I27" i="5"/>
  <c r="I24" i="61"/>
  <c r="I24" i="17"/>
  <c r="I27" i="71"/>
  <c r="I24" i="70"/>
  <c r="I25" i="81"/>
  <c r="F15" i="77"/>
  <c r="C3" i="51"/>
  <c r="C3" i="70"/>
  <c r="C3" i="4"/>
  <c r="C3" i="3"/>
  <c r="C3" i="71"/>
  <c r="C3" i="8"/>
  <c r="C3" i="5"/>
  <c r="A36" i="72"/>
  <c r="A56" i="72"/>
  <c r="A53" i="3"/>
  <c r="A11" i="3"/>
  <c r="A10" i="72"/>
  <c r="L70" i="85"/>
  <c r="L66" i="6"/>
  <c r="L65" i="8"/>
  <c r="K66" i="78"/>
  <c r="L66" i="5"/>
  <c r="L63" i="33"/>
  <c r="L62" i="34"/>
  <c r="K56" i="81"/>
  <c r="L59" i="58"/>
  <c r="L63" i="70"/>
  <c r="K69" i="51"/>
  <c r="K63" i="55"/>
  <c r="K60" i="72"/>
  <c r="L63" i="44"/>
  <c r="K67" i="53"/>
  <c r="L63" i="20"/>
  <c r="L66" i="30"/>
  <c r="K68" i="7"/>
  <c r="L67" i="71"/>
  <c r="L60" i="62"/>
  <c r="L60" i="61"/>
  <c r="K67" i="54"/>
  <c r="L62" i="48"/>
  <c r="K56" i="80"/>
  <c r="A29" i="17"/>
  <c r="A29" i="20"/>
  <c r="A28" i="44"/>
  <c r="A29" i="19"/>
  <c r="A29" i="70"/>
  <c r="A29" i="33"/>
  <c r="A27" i="48"/>
  <c r="A29" i="34"/>
  <c r="A29" i="18"/>
  <c r="C27" i="85"/>
  <c r="C27" i="4"/>
  <c r="C26" i="56"/>
  <c r="C30" i="51"/>
  <c r="C25" i="80"/>
  <c r="C29" i="55"/>
  <c r="C25" i="81"/>
  <c r="C24" i="34"/>
  <c r="C27" i="54"/>
  <c r="C24" i="61"/>
  <c r="C29" i="78"/>
  <c r="C29" i="53"/>
  <c r="C24" i="58"/>
  <c r="C24" i="62"/>
  <c r="C25" i="8"/>
  <c r="C27" i="5"/>
  <c r="C27" i="7"/>
  <c r="A52" i="88"/>
  <c r="D27" i="85"/>
  <c r="D25" i="81"/>
  <c r="D27" i="4"/>
  <c r="D30" i="51"/>
  <c r="D24" i="58"/>
  <c r="D27" i="7"/>
  <c r="D25" i="80"/>
  <c r="D29" i="55"/>
  <c r="D29" i="53"/>
  <c r="D24" i="34"/>
  <c r="D24" i="62"/>
  <c r="D27" i="5"/>
  <c r="D25" i="8"/>
  <c r="D27" i="54"/>
  <c r="D24" i="61"/>
  <c r="D26" i="56"/>
  <c r="D29" i="78"/>
  <c r="A29" i="44"/>
  <c r="A30" i="70"/>
  <c r="A30" i="33"/>
  <c r="A28" i="48"/>
  <c r="A30" i="19"/>
  <c r="A35" i="78"/>
  <c r="A33" i="71"/>
  <c r="A37" i="51"/>
  <c r="A30" i="58"/>
  <c r="A30" i="62"/>
  <c r="A33" i="6"/>
  <c r="A33" i="54"/>
  <c r="A33" i="7"/>
  <c r="A35" i="53"/>
  <c r="A31" i="81"/>
  <c r="A35" i="55"/>
  <c r="A30" i="61"/>
  <c r="A31" i="80"/>
  <c r="A31" i="6"/>
  <c r="A29" i="81"/>
  <c r="A28" i="61"/>
  <c r="A33" i="55"/>
  <c r="A33" i="78"/>
  <c r="A28" i="62"/>
  <c r="A31" i="54"/>
  <c r="A34" i="51"/>
  <c r="A28" i="58"/>
  <c r="A31" i="7"/>
  <c r="A31" i="71"/>
  <c r="A33" i="53"/>
  <c r="A29" i="80"/>
  <c r="A62" i="86"/>
  <c r="A60" i="4"/>
  <c r="A60" i="6"/>
  <c r="A58" i="55"/>
  <c r="A61" i="54"/>
  <c r="A61" i="71"/>
  <c r="A62" i="31"/>
  <c r="A60" i="5"/>
  <c r="A64" i="51"/>
  <c r="A62" i="7"/>
  <c r="A60" i="85"/>
  <c r="A61" i="30"/>
  <c r="A60" i="3"/>
  <c r="A38" i="53"/>
  <c r="A36" i="71"/>
  <c r="A36" i="6"/>
  <c r="A36" i="7"/>
  <c r="A38" i="78"/>
  <c r="A36" i="54"/>
  <c r="A27" i="56"/>
  <c r="A26" i="8"/>
  <c r="A9" i="3"/>
  <c r="A8" i="72"/>
  <c r="B20" i="86"/>
  <c r="B19" i="85"/>
  <c r="B20" i="5"/>
  <c r="B20" i="54"/>
  <c r="B21" i="53"/>
  <c r="B21" i="78"/>
  <c r="B20" i="7"/>
  <c r="B19" i="31"/>
  <c r="B22" i="51"/>
  <c r="B20" i="4"/>
  <c r="B22" i="55"/>
  <c r="D3" i="57"/>
  <c r="D74" i="42"/>
  <c r="G7" i="57"/>
  <c r="G8" i="57"/>
  <c r="A30" i="3"/>
  <c r="A28" i="8"/>
  <c r="A31" i="72"/>
  <c r="A27" i="18"/>
  <c r="A29" i="56"/>
  <c r="D41" i="3"/>
  <c r="D42" i="72"/>
  <c r="C3" i="57"/>
  <c r="C74" i="42"/>
  <c r="A53" i="86"/>
  <c r="A52" i="30"/>
  <c r="A53" i="71"/>
  <c r="A53" i="31"/>
  <c r="A32" i="7"/>
  <c r="A29" i="58"/>
  <c r="A29" i="62"/>
  <c r="A34" i="55"/>
  <c r="A30" i="80"/>
  <c r="A30" i="81"/>
  <c r="A32" i="54"/>
  <c r="A29" i="61"/>
  <c r="A32" i="71"/>
  <c r="A34" i="78"/>
  <c r="A34" i="53"/>
  <c r="A32" i="6"/>
  <c r="A35" i="51"/>
  <c r="A50" i="86"/>
  <c r="A50" i="87"/>
  <c r="A50" i="88"/>
  <c r="A49" i="30"/>
  <c r="A50" i="54"/>
  <c r="A50" i="71"/>
  <c r="A50" i="7"/>
  <c r="A50" i="31"/>
  <c r="A35" i="54"/>
  <c r="A37" i="53"/>
  <c r="A35" i="7"/>
  <c r="A37" i="55"/>
  <c r="A35" i="71"/>
  <c r="A37" i="78"/>
  <c r="A35" i="6"/>
  <c r="A39" i="51"/>
  <c r="A53" i="87"/>
  <c r="A53" i="88"/>
  <c r="K58" i="81"/>
  <c r="K68" i="78"/>
  <c r="L78" i="31"/>
  <c r="L70" i="56"/>
  <c r="L68" i="8"/>
  <c r="L71" i="31"/>
  <c r="L66" i="17"/>
  <c r="L69" i="31"/>
  <c r="L73" i="31"/>
  <c r="L68" i="17"/>
  <c r="L73" i="86"/>
  <c r="L69" i="88"/>
  <c r="L69" i="87"/>
  <c r="L69" i="86"/>
  <c r="L70" i="31"/>
  <c r="L65" i="17"/>
  <c r="L68" i="88"/>
  <c r="L68" i="87"/>
  <c r="B34" i="86"/>
  <c r="B34" i="85"/>
  <c r="B34" i="3"/>
  <c r="B39" i="72"/>
  <c r="B35" i="72"/>
  <c r="I35" i="72" s="1"/>
  <c r="L68" i="86"/>
  <c r="L68" i="31"/>
  <c r="L64" i="17"/>
  <c r="L70" i="88"/>
  <c r="L72" i="56"/>
  <c r="L76" i="31"/>
  <c r="L69" i="8"/>
  <c r="L76" i="86"/>
  <c r="N12" i="88"/>
  <c r="S8" i="88"/>
  <c r="S17" i="88" s="1"/>
  <c r="U8" i="88"/>
  <c r="U17" i="88" s="1"/>
  <c r="T8" i="88"/>
  <c r="T17" i="88" s="1"/>
  <c r="O7" i="88"/>
  <c r="O8" i="88" s="1"/>
  <c r="D59" i="87"/>
  <c r="O7" i="87"/>
  <c r="O8" i="87" s="1"/>
  <c r="N12" i="87"/>
  <c r="U8" i="87"/>
  <c r="U17" i="87" s="1"/>
  <c r="T8" i="87"/>
  <c r="T17" i="87" s="1"/>
  <c r="S8" i="87"/>
  <c r="S17" i="87" s="1"/>
  <c r="L75" i="31"/>
  <c r="L75" i="86"/>
  <c r="L71" i="56"/>
  <c r="L74" i="86"/>
  <c r="L69" i="56"/>
  <c r="L74" i="31"/>
  <c r="L67" i="8"/>
  <c r="G25" i="85"/>
  <c r="G22" i="61"/>
  <c r="G23" i="81"/>
  <c r="G27" i="78"/>
  <c r="G27" i="53"/>
  <c r="G22" i="62"/>
  <c r="G25" i="5"/>
  <c r="G25" i="71"/>
  <c r="G23" i="8"/>
  <c r="G25" i="6"/>
  <c r="G23" i="80"/>
  <c r="G25" i="7"/>
  <c r="G27" i="55"/>
  <c r="G24" i="56"/>
  <c r="G22" i="34"/>
  <c r="G22" i="58"/>
  <c r="G25" i="54"/>
  <c r="G25" i="4"/>
  <c r="G28" i="51"/>
  <c r="U28" i="86" l="1"/>
  <c r="V28" i="86"/>
  <c r="S17" i="6"/>
  <c r="R30" i="6"/>
  <c r="S30" i="6" s="1"/>
  <c r="T30" i="6" s="1"/>
  <c r="R31" i="6"/>
  <c r="S31" i="6" s="1"/>
  <c r="R25" i="6"/>
  <c r="S25" i="6" s="1"/>
  <c r="R24" i="6"/>
  <c r="S24" i="6" s="1"/>
  <c r="T24" i="6" s="1"/>
  <c r="R33" i="6"/>
  <c r="S33" i="6" s="1"/>
  <c r="R27" i="6"/>
  <c r="S27" i="6" s="1"/>
  <c r="Q23" i="78"/>
  <c r="R23" i="78" s="1"/>
  <c r="S23" i="78" s="1"/>
  <c r="V28" i="71"/>
  <c r="U28" i="71"/>
  <c r="Q31" i="78"/>
  <c r="R31" i="78" s="1"/>
  <c r="S31" i="78" s="1"/>
  <c r="U17" i="6"/>
  <c r="R29" i="6"/>
  <c r="S29" i="6" s="1"/>
  <c r="V29" i="6" s="1"/>
  <c r="T17" i="85"/>
  <c r="T9" i="85" s="1"/>
  <c r="R26" i="85"/>
  <c r="S26" i="85" s="1"/>
  <c r="U26" i="85" s="1"/>
  <c r="R32" i="85"/>
  <c r="S32" i="85" s="1"/>
  <c r="U32" i="85" s="1"/>
  <c r="R28" i="85"/>
  <c r="S28" i="85" s="1"/>
  <c r="U31" i="86"/>
  <c r="T31" i="86"/>
  <c r="T33" i="71"/>
  <c r="V33" i="71"/>
  <c r="T17" i="6"/>
  <c r="T9" i="6" s="1"/>
  <c r="R26" i="6"/>
  <c r="S26" i="6" s="1"/>
  <c r="U26" i="6" s="1"/>
  <c r="R28" i="6"/>
  <c r="S28" i="6" s="1"/>
  <c r="R32" i="6"/>
  <c r="S32" i="6" s="1"/>
  <c r="U32" i="6" s="1"/>
  <c r="U17" i="3"/>
  <c r="R29" i="3"/>
  <c r="S29" i="3" s="1"/>
  <c r="V29" i="3" s="1"/>
  <c r="U17" i="85"/>
  <c r="U9" i="85" s="1"/>
  <c r="R29" i="85"/>
  <c r="S29" i="85" s="1"/>
  <c r="V29" i="85" s="1"/>
  <c r="V33" i="86"/>
  <c r="T33" i="86"/>
  <c r="U25" i="71"/>
  <c r="T25" i="71"/>
  <c r="S17" i="3"/>
  <c r="S9" i="3" s="1"/>
  <c r="R33" i="3"/>
  <c r="S33" i="3" s="1"/>
  <c r="R31" i="3"/>
  <c r="S31" i="3" s="1"/>
  <c r="R24" i="3"/>
  <c r="S24" i="3" s="1"/>
  <c r="T24" i="3" s="1"/>
  <c r="R30" i="3"/>
  <c r="S30" i="3" s="1"/>
  <c r="T30" i="3" s="1"/>
  <c r="R27" i="3"/>
  <c r="S27" i="3" s="1"/>
  <c r="R25" i="3"/>
  <c r="S25" i="3" s="1"/>
  <c r="T17" i="4"/>
  <c r="R28" i="4"/>
  <c r="S28" i="4" s="1"/>
  <c r="R26" i="4"/>
  <c r="S26" i="4" s="1"/>
  <c r="U26" i="4" s="1"/>
  <c r="R32" i="4"/>
  <c r="S32" i="4" s="1"/>
  <c r="U32" i="4" s="1"/>
  <c r="S17" i="85"/>
  <c r="S9" i="85" s="1"/>
  <c r="R27" i="85"/>
  <c r="S27" i="85" s="1"/>
  <c r="R25" i="85"/>
  <c r="S25" i="85" s="1"/>
  <c r="R24" i="85"/>
  <c r="S24" i="85" s="1"/>
  <c r="T24" i="85" s="1"/>
  <c r="R33" i="85"/>
  <c r="S33" i="85" s="1"/>
  <c r="R30" i="85"/>
  <c r="S30" i="85" s="1"/>
  <c r="T30" i="85" s="1"/>
  <c r="R31" i="85"/>
  <c r="S31" i="85" s="1"/>
  <c r="U25" i="86"/>
  <c r="T25" i="86"/>
  <c r="V27" i="71"/>
  <c r="T27" i="71"/>
  <c r="T17" i="3"/>
  <c r="R32" i="3"/>
  <c r="S32" i="3" s="1"/>
  <c r="U32" i="3" s="1"/>
  <c r="R28" i="3"/>
  <c r="S28" i="3" s="1"/>
  <c r="R26" i="3"/>
  <c r="S26" i="3" s="1"/>
  <c r="U26" i="3" s="1"/>
  <c r="U17" i="4"/>
  <c r="R29" i="4"/>
  <c r="S29" i="4" s="1"/>
  <c r="V29" i="4" s="1"/>
  <c r="V27" i="86"/>
  <c r="T27" i="86"/>
  <c r="S17" i="4"/>
  <c r="R27" i="4"/>
  <c r="S27" i="4" s="1"/>
  <c r="R24" i="4"/>
  <c r="S24" i="4" s="1"/>
  <c r="T24" i="4" s="1"/>
  <c r="R25" i="4"/>
  <c r="S25" i="4" s="1"/>
  <c r="R33" i="4"/>
  <c r="S33" i="4" s="1"/>
  <c r="R30" i="4"/>
  <c r="S30" i="4" s="1"/>
  <c r="T30" i="4" s="1"/>
  <c r="R31" i="4"/>
  <c r="S31" i="4" s="1"/>
  <c r="U31" i="71"/>
  <c r="T31" i="71"/>
  <c r="T31" i="5"/>
  <c r="U31" i="5"/>
  <c r="T33" i="5"/>
  <c r="V33" i="5"/>
  <c r="V27" i="5"/>
  <c r="M26" i="5" s="1"/>
  <c r="T27" i="5"/>
  <c r="V28" i="5"/>
  <c r="U28" i="5"/>
  <c r="U25" i="5"/>
  <c r="M25" i="5" s="1"/>
  <c r="T25" i="5"/>
  <c r="M24" i="5"/>
  <c r="M29" i="5" s="1"/>
  <c r="R24" i="54"/>
  <c r="S24" i="54" s="1"/>
  <c r="S17" i="30"/>
  <c r="R33" i="30"/>
  <c r="R31" i="30"/>
  <c r="R30" i="30"/>
  <c r="R27" i="30"/>
  <c r="R25" i="30"/>
  <c r="R24" i="30"/>
  <c r="T17" i="30"/>
  <c r="T9" i="30" s="1"/>
  <c r="R28" i="30"/>
  <c r="R26" i="30"/>
  <c r="R32" i="30"/>
  <c r="U17" i="30"/>
  <c r="U9" i="30" s="1"/>
  <c r="R29" i="30"/>
  <c r="E54" i="34"/>
  <c r="C54" i="34"/>
  <c r="E45" i="33"/>
  <c r="C45" i="33"/>
  <c r="C51" i="48"/>
  <c r="E51" i="48"/>
  <c r="I29" i="6"/>
  <c r="C29" i="6"/>
  <c r="E51" i="34"/>
  <c r="C51" i="34"/>
  <c r="C26" i="44"/>
  <c r="E26" i="44"/>
  <c r="E53" i="61"/>
  <c r="C53" i="61"/>
  <c r="C55" i="56"/>
  <c r="E55" i="56"/>
  <c r="E50" i="81"/>
  <c r="C50" i="81"/>
  <c r="C47" i="8"/>
  <c r="E47" i="8"/>
  <c r="C45" i="61"/>
  <c r="E45" i="61"/>
  <c r="C46" i="70"/>
  <c r="E46" i="70"/>
  <c r="E27" i="18"/>
  <c r="C27" i="18"/>
  <c r="E53" i="8"/>
  <c r="C53" i="8"/>
  <c r="E25" i="48"/>
  <c r="C25" i="48"/>
  <c r="I49" i="18"/>
  <c r="C49" i="18"/>
  <c r="E49" i="18"/>
  <c r="E53" i="58"/>
  <c r="C53" i="58"/>
  <c r="E46" i="18"/>
  <c r="C46" i="18"/>
  <c r="C51" i="18"/>
  <c r="E51" i="18"/>
  <c r="I54" i="58"/>
  <c r="E54" i="58"/>
  <c r="C54" i="58"/>
  <c r="E49" i="8"/>
  <c r="C49" i="8"/>
  <c r="E45" i="34"/>
  <c r="C45" i="34"/>
  <c r="E46" i="62"/>
  <c r="C46" i="62"/>
  <c r="E53" i="62"/>
  <c r="C53" i="62"/>
  <c r="C52" i="62"/>
  <c r="E52" i="62"/>
  <c r="E50" i="34"/>
  <c r="C50" i="34"/>
  <c r="E48" i="17"/>
  <c r="C48" i="17"/>
  <c r="I49" i="58"/>
  <c r="E49" i="58"/>
  <c r="C49" i="58"/>
  <c r="C50" i="61"/>
  <c r="E50" i="61"/>
  <c r="C50" i="18"/>
  <c r="E50" i="18"/>
  <c r="I54" i="56"/>
  <c r="E54" i="56"/>
  <c r="C54" i="56"/>
  <c r="C48" i="18"/>
  <c r="E48" i="18"/>
  <c r="I30" i="6"/>
  <c r="C30" i="6"/>
  <c r="E53" i="70"/>
  <c r="C53" i="70"/>
  <c r="E49" i="70"/>
  <c r="C49" i="70"/>
  <c r="C51" i="62"/>
  <c r="E51" i="62"/>
  <c r="E50" i="62"/>
  <c r="C50" i="62"/>
  <c r="I49" i="61"/>
  <c r="E49" i="61"/>
  <c r="C49" i="61"/>
  <c r="E52" i="58"/>
  <c r="C52" i="58"/>
  <c r="E46" i="61"/>
  <c r="C46" i="61"/>
  <c r="E48" i="81"/>
  <c r="C48" i="81"/>
  <c r="E44" i="44"/>
  <c r="C44" i="44"/>
  <c r="E53" i="44"/>
  <c r="C53" i="44"/>
  <c r="C54" i="8"/>
  <c r="E54" i="8"/>
  <c r="E49" i="17"/>
  <c r="C49" i="17"/>
  <c r="C48" i="70"/>
  <c r="E48" i="70"/>
  <c r="E53" i="18"/>
  <c r="C53" i="18"/>
  <c r="E54" i="70"/>
  <c r="C54" i="70"/>
  <c r="E46" i="17"/>
  <c r="C46" i="17"/>
  <c r="E53" i="17"/>
  <c r="C53" i="17"/>
  <c r="E52" i="17"/>
  <c r="C52" i="17"/>
  <c r="E50" i="70"/>
  <c r="C50" i="70"/>
  <c r="E46" i="48"/>
  <c r="C46" i="48"/>
  <c r="E54" i="61"/>
  <c r="C54" i="61"/>
  <c r="I45" i="18"/>
  <c r="E45" i="18"/>
  <c r="C45" i="18"/>
  <c r="E50" i="58"/>
  <c r="C50" i="58"/>
  <c r="E45" i="17"/>
  <c r="C45" i="17"/>
  <c r="E52" i="48"/>
  <c r="C52" i="48"/>
  <c r="E45" i="44"/>
  <c r="C45" i="44"/>
  <c r="E53" i="33"/>
  <c r="C53" i="33"/>
  <c r="E47" i="48"/>
  <c r="C47" i="48"/>
  <c r="E51" i="44"/>
  <c r="C51" i="44"/>
  <c r="E51" i="70"/>
  <c r="F51" i="70" s="1"/>
  <c r="G51" i="70" s="1"/>
  <c r="C51" i="70"/>
  <c r="E27" i="17"/>
  <c r="C27" i="17"/>
  <c r="I51" i="58"/>
  <c r="E51" i="58"/>
  <c r="C51" i="58"/>
  <c r="E50" i="44"/>
  <c r="C50" i="44"/>
  <c r="E46" i="8"/>
  <c r="C46" i="8"/>
  <c r="E54" i="62"/>
  <c r="C54" i="62"/>
  <c r="E46" i="33"/>
  <c r="C46" i="33"/>
  <c r="E53" i="34"/>
  <c r="C53" i="34"/>
  <c r="E48" i="44"/>
  <c r="F48" i="44" s="1"/>
  <c r="G48" i="44" s="1"/>
  <c r="C48" i="44"/>
  <c r="C50" i="48"/>
  <c r="E50" i="48"/>
  <c r="C51" i="17"/>
  <c r="E51" i="17"/>
  <c r="E50" i="17"/>
  <c r="F50" i="17" s="1"/>
  <c r="G50" i="17" s="1"/>
  <c r="C50" i="17"/>
  <c r="E47" i="44"/>
  <c r="C47" i="44"/>
  <c r="E27" i="70"/>
  <c r="C27" i="70"/>
  <c r="I49" i="81"/>
  <c r="E49" i="81"/>
  <c r="C49" i="81"/>
  <c r="E54" i="18"/>
  <c r="C54" i="18"/>
  <c r="I47" i="56"/>
  <c r="C47" i="56"/>
  <c r="E47" i="56"/>
  <c r="C45" i="70"/>
  <c r="E45" i="70"/>
  <c r="E54" i="17"/>
  <c r="C54" i="17"/>
  <c r="E46" i="34"/>
  <c r="C46" i="34"/>
  <c r="E49" i="62"/>
  <c r="C49" i="62"/>
  <c r="E52" i="70"/>
  <c r="C52" i="70"/>
  <c r="C49" i="44"/>
  <c r="E49" i="44"/>
  <c r="E48" i="34"/>
  <c r="C48" i="34"/>
  <c r="E26" i="18"/>
  <c r="C26" i="18"/>
  <c r="E45" i="62"/>
  <c r="C45" i="62"/>
  <c r="C55" i="8"/>
  <c r="E55" i="8"/>
  <c r="I48" i="58"/>
  <c r="C48" i="58"/>
  <c r="E48" i="58"/>
  <c r="E49" i="34"/>
  <c r="C49" i="34"/>
  <c r="E52" i="33"/>
  <c r="C52" i="33"/>
  <c r="E49" i="48"/>
  <c r="C49" i="48"/>
  <c r="E48" i="62"/>
  <c r="C48" i="62"/>
  <c r="E27" i="34"/>
  <c r="C27" i="34"/>
  <c r="I52" i="18"/>
  <c r="E52" i="18"/>
  <c r="C52" i="18"/>
  <c r="E48" i="80"/>
  <c r="C48" i="80"/>
  <c r="I56" i="56"/>
  <c r="E56" i="56"/>
  <c r="C56" i="56"/>
  <c r="E52" i="44"/>
  <c r="C52" i="44"/>
  <c r="I46" i="58"/>
  <c r="E46" i="58"/>
  <c r="C46" i="58"/>
  <c r="E43" i="48"/>
  <c r="C43" i="48"/>
  <c r="E54" i="33"/>
  <c r="C54" i="33"/>
  <c r="C44" i="48"/>
  <c r="E44" i="48"/>
  <c r="E26" i="17"/>
  <c r="C26" i="17"/>
  <c r="E52" i="34"/>
  <c r="C52" i="34"/>
  <c r="E48" i="48"/>
  <c r="C48" i="48"/>
  <c r="C51" i="61"/>
  <c r="E51" i="61"/>
  <c r="C49" i="20"/>
  <c r="E49" i="20"/>
  <c r="E52" i="20"/>
  <c r="C52" i="20"/>
  <c r="E45" i="20"/>
  <c r="C45" i="20"/>
  <c r="E54" i="20"/>
  <c r="C54" i="20"/>
  <c r="C50" i="20"/>
  <c r="E50" i="20"/>
  <c r="E46" i="20"/>
  <c r="C46" i="20"/>
  <c r="E51" i="20"/>
  <c r="C51" i="20"/>
  <c r="E48" i="20"/>
  <c r="C48" i="20"/>
  <c r="E53" i="20"/>
  <c r="C53" i="20"/>
  <c r="E27" i="20"/>
  <c r="C27" i="20"/>
  <c r="I51" i="61"/>
  <c r="C46" i="81"/>
  <c r="I46" i="81"/>
  <c r="E47" i="18"/>
  <c r="C47" i="18"/>
  <c r="M14" i="5"/>
  <c r="M17" i="5" s="1"/>
  <c r="M13" i="71"/>
  <c r="N13" i="71" s="1"/>
  <c r="N14" i="71" s="1"/>
  <c r="M14" i="71"/>
  <c r="M17" i="71" s="1"/>
  <c r="U8" i="31"/>
  <c r="U17" i="31" s="1"/>
  <c r="U9" i="31" s="1"/>
  <c r="I53" i="18"/>
  <c r="I48" i="81"/>
  <c r="R29" i="55"/>
  <c r="T26" i="55"/>
  <c r="E47" i="58"/>
  <c r="C47" i="58"/>
  <c r="C30" i="88"/>
  <c r="C49" i="56"/>
  <c r="I49" i="56"/>
  <c r="I55" i="56"/>
  <c r="E53" i="56"/>
  <c r="C53" i="56"/>
  <c r="R23" i="85"/>
  <c r="S23" i="85" s="1"/>
  <c r="V23" i="85" s="1"/>
  <c r="M26" i="85" s="1"/>
  <c r="I51" i="18"/>
  <c r="C30" i="5"/>
  <c r="I46" i="18"/>
  <c r="F36" i="94"/>
  <c r="G36" i="94" s="1"/>
  <c r="F38" i="94"/>
  <c r="G38" i="94" s="1"/>
  <c r="O7" i="85"/>
  <c r="O8" i="85" s="1"/>
  <c r="R22" i="85"/>
  <c r="S22" i="85" s="1"/>
  <c r="U22" i="85" s="1"/>
  <c r="M25" i="85" s="1"/>
  <c r="E44" i="58"/>
  <c r="I54" i="18"/>
  <c r="E29" i="56"/>
  <c r="E30" i="88"/>
  <c r="I50" i="56"/>
  <c r="I44" i="61"/>
  <c r="E44" i="61"/>
  <c r="I53" i="58"/>
  <c r="I45" i="61"/>
  <c r="E50" i="56"/>
  <c r="I54" i="61"/>
  <c r="E51" i="56"/>
  <c r="F51" i="56" s="1"/>
  <c r="G51" i="56" s="1"/>
  <c r="C28" i="94"/>
  <c r="C47" i="81"/>
  <c r="E47" i="81"/>
  <c r="I46" i="61"/>
  <c r="C46" i="80"/>
  <c r="I53" i="61"/>
  <c r="I33" i="94"/>
  <c r="C33" i="94"/>
  <c r="B2" i="33"/>
  <c r="E46" i="80"/>
  <c r="E30" i="5"/>
  <c r="F30" i="5" s="1"/>
  <c r="G30" i="5" s="1"/>
  <c r="I48" i="80"/>
  <c r="C45" i="81"/>
  <c r="E28" i="94"/>
  <c r="E45" i="81"/>
  <c r="D28" i="94"/>
  <c r="K28" i="94" s="1"/>
  <c r="I52" i="58"/>
  <c r="G8" i="33"/>
  <c r="A28" i="94"/>
  <c r="A28" i="95"/>
  <c r="I26" i="18"/>
  <c r="G8" i="34"/>
  <c r="G8" i="48"/>
  <c r="G8" i="19"/>
  <c r="G9" i="44"/>
  <c r="A29" i="95"/>
  <c r="A29" i="94"/>
  <c r="G8" i="62"/>
  <c r="G8" i="18"/>
  <c r="C44" i="18"/>
  <c r="E45" i="80"/>
  <c r="G8" i="20"/>
  <c r="I45" i="80"/>
  <c r="A30" i="95"/>
  <c r="A30" i="94"/>
  <c r="A27" i="62"/>
  <c r="A27" i="58"/>
  <c r="A27" i="61"/>
  <c r="G22" i="17"/>
  <c r="G22" i="19"/>
  <c r="D43" i="78"/>
  <c r="D36" i="95"/>
  <c r="D41" i="94"/>
  <c r="D34" i="80"/>
  <c r="D43" i="53"/>
  <c r="D34" i="81"/>
  <c r="G8" i="70"/>
  <c r="I27" i="18"/>
  <c r="E27" i="56"/>
  <c r="C27" i="56"/>
  <c r="I27" i="56"/>
  <c r="A34" i="95"/>
  <c r="A34" i="94"/>
  <c r="B2" i="78"/>
  <c r="B2" i="8"/>
  <c r="B2" i="19"/>
  <c r="B2" i="81"/>
  <c r="B2" i="54"/>
  <c r="B2" i="91"/>
  <c r="B2" i="31"/>
  <c r="B2" i="18"/>
  <c r="B2" i="94"/>
  <c r="B2" i="95"/>
  <c r="B2" i="62"/>
  <c r="B2" i="4"/>
  <c r="B2" i="56"/>
  <c r="B2" i="85"/>
  <c r="B2" i="3"/>
  <c r="B2" i="72"/>
  <c r="B2" i="17"/>
  <c r="B2" i="44"/>
  <c r="B2" i="93"/>
  <c r="B2" i="61"/>
  <c r="B2" i="70"/>
  <c r="B2" i="71"/>
  <c r="B2" i="58"/>
  <c r="B2" i="80"/>
  <c r="B2" i="7"/>
  <c r="B2" i="51"/>
  <c r="B2" i="87"/>
  <c r="B2" i="5"/>
  <c r="B2" i="88"/>
  <c r="B2" i="20"/>
  <c r="B2" i="48"/>
  <c r="B2" i="30"/>
  <c r="B2" i="55"/>
  <c r="B2" i="86"/>
  <c r="B2" i="34"/>
  <c r="B2" i="53"/>
  <c r="D37" i="94"/>
  <c r="D39" i="94"/>
  <c r="T32" i="95"/>
  <c r="M24" i="95" s="1"/>
  <c r="V32" i="95"/>
  <c r="M26" i="95" s="1"/>
  <c r="S25" i="93"/>
  <c r="T24" i="93"/>
  <c r="U24" i="93"/>
  <c r="C28" i="56"/>
  <c r="E28" i="56"/>
  <c r="I51" i="56"/>
  <c r="I29" i="56"/>
  <c r="I30" i="87"/>
  <c r="C30" i="87"/>
  <c r="I44" i="18"/>
  <c r="E29" i="6"/>
  <c r="N10" i="54"/>
  <c r="N11" i="54" s="1"/>
  <c r="L14" i="54"/>
  <c r="L17" i="54" s="1"/>
  <c r="S22" i="86"/>
  <c r="U22" i="86" s="1"/>
  <c r="M25" i="86" s="1"/>
  <c r="S23" i="86"/>
  <c r="V23" i="86" s="1"/>
  <c r="M26" i="86" s="1"/>
  <c r="E30" i="6"/>
  <c r="I48" i="18"/>
  <c r="I28" i="87"/>
  <c r="C28" i="87"/>
  <c r="E29" i="93"/>
  <c r="C29" i="93"/>
  <c r="I29" i="93"/>
  <c r="I42" i="48"/>
  <c r="C42" i="48"/>
  <c r="E42" i="48"/>
  <c r="E29" i="87"/>
  <c r="C33" i="93"/>
  <c r="E33" i="93"/>
  <c r="I33" i="93"/>
  <c r="I47" i="62"/>
  <c r="E47" i="62"/>
  <c r="C47" i="62"/>
  <c r="I46" i="8"/>
  <c r="I54" i="62"/>
  <c r="I45" i="44"/>
  <c r="I26" i="34"/>
  <c r="C26" i="34"/>
  <c r="E26" i="34"/>
  <c r="E24" i="44"/>
  <c r="I24" i="44"/>
  <c r="C24" i="44"/>
  <c r="I53" i="33"/>
  <c r="E50" i="8"/>
  <c r="C50" i="8"/>
  <c r="I50" i="8"/>
  <c r="I52" i="17"/>
  <c r="I51" i="20"/>
  <c r="I50" i="62"/>
  <c r="I48" i="33"/>
  <c r="C48" i="33"/>
  <c r="E48" i="33"/>
  <c r="I44" i="20"/>
  <c r="C44" i="20"/>
  <c r="E44" i="20"/>
  <c r="I33" i="95"/>
  <c r="E33" i="95"/>
  <c r="F33" i="95" s="1"/>
  <c r="G33" i="95" s="1"/>
  <c r="C33" i="95"/>
  <c r="C30" i="94"/>
  <c r="E30" i="94"/>
  <c r="F30" i="94" s="1"/>
  <c r="G30" i="94" s="1"/>
  <c r="I30" i="94"/>
  <c r="K30" i="94"/>
  <c r="I25" i="48"/>
  <c r="I52" i="48"/>
  <c r="I44" i="33"/>
  <c r="C44" i="33"/>
  <c r="E44" i="33"/>
  <c r="I47" i="34"/>
  <c r="E47" i="34"/>
  <c r="C47" i="34"/>
  <c r="I45" i="70"/>
  <c r="I54" i="17"/>
  <c r="I46" i="33"/>
  <c r="K29" i="94"/>
  <c r="C29" i="94"/>
  <c r="I29" i="94"/>
  <c r="E29" i="94"/>
  <c r="F29" i="94" s="1"/>
  <c r="G29" i="94" s="1"/>
  <c r="C28" i="95"/>
  <c r="D28" i="95"/>
  <c r="K28" i="95" s="1"/>
  <c r="E28" i="95"/>
  <c r="I28" i="95"/>
  <c r="I53" i="34"/>
  <c r="I47" i="48"/>
  <c r="I51" i="44"/>
  <c r="I51" i="70"/>
  <c r="I50" i="19"/>
  <c r="C50" i="19"/>
  <c r="E50" i="19"/>
  <c r="F50" i="19" s="1"/>
  <c r="G50" i="19" s="1"/>
  <c r="I48" i="70"/>
  <c r="C44" i="19"/>
  <c r="E44" i="19"/>
  <c r="I44" i="19"/>
  <c r="C32" i="56"/>
  <c r="I32" i="56"/>
  <c r="E32" i="56"/>
  <c r="C27" i="19"/>
  <c r="I27" i="19"/>
  <c r="E27" i="19"/>
  <c r="I30" i="95"/>
  <c r="K30" i="95"/>
  <c r="E30" i="95"/>
  <c r="F30" i="95" s="1"/>
  <c r="G30" i="95" s="1"/>
  <c r="C30" i="95"/>
  <c r="I47" i="20"/>
  <c r="E47" i="20"/>
  <c r="C47" i="20"/>
  <c r="I45" i="62"/>
  <c r="I55" i="8"/>
  <c r="I46" i="34"/>
  <c r="I29" i="95"/>
  <c r="C29" i="95"/>
  <c r="E29" i="95"/>
  <c r="F29" i="95" s="1"/>
  <c r="G29" i="95" s="1"/>
  <c r="K29" i="95"/>
  <c r="C25" i="19"/>
  <c r="E25" i="19"/>
  <c r="I25" i="19"/>
  <c r="I53" i="20"/>
  <c r="I48" i="44"/>
  <c r="I50" i="48"/>
  <c r="I51" i="17"/>
  <c r="I50" i="70"/>
  <c r="I46" i="48"/>
  <c r="I43" i="44"/>
  <c r="C43" i="44"/>
  <c r="E43" i="44"/>
  <c r="I31" i="8"/>
  <c r="E31" i="8"/>
  <c r="C31" i="8"/>
  <c r="E28" i="8"/>
  <c r="I28" i="8"/>
  <c r="C28" i="8"/>
  <c r="E33" i="91"/>
  <c r="C33" i="91"/>
  <c r="I33" i="91"/>
  <c r="I46" i="44"/>
  <c r="E46" i="44"/>
  <c r="C46" i="44"/>
  <c r="I46" i="17"/>
  <c r="I48" i="17"/>
  <c r="C29" i="88"/>
  <c r="I47" i="70"/>
  <c r="C47" i="70"/>
  <c r="E47" i="70"/>
  <c r="I43" i="48"/>
  <c r="I54" i="33"/>
  <c r="I46" i="20"/>
  <c r="E26" i="19"/>
  <c r="C26" i="19"/>
  <c r="I26" i="19"/>
  <c r="I26" i="8"/>
  <c r="E26" i="8"/>
  <c r="C26" i="8"/>
  <c r="I49" i="62"/>
  <c r="I52" i="70"/>
  <c r="I51" i="33"/>
  <c r="E51" i="33"/>
  <c r="C51" i="33"/>
  <c r="I51" i="8"/>
  <c r="E51" i="8"/>
  <c r="F51" i="8" s="1"/>
  <c r="G51" i="8" s="1"/>
  <c r="C51" i="8"/>
  <c r="I48" i="20"/>
  <c r="E44" i="62"/>
  <c r="I44" i="62"/>
  <c r="C44" i="62"/>
  <c r="I27" i="17"/>
  <c r="I29" i="88"/>
  <c r="C47" i="33"/>
  <c r="E47" i="33"/>
  <c r="F47" i="33" s="1"/>
  <c r="G47" i="33" s="1"/>
  <c r="I47" i="33"/>
  <c r="I44" i="44"/>
  <c r="I54" i="34"/>
  <c r="I44" i="48"/>
  <c r="I26" i="17"/>
  <c r="I25" i="17"/>
  <c r="C25" i="17"/>
  <c r="E25" i="17"/>
  <c r="I49" i="34"/>
  <c r="I52" i="33"/>
  <c r="I49" i="48"/>
  <c r="I50" i="17"/>
  <c r="I47" i="44"/>
  <c r="I44" i="70"/>
  <c r="C44" i="70"/>
  <c r="E44" i="70"/>
  <c r="I27" i="70"/>
  <c r="E28" i="91"/>
  <c r="C28" i="91"/>
  <c r="I28" i="91"/>
  <c r="E29" i="5"/>
  <c r="I45" i="33"/>
  <c r="E54" i="19"/>
  <c r="I54" i="19"/>
  <c r="C54" i="19"/>
  <c r="I47" i="8"/>
  <c r="C26" i="33"/>
  <c r="I26" i="33"/>
  <c r="E26" i="33"/>
  <c r="I52" i="44"/>
  <c r="I49" i="33"/>
  <c r="E49" i="33"/>
  <c r="C49" i="33"/>
  <c r="I52" i="34"/>
  <c r="I49" i="44"/>
  <c r="I48" i="34"/>
  <c r="E45" i="8"/>
  <c r="I45" i="8"/>
  <c r="C45" i="8"/>
  <c r="I27" i="33"/>
  <c r="C27" i="33"/>
  <c r="E27" i="33"/>
  <c r="I45" i="48"/>
  <c r="C45" i="48"/>
  <c r="E45" i="48"/>
  <c r="I54" i="70"/>
  <c r="I49" i="70"/>
  <c r="C25" i="44"/>
  <c r="I25" i="44"/>
  <c r="E25" i="44"/>
  <c r="C52" i="8"/>
  <c r="E52" i="8"/>
  <c r="I52" i="8"/>
  <c r="C29" i="5"/>
  <c r="I28" i="6"/>
  <c r="E28" i="6"/>
  <c r="I45" i="20"/>
  <c r="I54" i="20"/>
  <c r="I46" i="19"/>
  <c r="E46" i="19"/>
  <c r="C46" i="19"/>
  <c r="I27" i="8"/>
  <c r="C27" i="8"/>
  <c r="E27" i="8"/>
  <c r="F27" i="8" s="1"/>
  <c r="G27" i="8" s="1"/>
  <c r="I51" i="48"/>
  <c r="I49" i="20"/>
  <c r="I52" i="20"/>
  <c r="C51" i="19"/>
  <c r="E51" i="19"/>
  <c r="I51" i="19"/>
  <c r="E50" i="33"/>
  <c r="I50" i="33"/>
  <c r="C50" i="33"/>
  <c r="I48" i="62"/>
  <c r="E44" i="17"/>
  <c r="I44" i="17"/>
  <c r="C44" i="17"/>
  <c r="C30" i="91"/>
  <c r="E30" i="91"/>
  <c r="I30" i="91"/>
  <c r="I27" i="34"/>
  <c r="I29" i="87"/>
  <c r="I45" i="19"/>
  <c r="E45" i="19"/>
  <c r="C45" i="19"/>
  <c r="I50" i="34"/>
  <c r="I53" i="17"/>
  <c r="C47" i="19"/>
  <c r="E47" i="19"/>
  <c r="I47" i="19"/>
  <c r="C33" i="88"/>
  <c r="E33" i="88"/>
  <c r="I33" i="88"/>
  <c r="I45" i="34"/>
  <c r="I46" i="70"/>
  <c r="C26" i="70"/>
  <c r="I26" i="70"/>
  <c r="E26" i="70"/>
  <c r="E53" i="19"/>
  <c r="I53" i="19"/>
  <c r="C53" i="19"/>
  <c r="E33" i="87"/>
  <c r="I33" i="87"/>
  <c r="C33" i="87"/>
  <c r="E52" i="19"/>
  <c r="I52" i="19"/>
  <c r="C52" i="19"/>
  <c r="I50" i="44"/>
  <c r="I48" i="48"/>
  <c r="I48" i="19"/>
  <c r="C48" i="19"/>
  <c r="E48" i="19"/>
  <c r="C30" i="93"/>
  <c r="I30" i="93"/>
  <c r="E30" i="93"/>
  <c r="C25" i="18"/>
  <c r="I25" i="18"/>
  <c r="E25" i="18"/>
  <c r="I51" i="62"/>
  <c r="I45" i="17"/>
  <c r="I49" i="17"/>
  <c r="I47" i="17"/>
  <c r="C47" i="17"/>
  <c r="E47" i="17"/>
  <c r="C28" i="5"/>
  <c r="I28" i="5"/>
  <c r="E28" i="5"/>
  <c r="I46" i="62"/>
  <c r="I24" i="48"/>
  <c r="C24" i="48"/>
  <c r="E24" i="48"/>
  <c r="I53" i="62"/>
  <c r="I53" i="8"/>
  <c r="I51" i="34"/>
  <c r="I49" i="8"/>
  <c r="I27" i="20"/>
  <c r="I54" i="8"/>
  <c r="E28" i="93"/>
  <c r="C28" i="93"/>
  <c r="I28" i="93"/>
  <c r="I48" i="8"/>
  <c r="C48" i="8"/>
  <c r="E48" i="8"/>
  <c r="C28" i="88"/>
  <c r="I28" i="88"/>
  <c r="E28" i="88"/>
  <c r="I53" i="44"/>
  <c r="C29" i="91"/>
  <c r="I29" i="91"/>
  <c r="E29" i="91"/>
  <c r="I26" i="20"/>
  <c r="C26" i="20"/>
  <c r="E26" i="20"/>
  <c r="I53" i="70"/>
  <c r="C49" i="19"/>
  <c r="I49" i="19"/>
  <c r="E49" i="19"/>
  <c r="I52" i="62"/>
  <c r="I50" i="20"/>
  <c r="E44" i="34"/>
  <c r="I44" i="34"/>
  <c r="C44" i="34"/>
  <c r="I26" i="44"/>
  <c r="T8" i="31"/>
  <c r="R32" i="31" s="1"/>
  <c r="M14" i="30"/>
  <c r="M17" i="30" s="1"/>
  <c r="O10" i="30"/>
  <c r="O11" i="30" s="1"/>
  <c r="M13" i="78"/>
  <c r="M18" i="78" s="1"/>
  <c r="L18" i="78"/>
  <c r="L19" i="78" s="1"/>
  <c r="N10" i="78"/>
  <c r="N11" i="78" s="1"/>
  <c r="Q26" i="78"/>
  <c r="R26" i="78" s="1"/>
  <c r="T26" i="78" s="1"/>
  <c r="S19" i="78"/>
  <c r="S9" i="78" s="1"/>
  <c r="Q24" i="78"/>
  <c r="R24" i="78" s="1"/>
  <c r="T24" i="78" s="1"/>
  <c r="Q27" i="78"/>
  <c r="R27" i="78" s="1"/>
  <c r="T27" i="78" s="1"/>
  <c r="Q34" i="78"/>
  <c r="R8" i="80"/>
  <c r="R15" i="80" s="1"/>
  <c r="S8" i="80"/>
  <c r="S15" i="80" s="1"/>
  <c r="T8" i="80"/>
  <c r="T15" i="80" s="1"/>
  <c r="T9" i="80" s="1"/>
  <c r="N7" i="80"/>
  <c r="N8" i="80" s="1"/>
  <c r="G8" i="61"/>
  <c r="R20" i="51"/>
  <c r="R9" i="51" s="1"/>
  <c r="Q36" i="51"/>
  <c r="R36" i="51" s="1"/>
  <c r="Q29" i="51"/>
  <c r="R29" i="51" s="1"/>
  <c r="Q24" i="51"/>
  <c r="R24" i="51" s="1"/>
  <c r="S24" i="51" s="1"/>
  <c r="Q32" i="51"/>
  <c r="R32" i="51" s="1"/>
  <c r="S32" i="51" s="1"/>
  <c r="Q26" i="51"/>
  <c r="R26" i="51" s="1"/>
  <c r="U26" i="51" s="1"/>
  <c r="T20" i="51"/>
  <c r="T9" i="51" s="1"/>
  <c r="Q31" i="51"/>
  <c r="R31" i="51" s="1"/>
  <c r="U31" i="51" s="1"/>
  <c r="C38" i="6"/>
  <c r="I38" i="6"/>
  <c r="E38" i="6"/>
  <c r="S8" i="31"/>
  <c r="R24" i="31" s="1"/>
  <c r="A34" i="93"/>
  <c r="A34" i="91"/>
  <c r="A34" i="87"/>
  <c r="A34" i="88"/>
  <c r="A34" i="5"/>
  <c r="A34" i="31"/>
  <c r="A34" i="30"/>
  <c r="A34" i="85"/>
  <c r="A34" i="86"/>
  <c r="A34" i="4"/>
  <c r="A28" i="93"/>
  <c r="A28" i="88"/>
  <c r="A28" i="91"/>
  <c r="A28" i="87"/>
  <c r="A28" i="31"/>
  <c r="A28" i="5"/>
  <c r="A28" i="30"/>
  <c r="A28" i="86"/>
  <c r="E34" i="30"/>
  <c r="C34" i="30"/>
  <c r="I34" i="30"/>
  <c r="D36" i="93"/>
  <c r="D35" i="56"/>
  <c r="D41" i="87"/>
  <c r="D45" i="51"/>
  <c r="D41" i="7"/>
  <c r="D41" i="91"/>
  <c r="D41" i="88"/>
  <c r="D43" i="55"/>
  <c r="D41" i="5"/>
  <c r="D41" i="54"/>
  <c r="D41" i="31"/>
  <c r="D41" i="71"/>
  <c r="D41" i="6"/>
  <c r="D41" i="30"/>
  <c r="D41" i="86"/>
  <c r="E34" i="3"/>
  <c r="C34" i="3"/>
  <c r="I34" i="3"/>
  <c r="E34" i="85"/>
  <c r="F34" i="85" s="1"/>
  <c r="G34" i="85" s="1"/>
  <c r="I34" i="85"/>
  <c r="C34" i="85"/>
  <c r="A30" i="93"/>
  <c r="A30" i="91"/>
  <c r="A30" i="87"/>
  <c r="A30" i="88"/>
  <c r="A30" i="7"/>
  <c r="A30" i="54"/>
  <c r="A30" i="5"/>
  <c r="A30" i="31"/>
  <c r="A30" i="30"/>
  <c r="A30" i="86"/>
  <c r="A29" i="91"/>
  <c r="A29" i="93"/>
  <c r="A29" i="87"/>
  <c r="A29" i="88"/>
  <c r="A29" i="31"/>
  <c r="A29" i="5"/>
  <c r="A29" i="30"/>
  <c r="A29" i="86"/>
  <c r="E34" i="86"/>
  <c r="C34" i="86"/>
  <c r="I34" i="86"/>
  <c r="A31" i="61"/>
  <c r="O10" i="3"/>
  <c r="O11" i="3" s="1"/>
  <c r="N7" i="72"/>
  <c r="N8" i="72" s="1"/>
  <c r="L13" i="72"/>
  <c r="Q9" i="72"/>
  <c r="Q10" i="72" s="1"/>
  <c r="Q11" i="72" s="1"/>
  <c r="Q12" i="72" s="1"/>
  <c r="Q13" i="72" s="1"/>
  <c r="Q14" i="72" s="1"/>
  <c r="T8" i="72"/>
  <c r="R8" i="72"/>
  <c r="S8" i="72"/>
  <c r="B34" i="71"/>
  <c r="E35" i="72"/>
  <c r="C35" i="72"/>
  <c r="I39" i="72"/>
  <c r="E39" i="72"/>
  <c r="F39" i="72" s="1"/>
  <c r="G39" i="72" s="1"/>
  <c r="C39" i="72"/>
  <c r="B29" i="72"/>
  <c r="B28" i="30"/>
  <c r="B28" i="86"/>
  <c r="B28" i="3"/>
  <c r="B28" i="71"/>
  <c r="C28" i="71" s="1"/>
  <c r="B28" i="85"/>
  <c r="B33" i="86"/>
  <c r="K33" i="86" s="1"/>
  <c r="B34" i="72"/>
  <c r="J34" i="72" s="1"/>
  <c r="B29" i="30"/>
  <c r="C29" i="30" s="1"/>
  <c r="B29" i="86"/>
  <c r="B29" i="3"/>
  <c r="B29" i="71"/>
  <c r="C29" i="71" s="1"/>
  <c r="B29" i="85"/>
  <c r="B30" i="72"/>
  <c r="B30" i="30"/>
  <c r="C30" i="30" s="1"/>
  <c r="B30" i="86"/>
  <c r="B30" i="3"/>
  <c r="B30" i="71"/>
  <c r="B30" i="85"/>
  <c r="B31" i="72"/>
  <c r="B51" i="4"/>
  <c r="B34" i="4"/>
  <c r="J34" i="4" s="1"/>
  <c r="B28" i="4"/>
  <c r="J28" i="4" s="1"/>
  <c r="B28" i="31"/>
  <c r="B52" i="31"/>
  <c r="B33" i="31"/>
  <c r="K33" i="31" s="1"/>
  <c r="O10" i="31"/>
  <c r="O11" i="31" s="1"/>
  <c r="B34" i="31"/>
  <c r="O7" i="31"/>
  <c r="O8" i="31" s="1"/>
  <c r="A38" i="51"/>
  <c r="A34" i="71"/>
  <c r="A31" i="58"/>
  <c r="A32" i="81"/>
  <c r="A32" i="80"/>
  <c r="A36" i="53"/>
  <c r="A36" i="78"/>
  <c r="A31" i="62"/>
  <c r="A34" i="7"/>
  <c r="A34" i="6"/>
  <c r="A36" i="55"/>
  <c r="A34" i="54"/>
  <c r="N13" i="31"/>
  <c r="N14" i="31" s="1"/>
  <c r="M14" i="31"/>
  <c r="M17" i="31" s="1"/>
  <c r="B34" i="93"/>
  <c r="K34" i="93" s="1"/>
  <c r="B52" i="91"/>
  <c r="B47" i="93"/>
  <c r="B48" i="93"/>
  <c r="S24" i="91"/>
  <c r="T24" i="91" s="1"/>
  <c r="B34" i="91"/>
  <c r="B53" i="91"/>
  <c r="F34" i="7"/>
  <c r="G34" i="7" s="1"/>
  <c r="B34" i="87"/>
  <c r="G24" i="19"/>
  <c r="G24" i="18"/>
  <c r="G24" i="33"/>
  <c r="G24" i="20"/>
  <c r="G24" i="70"/>
  <c r="G22" i="48"/>
  <c r="G23" i="44"/>
  <c r="G24" i="17"/>
  <c r="F24" i="19"/>
  <c r="F24" i="33"/>
  <c r="F24" i="18"/>
  <c r="F22" i="48"/>
  <c r="F24" i="20"/>
  <c r="F24" i="17"/>
  <c r="F23" i="44"/>
  <c r="F24" i="70"/>
  <c r="F27" i="6"/>
  <c r="F27" i="71"/>
  <c r="G27" i="71"/>
  <c r="G27" i="6"/>
  <c r="R23" i="30"/>
  <c r="S23" i="30" s="1"/>
  <c r="V23" i="30" s="1"/>
  <c r="R22" i="30"/>
  <c r="S22" i="30" s="1"/>
  <c r="U22" i="30" s="1"/>
  <c r="S9" i="30"/>
  <c r="R21" i="30"/>
  <c r="S21" i="30" s="1"/>
  <c r="T21" i="30" s="1"/>
  <c r="U28" i="78"/>
  <c r="S28" i="78"/>
  <c r="L13" i="53"/>
  <c r="Q27" i="53"/>
  <c r="Q29" i="53"/>
  <c r="Q34" i="53"/>
  <c r="Q24" i="53"/>
  <c r="R24" i="53" s="1"/>
  <c r="T24" i="53" s="1"/>
  <c r="S9" i="53"/>
  <c r="Q25" i="53"/>
  <c r="Q30" i="53"/>
  <c r="T9" i="53"/>
  <c r="Q23" i="53"/>
  <c r="R23" i="53" s="1"/>
  <c r="S23" i="53" s="1"/>
  <c r="R9" i="53"/>
  <c r="Q33" i="53"/>
  <c r="Q31" i="53"/>
  <c r="Q35" i="53"/>
  <c r="Q26" i="53"/>
  <c r="Q28" i="53"/>
  <c r="R9" i="81"/>
  <c r="Q29" i="81"/>
  <c r="R29" i="81" s="1"/>
  <c r="Q27" i="81"/>
  <c r="R27" i="81" s="1"/>
  <c r="S27" i="81" s="1"/>
  <c r="Q19" i="81"/>
  <c r="R19" i="81" s="1"/>
  <c r="S19" i="81" s="1"/>
  <c r="Q31" i="81"/>
  <c r="Q22" i="81"/>
  <c r="R22" i="81" s="1"/>
  <c r="Q24" i="81"/>
  <c r="R24" i="81" s="1"/>
  <c r="Q25" i="81"/>
  <c r="R25" i="81" s="1"/>
  <c r="Q30" i="81"/>
  <c r="R30" i="81" s="1"/>
  <c r="T30" i="81" s="1"/>
  <c r="S9" i="81"/>
  <c r="Q23" i="81"/>
  <c r="R23" i="81" s="1"/>
  <c r="T23" i="81" s="1"/>
  <c r="Q20" i="81"/>
  <c r="R20" i="81" s="1"/>
  <c r="T20" i="81" s="1"/>
  <c r="Q21" i="81"/>
  <c r="R21" i="81" s="1"/>
  <c r="U21" i="81" s="1"/>
  <c r="T9" i="81"/>
  <c r="Q26" i="81"/>
  <c r="R26" i="81" s="1"/>
  <c r="U26" i="81" s="1"/>
  <c r="L13" i="81"/>
  <c r="Q22" i="80"/>
  <c r="R22" i="80" s="1"/>
  <c r="Q19" i="80"/>
  <c r="R19" i="80" s="1"/>
  <c r="S19" i="80" s="1"/>
  <c r="Q27" i="80"/>
  <c r="R27" i="80" s="1"/>
  <c r="S27" i="80" s="1"/>
  <c r="Q29" i="80"/>
  <c r="R29" i="80" s="1"/>
  <c r="R9" i="80"/>
  <c r="Q20" i="80"/>
  <c r="R20" i="80" s="1"/>
  <c r="T20" i="80" s="1"/>
  <c r="Q23" i="80"/>
  <c r="R23" i="80" s="1"/>
  <c r="T23" i="80" s="1"/>
  <c r="S9" i="80"/>
  <c r="Q30" i="80"/>
  <c r="R30" i="80" s="1"/>
  <c r="T30" i="80" s="1"/>
  <c r="T34" i="51"/>
  <c r="S34" i="51"/>
  <c r="L13" i="51"/>
  <c r="U30" i="51"/>
  <c r="T30" i="51"/>
  <c r="T27" i="51"/>
  <c r="L28" i="51" s="1"/>
  <c r="S27" i="51"/>
  <c r="S8" i="7"/>
  <c r="R8" i="7"/>
  <c r="T8" i="7"/>
  <c r="Q29" i="7" s="1"/>
  <c r="N7" i="7"/>
  <c r="N8" i="7" s="1"/>
  <c r="M12" i="7"/>
  <c r="M13" i="6"/>
  <c r="R22" i="6"/>
  <c r="S22" i="6" s="1"/>
  <c r="U22" i="6" s="1"/>
  <c r="M25" i="6" s="1"/>
  <c r="S9" i="6"/>
  <c r="R21" i="6"/>
  <c r="S21" i="6" s="1"/>
  <c r="T21" i="6" s="1"/>
  <c r="M24" i="6" s="1"/>
  <c r="R23" i="6"/>
  <c r="S23" i="6" s="1"/>
  <c r="V23" i="6" s="1"/>
  <c r="M26" i="6" s="1"/>
  <c r="U9" i="6"/>
  <c r="M13" i="86"/>
  <c r="M13" i="4"/>
  <c r="T9" i="4"/>
  <c r="R22" i="4"/>
  <c r="S22" i="4" s="1"/>
  <c r="U22" i="4" s="1"/>
  <c r="M25" i="4" s="1"/>
  <c r="U9" i="4"/>
  <c r="R23" i="4"/>
  <c r="S23" i="4" s="1"/>
  <c r="V23" i="4" s="1"/>
  <c r="M26" i="4" s="1"/>
  <c r="S9" i="4"/>
  <c r="R21" i="4"/>
  <c r="S21" i="4" s="1"/>
  <c r="T21" i="4" s="1"/>
  <c r="M24" i="4" s="1"/>
  <c r="M13" i="85"/>
  <c r="M14" i="3"/>
  <c r="M17" i="3" s="1"/>
  <c r="U9" i="3"/>
  <c r="R23" i="3"/>
  <c r="S23" i="3" s="1"/>
  <c r="V23" i="3" s="1"/>
  <c r="M26" i="3" s="1"/>
  <c r="R21" i="3"/>
  <c r="S21" i="3" s="1"/>
  <c r="T21" i="3" s="1"/>
  <c r="M24" i="3" s="1"/>
  <c r="T9" i="3"/>
  <c r="R22" i="3"/>
  <c r="S22" i="3" s="1"/>
  <c r="U22" i="3" s="1"/>
  <c r="M25" i="3" s="1"/>
  <c r="D60" i="34"/>
  <c r="D60" i="18"/>
  <c r="D59" i="70"/>
  <c r="D59" i="33"/>
  <c r="D60" i="19"/>
  <c r="D62" i="17"/>
  <c r="D57" i="48"/>
  <c r="D58" i="44"/>
  <c r="D59" i="20"/>
  <c r="A29" i="54"/>
  <c r="A29" i="7"/>
  <c r="A29" i="6"/>
  <c r="A26" i="62"/>
  <c r="A27" i="81"/>
  <c r="A26" i="58"/>
  <c r="A27" i="80"/>
  <c r="A31" i="78"/>
  <c r="A31" i="53"/>
  <c r="A32" i="51"/>
  <c r="A26" i="61"/>
  <c r="A31" i="55"/>
  <c r="A29" i="71"/>
  <c r="A33" i="20"/>
  <c r="A33" i="70"/>
  <c r="A32" i="44"/>
  <c r="A33" i="33"/>
  <c r="A31" i="48"/>
  <c r="A55" i="86"/>
  <c r="A56" i="7"/>
  <c r="A54" i="30"/>
  <c r="A55" i="31"/>
  <c r="A28" i="71"/>
  <c r="A30" i="55"/>
  <c r="A28" i="54"/>
  <c r="A25" i="61"/>
  <c r="A31" i="51"/>
  <c r="A28" i="7"/>
  <c r="A26" i="81"/>
  <c r="A26" i="80"/>
  <c r="A25" i="58"/>
  <c r="A30" i="53"/>
  <c r="A30" i="78"/>
  <c r="A25" i="62"/>
  <c r="A28" i="6"/>
  <c r="A52" i="31"/>
  <c r="A52" i="71"/>
  <c r="A51" i="30"/>
  <c r="A52" i="86"/>
  <c r="J24" i="48"/>
  <c r="C27" i="71"/>
  <c r="C27" i="6"/>
  <c r="B52" i="71"/>
  <c r="J35" i="72"/>
  <c r="B38" i="72"/>
  <c r="C24" i="20"/>
  <c r="C23" i="44"/>
  <c r="C22" i="48"/>
  <c r="C24" i="33"/>
  <c r="C24" i="19"/>
  <c r="C24" i="70"/>
  <c r="C24" i="17"/>
  <c r="B37" i="72"/>
  <c r="D23" i="44"/>
  <c r="D24" i="18"/>
  <c r="D24" i="19"/>
  <c r="D22" i="48"/>
  <c r="D24" i="33"/>
  <c r="D24" i="20"/>
  <c r="D24" i="70"/>
  <c r="D24" i="17"/>
  <c r="D27" i="71"/>
  <c r="D27" i="6"/>
  <c r="E27" i="85"/>
  <c r="E25" i="80"/>
  <c r="E29" i="78"/>
  <c r="E25" i="8"/>
  <c r="E27" i="7"/>
  <c r="E24" i="61"/>
  <c r="E30" i="51"/>
  <c r="E26" i="56"/>
  <c r="E25" i="81"/>
  <c r="E27" i="4"/>
  <c r="E27" i="5"/>
  <c r="E24" i="58"/>
  <c r="E24" i="62"/>
  <c r="E29" i="55"/>
  <c r="E29" i="53"/>
  <c r="E27" i="54"/>
  <c r="E24" i="34"/>
  <c r="A25" i="18"/>
  <c r="A25" i="19"/>
  <c r="A25" i="20"/>
  <c r="A25" i="70"/>
  <c r="A24" i="44"/>
  <c r="A23" i="48"/>
  <c r="A25" i="33"/>
  <c r="A25" i="34"/>
  <c r="A25" i="17"/>
  <c r="D34" i="8"/>
  <c r="D41" i="4"/>
  <c r="D41" i="85"/>
  <c r="A27" i="70"/>
  <c r="A27" i="19"/>
  <c r="A27" i="17"/>
  <c r="A27" i="34"/>
  <c r="A25" i="48"/>
  <c r="A27" i="20"/>
  <c r="A26" i="44"/>
  <c r="A27" i="33"/>
  <c r="A30" i="71"/>
  <c r="A30" i="6"/>
  <c r="F31" i="58"/>
  <c r="G31" i="58" s="1"/>
  <c r="B52" i="7"/>
  <c r="B34" i="88"/>
  <c r="B52" i="86"/>
  <c r="J31" i="53"/>
  <c r="F31" i="62"/>
  <c r="G31" i="62" s="1"/>
  <c r="B52" i="54"/>
  <c r="B51" i="6"/>
  <c r="B51" i="3"/>
  <c r="B51" i="5"/>
  <c r="B51" i="30"/>
  <c r="F38" i="80"/>
  <c r="G38" i="80" s="1"/>
  <c r="B51" i="85"/>
  <c r="J27" i="33"/>
  <c r="K29" i="88"/>
  <c r="K34" i="4"/>
  <c r="J34" i="85"/>
  <c r="K34" i="85"/>
  <c r="J30" i="44"/>
  <c r="F30" i="44"/>
  <c r="G30" i="44" s="1"/>
  <c r="B36" i="6"/>
  <c r="B36" i="71"/>
  <c r="J31" i="61"/>
  <c r="B52" i="87"/>
  <c r="B52" i="88"/>
  <c r="F31" i="20"/>
  <c r="G31" i="20" s="1"/>
  <c r="J31" i="20"/>
  <c r="J34" i="7"/>
  <c r="J36" i="55"/>
  <c r="F36" i="55"/>
  <c r="G36" i="55" s="1"/>
  <c r="B53" i="87"/>
  <c r="B53" i="88"/>
  <c r="K31" i="70"/>
  <c r="B53" i="54"/>
  <c r="B52" i="3"/>
  <c r="K52" i="3" s="1"/>
  <c r="B53" i="7"/>
  <c r="B52" i="6"/>
  <c r="B53" i="71"/>
  <c r="B52" i="85"/>
  <c r="B52" i="5"/>
  <c r="B52" i="30"/>
  <c r="K29" i="56"/>
  <c r="J34" i="54"/>
  <c r="J38" i="51"/>
  <c r="K34" i="6"/>
  <c r="J34" i="30"/>
  <c r="K34" i="30"/>
  <c r="K34" i="5"/>
  <c r="K31" i="19"/>
  <c r="R30" i="88"/>
  <c r="R26" i="88"/>
  <c r="R32" i="88"/>
  <c r="R29" i="88"/>
  <c r="R21" i="88"/>
  <c r="S21" i="88" s="1"/>
  <c r="T21" i="88" s="1"/>
  <c r="S9" i="88"/>
  <c r="R24" i="88"/>
  <c r="R28" i="88"/>
  <c r="R23" i="88"/>
  <c r="U9" i="88"/>
  <c r="R25" i="88"/>
  <c r="T9" i="88"/>
  <c r="R27" i="88"/>
  <c r="R31" i="88"/>
  <c r="R22" i="88"/>
  <c r="M13" i="88"/>
  <c r="O10" i="88" s="1"/>
  <c r="O11" i="88" s="1"/>
  <c r="R27" i="87"/>
  <c r="R31" i="87"/>
  <c r="R22" i="87"/>
  <c r="R25" i="87"/>
  <c r="T9" i="87"/>
  <c r="R28" i="87"/>
  <c r="R23" i="87"/>
  <c r="U9" i="87"/>
  <c r="R32" i="87"/>
  <c r="R29" i="87"/>
  <c r="R21" i="87"/>
  <c r="S21" i="87" s="1"/>
  <c r="T21" i="87" s="1"/>
  <c r="S9" i="87"/>
  <c r="R24" i="87"/>
  <c r="R30" i="87"/>
  <c r="R26" i="87"/>
  <c r="M13" i="87"/>
  <c r="G22" i="33"/>
  <c r="G22" i="20"/>
  <c r="G21" i="44"/>
  <c r="G22" i="70"/>
  <c r="G22" i="18"/>
  <c r="G20" i="48"/>
  <c r="B53" i="31"/>
  <c r="J32" i="8"/>
  <c r="B53" i="86"/>
  <c r="K32" i="56"/>
  <c r="V27" i="6" l="1"/>
  <c r="T27" i="6"/>
  <c r="U28" i="4"/>
  <c r="V28" i="4"/>
  <c r="T33" i="6"/>
  <c r="V33" i="6"/>
  <c r="U31" i="4"/>
  <c r="T31" i="4"/>
  <c r="T27" i="4"/>
  <c r="V27" i="4"/>
  <c r="U28" i="85"/>
  <c r="V28" i="85"/>
  <c r="T27" i="85"/>
  <c r="V27" i="85"/>
  <c r="V33" i="4"/>
  <c r="T33" i="4"/>
  <c r="T25" i="4"/>
  <c r="U25" i="4"/>
  <c r="T25" i="3"/>
  <c r="U25" i="3"/>
  <c r="U25" i="6"/>
  <c r="T25" i="6"/>
  <c r="U28" i="3"/>
  <c r="V28" i="3"/>
  <c r="U31" i="85"/>
  <c r="T31" i="85"/>
  <c r="V27" i="3"/>
  <c r="T27" i="3"/>
  <c r="U31" i="6"/>
  <c r="T31" i="6"/>
  <c r="T33" i="85"/>
  <c r="V33" i="85"/>
  <c r="T31" i="3"/>
  <c r="U31" i="3"/>
  <c r="V28" i="6"/>
  <c r="U28" i="6"/>
  <c r="U25" i="85"/>
  <c r="T25" i="85"/>
  <c r="V33" i="3"/>
  <c r="T33" i="3"/>
  <c r="R25" i="54"/>
  <c r="Q25" i="7"/>
  <c r="Q31" i="7"/>
  <c r="Q24" i="7"/>
  <c r="Q33" i="7"/>
  <c r="Q30" i="7"/>
  <c r="Q27" i="7"/>
  <c r="Q26" i="7"/>
  <c r="Q32" i="7"/>
  <c r="Q28" i="7"/>
  <c r="S17" i="7"/>
  <c r="S9" i="7" s="1"/>
  <c r="R17" i="7"/>
  <c r="T17" i="7"/>
  <c r="T9" i="7" s="1"/>
  <c r="S24" i="30"/>
  <c r="T24" i="30" s="1"/>
  <c r="R25" i="53"/>
  <c r="U25" i="53" s="1"/>
  <c r="R21" i="31"/>
  <c r="S21" i="31" s="1"/>
  <c r="T21" i="31" s="1"/>
  <c r="R25" i="31"/>
  <c r="K30" i="71"/>
  <c r="C30" i="71"/>
  <c r="M27" i="5"/>
  <c r="R29" i="31"/>
  <c r="R33" i="31"/>
  <c r="R23" i="31"/>
  <c r="S23" i="31" s="1"/>
  <c r="V23" i="31" s="1"/>
  <c r="M13" i="51"/>
  <c r="M14" i="51" s="1"/>
  <c r="L14" i="51"/>
  <c r="L20" i="51" s="1"/>
  <c r="B38" i="5"/>
  <c r="M30" i="5"/>
  <c r="B39" i="5" s="1"/>
  <c r="I39" i="5" s="1"/>
  <c r="B36" i="5"/>
  <c r="E36" i="5" s="1"/>
  <c r="N29" i="5"/>
  <c r="D36" i="5" s="1"/>
  <c r="K36" i="5" s="1"/>
  <c r="M29" i="71"/>
  <c r="N13" i="85"/>
  <c r="N14" i="85" s="1"/>
  <c r="M14" i="85"/>
  <c r="M17" i="85" s="1"/>
  <c r="R28" i="31"/>
  <c r="U29" i="55"/>
  <c r="T29" i="55"/>
  <c r="R30" i="55"/>
  <c r="R33" i="55"/>
  <c r="N13" i="6"/>
  <c r="N14" i="6" s="1"/>
  <c r="M14" i="6"/>
  <c r="M17" i="6" s="1"/>
  <c r="O10" i="6"/>
  <c r="O11" i="6" s="1"/>
  <c r="R22" i="31"/>
  <c r="R26" i="31"/>
  <c r="T17" i="31"/>
  <c r="T9" i="31" s="1"/>
  <c r="R27" i="31"/>
  <c r="Q31" i="80"/>
  <c r="Q24" i="80"/>
  <c r="R24" i="80" s="1"/>
  <c r="Q21" i="80"/>
  <c r="R21" i="80" s="1"/>
  <c r="U21" i="80" s="1"/>
  <c r="Q26" i="80"/>
  <c r="Q25" i="80"/>
  <c r="R25" i="80" s="1"/>
  <c r="T25" i="80" s="1"/>
  <c r="F28" i="94"/>
  <c r="G28" i="94" s="1"/>
  <c r="D33" i="34"/>
  <c r="K39" i="94"/>
  <c r="F39" i="94"/>
  <c r="G39" i="94" s="1"/>
  <c r="K37" i="94"/>
  <c r="F37" i="94"/>
  <c r="G37" i="94" s="1"/>
  <c r="M29" i="95"/>
  <c r="M27" i="95"/>
  <c r="U25" i="93"/>
  <c r="S26" i="93"/>
  <c r="S25" i="91"/>
  <c r="S26" i="91" s="1"/>
  <c r="T26" i="91" s="1"/>
  <c r="U24" i="91"/>
  <c r="K66" i="95"/>
  <c r="N66" i="95" s="1"/>
  <c r="A66" i="95" s="1"/>
  <c r="F28" i="95"/>
  <c r="K71" i="94"/>
  <c r="N71" i="94" s="1"/>
  <c r="A71" i="94" s="1"/>
  <c r="R31" i="31"/>
  <c r="S26" i="78"/>
  <c r="R29" i="78"/>
  <c r="M13" i="53"/>
  <c r="M18" i="53" s="1"/>
  <c r="N10" i="53"/>
  <c r="N11" i="53" s="1"/>
  <c r="L18" i="53"/>
  <c r="L19" i="53" s="1"/>
  <c r="R31" i="81"/>
  <c r="M13" i="81"/>
  <c r="M14" i="81" s="1"/>
  <c r="L14" i="81"/>
  <c r="L15" i="81" s="1"/>
  <c r="N10" i="81"/>
  <c r="N11" i="81" s="1"/>
  <c r="S29" i="51"/>
  <c r="U29" i="51"/>
  <c r="U36" i="51"/>
  <c r="S36" i="51"/>
  <c r="S17" i="31"/>
  <c r="S9" i="31" s="1"/>
  <c r="R30" i="31"/>
  <c r="E51" i="6"/>
  <c r="C51" i="6"/>
  <c r="I51" i="6"/>
  <c r="K34" i="88"/>
  <c r="I34" i="88"/>
  <c r="E34" i="88"/>
  <c r="F34" i="88" s="1"/>
  <c r="G34" i="88" s="1"/>
  <c r="C34" i="88"/>
  <c r="I52" i="71"/>
  <c r="E52" i="71"/>
  <c r="F52" i="71" s="1"/>
  <c r="G52" i="71" s="1"/>
  <c r="C52" i="71"/>
  <c r="I28" i="4"/>
  <c r="E28" i="4"/>
  <c r="F28" i="4" s="1"/>
  <c r="G28" i="4" s="1"/>
  <c r="C28" i="4"/>
  <c r="I29" i="71"/>
  <c r="E29" i="71"/>
  <c r="F29" i="71" s="1"/>
  <c r="G29" i="71" s="1"/>
  <c r="I53" i="86"/>
  <c r="E53" i="86"/>
  <c r="F53" i="86" s="1"/>
  <c r="G53" i="86" s="1"/>
  <c r="C53" i="86"/>
  <c r="K34" i="87"/>
  <c r="C34" i="87"/>
  <c r="I34" i="87"/>
  <c r="E34" i="87"/>
  <c r="F34" i="87" s="1"/>
  <c r="G34" i="87" s="1"/>
  <c r="I48" i="93"/>
  <c r="E48" i="93"/>
  <c r="F48" i="93" s="1"/>
  <c r="G48" i="93" s="1"/>
  <c r="C48" i="93"/>
  <c r="I34" i="4"/>
  <c r="E34" i="4"/>
  <c r="F34" i="4" s="1"/>
  <c r="G34" i="4" s="1"/>
  <c r="C34" i="4"/>
  <c r="I29" i="86"/>
  <c r="E29" i="86"/>
  <c r="F29" i="86" s="1"/>
  <c r="G29" i="86" s="1"/>
  <c r="C29" i="86"/>
  <c r="I53" i="88"/>
  <c r="E53" i="88"/>
  <c r="F53" i="88" s="1"/>
  <c r="G53" i="88" s="1"/>
  <c r="C53" i="88"/>
  <c r="E52" i="7"/>
  <c r="F52" i="7" s="1"/>
  <c r="G52" i="7" s="1"/>
  <c r="C52" i="7"/>
  <c r="I52" i="7"/>
  <c r="I34" i="91"/>
  <c r="C34" i="91"/>
  <c r="E34" i="91"/>
  <c r="F34" i="91" s="1"/>
  <c r="G34" i="91" s="1"/>
  <c r="I51" i="4"/>
  <c r="E51" i="4"/>
  <c r="F51" i="4" s="1"/>
  <c r="G51" i="4" s="1"/>
  <c r="C51" i="4"/>
  <c r="I29" i="30"/>
  <c r="E29" i="30"/>
  <c r="F29" i="30" s="1"/>
  <c r="G29" i="30" s="1"/>
  <c r="E52" i="30"/>
  <c r="F52" i="30" s="1"/>
  <c r="G52" i="30" s="1"/>
  <c r="C52" i="30"/>
  <c r="I52" i="30"/>
  <c r="I53" i="87"/>
  <c r="E53" i="87"/>
  <c r="F53" i="87" s="1"/>
  <c r="G53" i="87" s="1"/>
  <c r="C53" i="87"/>
  <c r="I51" i="30"/>
  <c r="C51" i="30"/>
  <c r="E51" i="30"/>
  <c r="F51" i="30" s="1"/>
  <c r="G51" i="30" s="1"/>
  <c r="I47" i="93"/>
  <c r="E47" i="93"/>
  <c r="F47" i="93" s="1"/>
  <c r="G47" i="93" s="1"/>
  <c r="C47" i="93"/>
  <c r="I29" i="3"/>
  <c r="E29" i="3"/>
  <c r="F29" i="3" s="1"/>
  <c r="G29" i="3" s="1"/>
  <c r="C29" i="3"/>
  <c r="E53" i="31"/>
  <c r="F53" i="31" s="1"/>
  <c r="G53" i="31" s="1"/>
  <c r="C53" i="31"/>
  <c r="I53" i="31"/>
  <c r="E52" i="5"/>
  <c r="F52" i="5" s="1"/>
  <c r="G52" i="5" s="1"/>
  <c r="C52" i="5"/>
  <c r="I52" i="5"/>
  <c r="K52" i="88"/>
  <c r="C52" i="88"/>
  <c r="I52" i="88"/>
  <c r="E52" i="88"/>
  <c r="F52" i="88" s="1"/>
  <c r="G52" i="88" s="1"/>
  <c r="I51" i="5"/>
  <c r="E51" i="5"/>
  <c r="F51" i="5" s="1"/>
  <c r="G51" i="5" s="1"/>
  <c r="C51" i="5"/>
  <c r="K52" i="91"/>
  <c r="I52" i="91"/>
  <c r="E52" i="91"/>
  <c r="F52" i="91" s="1"/>
  <c r="G52" i="91" s="1"/>
  <c r="C52" i="91"/>
  <c r="E33" i="31"/>
  <c r="F33" i="31" s="1"/>
  <c r="G33" i="31" s="1"/>
  <c r="C33" i="31"/>
  <c r="I33" i="31"/>
  <c r="I30" i="85"/>
  <c r="E30" i="85"/>
  <c r="F30" i="85" s="1"/>
  <c r="G30" i="85" s="1"/>
  <c r="C30" i="85"/>
  <c r="C33" i="86"/>
  <c r="I33" i="86"/>
  <c r="E33" i="86"/>
  <c r="F33" i="86" s="1"/>
  <c r="G33" i="86" s="1"/>
  <c r="I34" i="71"/>
  <c r="E34" i="71"/>
  <c r="F34" i="71" s="1"/>
  <c r="G34" i="71" s="1"/>
  <c r="C34" i="71"/>
  <c r="I52" i="85"/>
  <c r="E52" i="85"/>
  <c r="F52" i="85" s="1"/>
  <c r="G52" i="85" s="1"/>
  <c r="C52" i="85"/>
  <c r="I52" i="87"/>
  <c r="E52" i="87"/>
  <c r="F52" i="87" s="1"/>
  <c r="G52" i="87" s="1"/>
  <c r="C52" i="87"/>
  <c r="I51" i="85"/>
  <c r="E51" i="85"/>
  <c r="F51" i="85" s="1"/>
  <c r="G51" i="85" s="1"/>
  <c r="C51" i="85"/>
  <c r="E34" i="93"/>
  <c r="F34" i="93" s="1"/>
  <c r="G34" i="93" s="1"/>
  <c r="I34" i="93"/>
  <c r="C34" i="93"/>
  <c r="I52" i="31"/>
  <c r="E52" i="31"/>
  <c r="F52" i="31" s="1"/>
  <c r="G52" i="31" s="1"/>
  <c r="C52" i="31"/>
  <c r="E30" i="71"/>
  <c r="F30" i="71" s="1"/>
  <c r="G30" i="71" s="1"/>
  <c r="I30" i="71"/>
  <c r="E28" i="85"/>
  <c r="F28" i="85" s="1"/>
  <c r="G28" i="85" s="1"/>
  <c r="C28" i="85"/>
  <c r="I28" i="85"/>
  <c r="I53" i="71"/>
  <c r="E53" i="71"/>
  <c r="F53" i="71" s="1"/>
  <c r="G53" i="71" s="1"/>
  <c r="C53" i="71"/>
  <c r="E52" i="4"/>
  <c r="F52" i="4" s="1"/>
  <c r="G52" i="4" s="1"/>
  <c r="C52" i="4"/>
  <c r="I52" i="4"/>
  <c r="K30" i="3"/>
  <c r="C30" i="3"/>
  <c r="I30" i="3"/>
  <c r="E30" i="3"/>
  <c r="F30" i="3" s="1"/>
  <c r="G30" i="3" s="1"/>
  <c r="I28" i="71"/>
  <c r="E28" i="71"/>
  <c r="E53" i="91"/>
  <c r="F53" i="91" s="1"/>
  <c r="G53" i="91" s="1"/>
  <c r="C53" i="91"/>
  <c r="I53" i="91"/>
  <c r="I52" i="6"/>
  <c r="E52" i="6"/>
  <c r="F52" i="6" s="1"/>
  <c r="G52" i="6" s="1"/>
  <c r="C52" i="6"/>
  <c r="E29" i="31"/>
  <c r="F29" i="31" s="1"/>
  <c r="G29" i="31" s="1"/>
  <c r="C29" i="31"/>
  <c r="I29" i="31"/>
  <c r="E30" i="86"/>
  <c r="F30" i="86" s="1"/>
  <c r="G30" i="86" s="1"/>
  <c r="C30" i="86"/>
  <c r="I30" i="86"/>
  <c r="I28" i="3"/>
  <c r="E28" i="3"/>
  <c r="F28" i="3" s="1"/>
  <c r="G28" i="3" s="1"/>
  <c r="C28" i="3"/>
  <c r="I36" i="6"/>
  <c r="E36" i="6"/>
  <c r="C36" i="6"/>
  <c r="E29" i="4"/>
  <c r="F29" i="4" s="1"/>
  <c r="G29" i="4" s="1"/>
  <c r="I29" i="4"/>
  <c r="C29" i="4"/>
  <c r="I53" i="7"/>
  <c r="E53" i="7"/>
  <c r="F53" i="7" s="1"/>
  <c r="G53" i="7" s="1"/>
  <c r="C53" i="7"/>
  <c r="I52" i="54"/>
  <c r="E52" i="54"/>
  <c r="F52" i="54" s="1"/>
  <c r="G52" i="54" s="1"/>
  <c r="C52" i="54"/>
  <c r="I28" i="31"/>
  <c r="E28" i="31"/>
  <c r="C28" i="31"/>
  <c r="E30" i="30"/>
  <c r="F30" i="30" s="1"/>
  <c r="G30" i="30" s="1"/>
  <c r="I30" i="30"/>
  <c r="E28" i="86"/>
  <c r="C28" i="86"/>
  <c r="I28" i="86"/>
  <c r="I52" i="3"/>
  <c r="C52" i="3"/>
  <c r="E52" i="3"/>
  <c r="F52" i="3" s="1"/>
  <c r="G52" i="3" s="1"/>
  <c r="I36" i="71"/>
  <c r="E36" i="71"/>
  <c r="C36" i="71"/>
  <c r="I30" i="31"/>
  <c r="E30" i="31"/>
  <c r="F30" i="31" s="1"/>
  <c r="G30" i="31" s="1"/>
  <c r="C30" i="31"/>
  <c r="E28" i="30"/>
  <c r="F28" i="30" s="1"/>
  <c r="G28" i="30" s="1"/>
  <c r="C28" i="30"/>
  <c r="I28" i="30"/>
  <c r="C53" i="54"/>
  <c r="I53" i="54"/>
  <c r="E53" i="54"/>
  <c r="F53" i="54" s="1"/>
  <c r="G53" i="54" s="1"/>
  <c r="I51" i="3"/>
  <c r="E51" i="3"/>
  <c r="F51" i="3" s="1"/>
  <c r="G51" i="3" s="1"/>
  <c r="C51" i="3"/>
  <c r="E52" i="86"/>
  <c r="F52" i="86" s="1"/>
  <c r="G52" i="86" s="1"/>
  <c r="I52" i="86"/>
  <c r="C52" i="86"/>
  <c r="I34" i="31"/>
  <c r="E34" i="31"/>
  <c r="F34" i="31" s="1"/>
  <c r="G34" i="31" s="1"/>
  <c r="C34" i="31"/>
  <c r="I30" i="4"/>
  <c r="E30" i="4"/>
  <c r="F30" i="4" s="1"/>
  <c r="G30" i="4" s="1"/>
  <c r="C30" i="4"/>
  <c r="C29" i="85"/>
  <c r="I29" i="85"/>
  <c r="E29" i="85"/>
  <c r="F29" i="85" s="1"/>
  <c r="G29" i="85" s="1"/>
  <c r="M13" i="72"/>
  <c r="M14" i="72" s="1"/>
  <c r="N10" i="72"/>
  <c r="N11" i="72" s="1"/>
  <c r="L14" i="72"/>
  <c r="L15" i="72" s="1"/>
  <c r="S15" i="72"/>
  <c r="S9" i="72" s="1"/>
  <c r="Q32" i="72"/>
  <c r="Q26" i="72"/>
  <c r="Q23" i="72"/>
  <c r="Q28" i="72"/>
  <c r="R15" i="72"/>
  <c r="R9" i="72" s="1"/>
  <c r="Q30" i="72"/>
  <c r="Q33" i="72"/>
  <c r="Q21" i="72"/>
  <c r="R21" i="72" s="1"/>
  <c r="S21" i="72" s="1"/>
  <c r="Q27" i="72"/>
  <c r="Q25" i="72"/>
  <c r="Q31" i="72"/>
  <c r="T15" i="72"/>
  <c r="T9" i="72" s="1"/>
  <c r="Q29" i="72"/>
  <c r="Q24" i="72"/>
  <c r="N13" i="86"/>
  <c r="N14" i="86" s="1"/>
  <c r="M14" i="86"/>
  <c r="M17" i="86" s="1"/>
  <c r="O10" i="86"/>
  <c r="O11" i="86" s="1"/>
  <c r="I37" i="72"/>
  <c r="E37" i="72"/>
  <c r="C37" i="72"/>
  <c r="I30" i="72"/>
  <c r="E30" i="72"/>
  <c r="C30" i="72"/>
  <c r="I29" i="72"/>
  <c r="E29" i="72"/>
  <c r="C29" i="72"/>
  <c r="E38" i="72"/>
  <c r="C38" i="72"/>
  <c r="I38" i="72"/>
  <c r="E31" i="72"/>
  <c r="C31" i="72"/>
  <c r="I31" i="72"/>
  <c r="E34" i="72"/>
  <c r="F34" i="72" s="1"/>
  <c r="G34" i="72" s="1"/>
  <c r="C34" i="72"/>
  <c r="I34" i="72"/>
  <c r="K29" i="71"/>
  <c r="F31" i="61"/>
  <c r="G31" i="61" s="1"/>
  <c r="F35" i="72"/>
  <c r="G35" i="72" s="1"/>
  <c r="J27" i="34"/>
  <c r="F27" i="34"/>
  <c r="G27" i="34" s="1"/>
  <c r="J39" i="72"/>
  <c r="N13" i="4"/>
  <c r="N14" i="4" s="1"/>
  <c r="O10" i="4"/>
  <c r="O11" i="4" s="1"/>
  <c r="M14" i="4"/>
  <c r="M17" i="4" s="1"/>
  <c r="F47" i="78"/>
  <c r="G47" i="78" s="1"/>
  <c r="F52" i="56"/>
  <c r="G52" i="56" s="1"/>
  <c r="F27" i="70"/>
  <c r="G27" i="70" s="1"/>
  <c r="K27" i="70"/>
  <c r="F49" i="19"/>
  <c r="G49" i="19" s="1"/>
  <c r="K34" i="3"/>
  <c r="F49" i="18"/>
  <c r="G49" i="18" s="1"/>
  <c r="F31" i="19"/>
  <c r="G31" i="19" s="1"/>
  <c r="D28" i="93"/>
  <c r="K28" i="93" s="1"/>
  <c r="K30" i="93"/>
  <c r="F30" i="93"/>
  <c r="G30" i="93" s="1"/>
  <c r="F26" i="34"/>
  <c r="G26" i="34" s="1"/>
  <c r="F29" i="93"/>
  <c r="G29" i="93" s="1"/>
  <c r="K29" i="93"/>
  <c r="D30" i="72"/>
  <c r="J30" i="72" s="1"/>
  <c r="J26" i="34"/>
  <c r="F49" i="34"/>
  <c r="G49" i="34" s="1"/>
  <c r="F25" i="48"/>
  <c r="G25" i="48" s="1"/>
  <c r="K26" i="70"/>
  <c r="F34" i="6"/>
  <c r="G34" i="6" s="1"/>
  <c r="J25" i="48"/>
  <c r="F26" i="70"/>
  <c r="G26" i="70" s="1"/>
  <c r="J26" i="20"/>
  <c r="F33" i="93"/>
  <c r="G33" i="93" s="1"/>
  <c r="K29" i="30"/>
  <c r="S23" i="88"/>
  <c r="V23" i="88" s="1"/>
  <c r="F26" i="19"/>
  <c r="G26" i="19" s="1"/>
  <c r="K26" i="19"/>
  <c r="F32" i="8"/>
  <c r="G32" i="8" s="1"/>
  <c r="K29" i="91"/>
  <c r="F29" i="91"/>
  <c r="G29" i="91" s="1"/>
  <c r="F24" i="48"/>
  <c r="G24" i="48" s="1"/>
  <c r="K34" i="91"/>
  <c r="F34" i="5"/>
  <c r="G34" i="5" s="1"/>
  <c r="D28" i="91"/>
  <c r="K28" i="91" s="1"/>
  <c r="F26" i="44"/>
  <c r="G26" i="44" s="1"/>
  <c r="F34" i="30"/>
  <c r="G34" i="30" s="1"/>
  <c r="F30" i="91"/>
  <c r="G30" i="91" s="1"/>
  <c r="K30" i="91"/>
  <c r="J26" i="44"/>
  <c r="F33" i="91"/>
  <c r="G33" i="91" s="1"/>
  <c r="K33" i="91"/>
  <c r="S27" i="91"/>
  <c r="U27" i="91" s="1"/>
  <c r="F29" i="5"/>
  <c r="G29" i="5" s="1"/>
  <c r="K29" i="5"/>
  <c r="F34" i="54"/>
  <c r="G34" i="54" s="1"/>
  <c r="K30" i="5"/>
  <c r="F31" i="70"/>
  <c r="G31" i="70" s="1"/>
  <c r="F27" i="17"/>
  <c r="G27" i="17" s="1"/>
  <c r="F25" i="44"/>
  <c r="G25" i="44" s="1"/>
  <c r="F38" i="51"/>
  <c r="G38" i="51" s="1"/>
  <c r="J27" i="17"/>
  <c r="J25" i="44"/>
  <c r="F26" i="17"/>
  <c r="G26" i="17" s="1"/>
  <c r="J26" i="17"/>
  <c r="F51" i="18"/>
  <c r="G51" i="18" s="1"/>
  <c r="K26" i="18"/>
  <c r="F26" i="18"/>
  <c r="G26" i="18" s="1"/>
  <c r="K27" i="18"/>
  <c r="F27" i="18"/>
  <c r="G27" i="18" s="1"/>
  <c r="J29" i="30"/>
  <c r="F31" i="53"/>
  <c r="G31" i="53" s="1"/>
  <c r="T25" i="81"/>
  <c r="U25" i="81"/>
  <c r="U24" i="81"/>
  <c r="S24" i="81"/>
  <c r="S22" i="81"/>
  <c r="T22" i="81"/>
  <c r="U31" i="81"/>
  <c r="S31" i="81"/>
  <c r="T29" i="81"/>
  <c r="S29" i="81"/>
  <c r="S29" i="80"/>
  <c r="T29" i="80"/>
  <c r="S24" i="80"/>
  <c r="U24" i="80"/>
  <c r="T22" i="80"/>
  <c r="S22" i="80"/>
  <c r="L13" i="7"/>
  <c r="Q23" i="7"/>
  <c r="R23" i="7" s="1"/>
  <c r="U23" i="7" s="1"/>
  <c r="Q21" i="7"/>
  <c r="R21" i="7" s="1"/>
  <c r="S21" i="7" s="1"/>
  <c r="R9" i="7"/>
  <c r="Q22" i="7"/>
  <c r="R22" i="7" s="1"/>
  <c r="T22" i="7" s="1"/>
  <c r="F34" i="3"/>
  <c r="G34" i="3" s="1"/>
  <c r="K29" i="3"/>
  <c r="F29" i="6"/>
  <c r="G29" i="6" s="1"/>
  <c r="K29" i="6"/>
  <c r="F26" i="20"/>
  <c r="G26" i="20" s="1"/>
  <c r="F50" i="56"/>
  <c r="G50" i="56" s="1"/>
  <c r="F48" i="78"/>
  <c r="G48" i="78" s="1"/>
  <c r="F34" i="86"/>
  <c r="G34" i="86" s="1"/>
  <c r="F30" i="6"/>
  <c r="G30" i="6" s="1"/>
  <c r="J32" i="80"/>
  <c r="K34" i="86"/>
  <c r="K30" i="6"/>
  <c r="F32" i="80"/>
  <c r="G32" i="80" s="1"/>
  <c r="F50" i="70"/>
  <c r="G50" i="70" s="1"/>
  <c r="F49" i="20"/>
  <c r="G49" i="20" s="1"/>
  <c r="F56" i="56"/>
  <c r="G56" i="56" s="1"/>
  <c r="K30" i="86"/>
  <c r="D33" i="62"/>
  <c r="D33" i="61"/>
  <c r="D33" i="18"/>
  <c r="D33" i="19"/>
  <c r="D33" i="33"/>
  <c r="D31" i="48"/>
  <c r="D33" i="20"/>
  <c r="D33" i="70"/>
  <c r="D33" i="58"/>
  <c r="D32" i="44"/>
  <c r="D33" i="17"/>
  <c r="E27" i="6"/>
  <c r="E27" i="71"/>
  <c r="E24" i="33"/>
  <c r="E24" i="18"/>
  <c r="E24" i="19"/>
  <c r="E24" i="70"/>
  <c r="E23" i="44"/>
  <c r="E24" i="20"/>
  <c r="E22" i="48"/>
  <c r="E24" i="17"/>
  <c r="D31" i="72"/>
  <c r="J31" i="72" s="1"/>
  <c r="F51" i="61"/>
  <c r="G51" i="61" s="1"/>
  <c r="F49" i="70"/>
  <c r="G49" i="70" s="1"/>
  <c r="F49" i="61"/>
  <c r="G49" i="61" s="1"/>
  <c r="J27" i="20"/>
  <c r="F50" i="44"/>
  <c r="G50" i="44" s="1"/>
  <c r="J27" i="8"/>
  <c r="F51" i="34"/>
  <c r="G51" i="34" s="1"/>
  <c r="F27" i="19"/>
  <c r="G27" i="19" s="1"/>
  <c r="K30" i="30"/>
  <c r="F27" i="20"/>
  <c r="G27" i="20" s="1"/>
  <c r="J30" i="30"/>
  <c r="F47" i="53"/>
  <c r="G47" i="53" s="1"/>
  <c r="F50" i="61"/>
  <c r="G50" i="61" s="1"/>
  <c r="F51" i="20"/>
  <c r="G51" i="20" s="1"/>
  <c r="J31" i="58"/>
  <c r="F51" i="62"/>
  <c r="G51" i="62" s="1"/>
  <c r="F51" i="19"/>
  <c r="G51" i="19" s="1"/>
  <c r="K27" i="19"/>
  <c r="F53" i="56"/>
  <c r="G53" i="56" s="1"/>
  <c r="F51" i="58"/>
  <c r="G51" i="58" s="1"/>
  <c r="J31" i="62"/>
  <c r="F36" i="53"/>
  <c r="G36" i="53" s="1"/>
  <c r="J36" i="53"/>
  <c r="D28" i="86"/>
  <c r="K28" i="86" s="1"/>
  <c r="F29" i="56"/>
  <c r="G29" i="56" s="1"/>
  <c r="J30" i="85"/>
  <c r="J31" i="33"/>
  <c r="F31" i="33"/>
  <c r="G31" i="33" s="1"/>
  <c r="F51" i="6"/>
  <c r="G51" i="6" s="1"/>
  <c r="F50" i="8"/>
  <c r="G50" i="8" s="1"/>
  <c r="K28" i="4"/>
  <c r="K30" i="85"/>
  <c r="D28" i="31"/>
  <c r="K28" i="31" s="1"/>
  <c r="K29" i="31"/>
  <c r="F52" i="8"/>
  <c r="G52" i="8" s="1"/>
  <c r="F47" i="48"/>
  <c r="G47" i="48" s="1"/>
  <c r="F30" i="88"/>
  <c r="G30" i="88" s="1"/>
  <c r="F38" i="81"/>
  <c r="G38" i="81" s="1"/>
  <c r="F49" i="17"/>
  <c r="G49" i="17" s="1"/>
  <c r="F27" i="33"/>
  <c r="G27" i="33" s="1"/>
  <c r="K30" i="88"/>
  <c r="F29" i="88"/>
  <c r="G29" i="88" s="1"/>
  <c r="K30" i="87"/>
  <c r="F30" i="87"/>
  <c r="G30" i="87" s="1"/>
  <c r="F45" i="62"/>
  <c r="G45" i="62" s="1"/>
  <c r="F45" i="17"/>
  <c r="G45" i="17" s="1"/>
  <c r="F45" i="18"/>
  <c r="G45" i="18" s="1"/>
  <c r="F36" i="78"/>
  <c r="G36" i="78" s="1"/>
  <c r="J36" i="78"/>
  <c r="F44" i="58"/>
  <c r="G44" i="58" s="1"/>
  <c r="F42" i="48"/>
  <c r="G42" i="48" s="1"/>
  <c r="J28" i="54"/>
  <c r="F28" i="54"/>
  <c r="G28" i="54" s="1"/>
  <c r="J25" i="61"/>
  <c r="F25" i="61"/>
  <c r="G25" i="61" s="1"/>
  <c r="F53" i="34"/>
  <c r="G53" i="34" s="1"/>
  <c r="F53" i="62"/>
  <c r="G53" i="62" s="1"/>
  <c r="F53" i="18"/>
  <c r="G53" i="18" s="1"/>
  <c r="F52" i="19"/>
  <c r="G52" i="19" s="1"/>
  <c r="F52" i="17"/>
  <c r="G52" i="17" s="1"/>
  <c r="F52" i="20"/>
  <c r="G52" i="20" s="1"/>
  <c r="K29" i="87"/>
  <c r="F29" i="87"/>
  <c r="G29" i="87" s="1"/>
  <c r="F47" i="61"/>
  <c r="G47" i="61" s="1"/>
  <c r="F47" i="19"/>
  <c r="G47" i="19" s="1"/>
  <c r="F46" i="44"/>
  <c r="G46" i="44" s="1"/>
  <c r="F50" i="51"/>
  <c r="G50" i="51" s="1"/>
  <c r="F47" i="55"/>
  <c r="G47" i="55" s="1"/>
  <c r="F31" i="34"/>
  <c r="G31" i="34" s="1"/>
  <c r="J31" i="34"/>
  <c r="J30" i="54"/>
  <c r="F30" i="54"/>
  <c r="G30" i="54" s="1"/>
  <c r="F29" i="54"/>
  <c r="G29" i="54" s="1"/>
  <c r="J29" i="54"/>
  <c r="F26" i="81"/>
  <c r="G26" i="81" s="1"/>
  <c r="J26" i="81"/>
  <c r="F30" i="78"/>
  <c r="G30" i="78" s="1"/>
  <c r="J30" i="78"/>
  <c r="F50" i="62"/>
  <c r="G50" i="62" s="1"/>
  <c r="F45" i="44"/>
  <c r="G45" i="44" s="1"/>
  <c r="F46" i="18"/>
  <c r="G46" i="18" s="1"/>
  <c r="F46" i="70"/>
  <c r="G46" i="70" s="1"/>
  <c r="F32" i="51"/>
  <c r="G32" i="51" s="1"/>
  <c r="J32" i="51"/>
  <c r="D28" i="88"/>
  <c r="K28" i="88" s="1"/>
  <c r="K28" i="3"/>
  <c r="D25" i="19"/>
  <c r="K25" i="19" s="1"/>
  <c r="J24" i="44"/>
  <c r="F24" i="44"/>
  <c r="G24" i="44" s="1"/>
  <c r="K28" i="30"/>
  <c r="F46" i="33"/>
  <c r="G46" i="33" s="1"/>
  <c r="F45" i="58"/>
  <c r="G45" i="58" s="1"/>
  <c r="F45" i="20"/>
  <c r="G45" i="20" s="1"/>
  <c r="F44" i="44"/>
  <c r="G44" i="44" s="1"/>
  <c r="F44" i="70"/>
  <c r="G44" i="70" s="1"/>
  <c r="F44" i="19"/>
  <c r="G44" i="19" s="1"/>
  <c r="F44" i="18"/>
  <c r="G44" i="18" s="1"/>
  <c r="J25" i="62"/>
  <c r="F25" i="62"/>
  <c r="G25" i="62" s="1"/>
  <c r="F51" i="48"/>
  <c r="G51" i="48" s="1"/>
  <c r="F53" i="58"/>
  <c r="G53" i="58" s="1"/>
  <c r="F53" i="19"/>
  <c r="G53" i="19" s="1"/>
  <c r="F50" i="48"/>
  <c r="G50" i="48" s="1"/>
  <c r="F52" i="70"/>
  <c r="G52" i="70" s="1"/>
  <c r="F52" i="34"/>
  <c r="G52" i="34" s="1"/>
  <c r="F47" i="70"/>
  <c r="G47" i="70" s="1"/>
  <c r="F47" i="34"/>
  <c r="G47" i="34" s="1"/>
  <c r="F47" i="17"/>
  <c r="G47" i="17" s="1"/>
  <c r="F49" i="51"/>
  <c r="G49" i="51" s="1"/>
  <c r="J27" i="62"/>
  <c r="F27" i="62"/>
  <c r="G27" i="62" s="1"/>
  <c r="J27" i="61"/>
  <c r="F27" i="61"/>
  <c r="G27" i="61" s="1"/>
  <c r="F26" i="61"/>
  <c r="G26" i="61" s="1"/>
  <c r="J26" i="61"/>
  <c r="F30" i="53"/>
  <c r="G30" i="53" s="1"/>
  <c r="J30" i="53"/>
  <c r="F30" i="55"/>
  <c r="G30" i="55" s="1"/>
  <c r="J30" i="55"/>
  <c r="F31" i="18"/>
  <c r="G31" i="18" s="1"/>
  <c r="K31" i="18"/>
  <c r="F44" i="48"/>
  <c r="G44" i="48" s="1"/>
  <c r="F46" i="17"/>
  <c r="G46" i="17" s="1"/>
  <c r="J31" i="55"/>
  <c r="F31" i="55"/>
  <c r="G31" i="55" s="1"/>
  <c r="J25" i="20"/>
  <c r="F25" i="20"/>
  <c r="G25" i="20" s="1"/>
  <c r="F25" i="34"/>
  <c r="G25" i="34" s="1"/>
  <c r="J25" i="34"/>
  <c r="D28" i="6"/>
  <c r="K28" i="6" s="1"/>
  <c r="D28" i="71"/>
  <c r="K28" i="71" s="1"/>
  <c r="F54" i="58"/>
  <c r="G54" i="58" s="1"/>
  <c r="F45" i="61"/>
  <c r="G45" i="61" s="1"/>
  <c r="F45" i="19"/>
  <c r="G45" i="19" s="1"/>
  <c r="F43" i="48"/>
  <c r="G43" i="48" s="1"/>
  <c r="F44" i="17"/>
  <c r="G44" i="17" s="1"/>
  <c r="F44" i="62"/>
  <c r="G44" i="62" s="1"/>
  <c r="F44" i="34"/>
  <c r="G44" i="34" s="1"/>
  <c r="F25" i="58"/>
  <c r="G25" i="58" s="1"/>
  <c r="J25" i="58"/>
  <c r="F53" i="20"/>
  <c r="G53" i="20" s="1"/>
  <c r="F52" i="44"/>
  <c r="G52" i="44" s="1"/>
  <c r="F53" i="70"/>
  <c r="G53" i="70" s="1"/>
  <c r="F52" i="58"/>
  <c r="G52" i="58" s="1"/>
  <c r="F52" i="18"/>
  <c r="G52" i="18" s="1"/>
  <c r="F31" i="17"/>
  <c r="G31" i="17" s="1"/>
  <c r="J31" i="17"/>
  <c r="F47" i="62"/>
  <c r="G47" i="62" s="1"/>
  <c r="F47" i="18"/>
  <c r="G47" i="18" s="1"/>
  <c r="F49" i="55"/>
  <c r="G49" i="55" s="1"/>
  <c r="F49" i="58"/>
  <c r="G49" i="58" s="1"/>
  <c r="J27" i="58"/>
  <c r="F27" i="58"/>
  <c r="G27" i="58" s="1"/>
  <c r="F33" i="87"/>
  <c r="G33" i="87" s="1"/>
  <c r="K33" i="87"/>
  <c r="F26" i="58"/>
  <c r="G26" i="58" s="1"/>
  <c r="J26" i="58"/>
  <c r="J26" i="80"/>
  <c r="F26" i="80"/>
  <c r="G26" i="80" s="1"/>
  <c r="J27" i="80"/>
  <c r="F27" i="80"/>
  <c r="G27" i="80" s="1"/>
  <c r="F46" i="58"/>
  <c r="G46" i="58" s="1"/>
  <c r="F46" i="62"/>
  <c r="G46" i="62" s="1"/>
  <c r="F46" i="20"/>
  <c r="G46" i="20" s="1"/>
  <c r="F31" i="78"/>
  <c r="G31" i="78" s="1"/>
  <c r="J31" i="78"/>
  <c r="D28" i="87"/>
  <c r="K28" i="87" s="1"/>
  <c r="D25" i="18"/>
  <c r="K25" i="18" s="1"/>
  <c r="D29" i="72"/>
  <c r="J29" i="72" s="1"/>
  <c r="F25" i="70"/>
  <c r="G25" i="70" s="1"/>
  <c r="K25" i="70"/>
  <c r="F54" i="62"/>
  <c r="G54" i="62" s="1"/>
  <c r="F45" i="33"/>
  <c r="G45" i="33" s="1"/>
  <c r="F45" i="70"/>
  <c r="G45" i="70" s="1"/>
  <c r="F45" i="34"/>
  <c r="G45" i="34" s="1"/>
  <c r="J32" i="81"/>
  <c r="F32" i="81"/>
  <c r="G32" i="81" s="1"/>
  <c r="F43" i="44"/>
  <c r="G43" i="44" s="1"/>
  <c r="F44" i="20"/>
  <c r="G44" i="20" s="1"/>
  <c r="F44" i="61"/>
  <c r="G44" i="61" s="1"/>
  <c r="J28" i="7"/>
  <c r="F28" i="7"/>
  <c r="G28" i="7" s="1"/>
  <c r="F53" i="61"/>
  <c r="G53" i="61" s="1"/>
  <c r="F53" i="17"/>
  <c r="G53" i="17" s="1"/>
  <c r="F51" i="44"/>
  <c r="G51" i="44" s="1"/>
  <c r="F52" i="62"/>
  <c r="G52" i="62" s="1"/>
  <c r="F52" i="61"/>
  <c r="G52" i="61" s="1"/>
  <c r="K34" i="71"/>
  <c r="F47" i="58"/>
  <c r="G47" i="58" s="1"/>
  <c r="F45" i="48"/>
  <c r="G45" i="48" s="1"/>
  <c r="F47" i="20"/>
  <c r="G47" i="20" s="1"/>
  <c r="F51" i="51"/>
  <c r="G51" i="51" s="1"/>
  <c r="F48" i="55"/>
  <c r="G48" i="55" s="1"/>
  <c r="F49" i="62"/>
  <c r="G49" i="62" s="1"/>
  <c r="F30" i="7"/>
  <c r="G30" i="7" s="1"/>
  <c r="J30" i="7"/>
  <c r="K33" i="88"/>
  <c r="F33" i="88"/>
  <c r="G33" i="88" s="1"/>
  <c r="J26" i="62"/>
  <c r="F26" i="62"/>
  <c r="G26" i="62" s="1"/>
  <c r="F29" i="7"/>
  <c r="G29" i="7" s="1"/>
  <c r="J29" i="7"/>
  <c r="J31" i="51"/>
  <c r="F31" i="51"/>
  <c r="G31" i="51" s="1"/>
  <c r="F50" i="58"/>
  <c r="G50" i="58" s="1"/>
  <c r="F46" i="61"/>
  <c r="G46" i="61" s="1"/>
  <c r="F46" i="34"/>
  <c r="G46" i="34" s="1"/>
  <c r="F46" i="19"/>
  <c r="G46" i="19" s="1"/>
  <c r="J27" i="81"/>
  <c r="F27" i="81"/>
  <c r="G27" i="81" s="1"/>
  <c r="J25" i="33"/>
  <c r="F25" i="33"/>
  <c r="G25" i="33" s="1"/>
  <c r="F23" i="48"/>
  <c r="G23" i="48" s="1"/>
  <c r="J23" i="48"/>
  <c r="D25" i="17"/>
  <c r="J25" i="17" s="1"/>
  <c r="D28" i="5"/>
  <c r="K28" i="5" s="1"/>
  <c r="K28" i="85"/>
  <c r="J28" i="85"/>
  <c r="N13" i="88"/>
  <c r="N14" i="88" s="1"/>
  <c r="M14" i="88"/>
  <c r="M17" i="88" s="1"/>
  <c r="S22" i="88"/>
  <c r="U22" i="88" s="1"/>
  <c r="S23" i="87"/>
  <c r="V23" i="87" s="1"/>
  <c r="S22" i="87"/>
  <c r="U22" i="87" s="1"/>
  <c r="N13" i="87"/>
  <c r="N14" i="87" s="1"/>
  <c r="M14" i="87"/>
  <c r="M17" i="87" s="1"/>
  <c r="O10" i="87"/>
  <c r="O11" i="87" s="1"/>
  <c r="K29" i="86"/>
  <c r="F49" i="8"/>
  <c r="G49" i="8" s="1"/>
  <c r="F48" i="70"/>
  <c r="G48" i="70" s="1"/>
  <c r="F54" i="34"/>
  <c r="G54" i="34" s="1"/>
  <c r="F54" i="18"/>
  <c r="G54" i="18" s="1"/>
  <c r="F45" i="8"/>
  <c r="G45" i="8" s="1"/>
  <c r="F48" i="61"/>
  <c r="G48" i="61" s="1"/>
  <c r="F50" i="81"/>
  <c r="G50" i="81" s="1"/>
  <c r="K30" i="31"/>
  <c r="F39" i="81"/>
  <c r="G39" i="81" s="1"/>
  <c r="F46" i="80"/>
  <c r="G46" i="80" s="1"/>
  <c r="F28" i="56"/>
  <c r="G28" i="56" s="1"/>
  <c r="K28" i="56"/>
  <c r="F48" i="20"/>
  <c r="G48" i="20" s="1"/>
  <c r="F48" i="18"/>
  <c r="G48" i="18" s="1"/>
  <c r="F48" i="58"/>
  <c r="G48" i="58" s="1"/>
  <c r="F49" i="56"/>
  <c r="G49" i="56" s="1"/>
  <c r="F54" i="20"/>
  <c r="G54" i="20" s="1"/>
  <c r="F54" i="70"/>
  <c r="G54" i="70" s="1"/>
  <c r="K26" i="33"/>
  <c r="F26" i="33"/>
  <c r="G26" i="33" s="1"/>
  <c r="F50" i="18"/>
  <c r="G50" i="18" s="1"/>
  <c r="F28" i="8"/>
  <c r="G28" i="8" s="1"/>
  <c r="J28" i="8"/>
  <c r="F55" i="56"/>
  <c r="G55" i="56" s="1"/>
  <c r="J29" i="4"/>
  <c r="K29" i="4"/>
  <c r="F47" i="44"/>
  <c r="G47" i="44" s="1"/>
  <c r="F48" i="19"/>
  <c r="G48" i="19" s="1"/>
  <c r="F48" i="62"/>
  <c r="G48" i="62" s="1"/>
  <c r="F31" i="8"/>
  <c r="G31" i="8" s="1"/>
  <c r="F54" i="61"/>
  <c r="G54" i="61" s="1"/>
  <c r="F54" i="33"/>
  <c r="G54" i="33" s="1"/>
  <c r="F54" i="17"/>
  <c r="G54" i="17" s="1"/>
  <c r="F52" i="48"/>
  <c r="G52" i="48" s="1"/>
  <c r="F48" i="81"/>
  <c r="G48" i="81" s="1"/>
  <c r="F48" i="53"/>
  <c r="G48" i="53" s="1"/>
  <c r="K33" i="56"/>
  <c r="F33" i="56"/>
  <c r="G33" i="56" s="1"/>
  <c r="F49" i="44"/>
  <c r="G49" i="44" s="1"/>
  <c r="F49" i="81"/>
  <c r="G49" i="81" s="1"/>
  <c r="F50" i="34"/>
  <c r="G50" i="34" s="1"/>
  <c r="F50" i="33"/>
  <c r="G50" i="33" s="1"/>
  <c r="F49" i="33"/>
  <c r="G49" i="33" s="1"/>
  <c r="F47" i="80"/>
  <c r="G47" i="80" s="1"/>
  <c r="F32" i="56"/>
  <c r="G32" i="56" s="1"/>
  <c r="F53" i="44"/>
  <c r="G53" i="44" s="1"/>
  <c r="F39" i="80"/>
  <c r="G39" i="80" s="1"/>
  <c r="D26" i="8"/>
  <c r="J26" i="8" s="1"/>
  <c r="F53" i="33"/>
  <c r="G53" i="33" s="1"/>
  <c r="F48" i="48"/>
  <c r="G48" i="48" s="1"/>
  <c r="F46" i="81"/>
  <c r="G46" i="81" s="1"/>
  <c r="F51" i="33"/>
  <c r="G51" i="33" s="1"/>
  <c r="F45" i="80"/>
  <c r="G45" i="80" s="1"/>
  <c r="J30" i="4"/>
  <c r="K30" i="4"/>
  <c r="K29" i="85"/>
  <c r="J29" i="85"/>
  <c r="F48" i="17"/>
  <c r="G48" i="17" s="1"/>
  <c r="F46" i="48"/>
  <c r="G46" i="48" s="1"/>
  <c r="F48" i="8"/>
  <c r="G48" i="8" s="1"/>
  <c r="F50" i="80"/>
  <c r="G50" i="80" s="1"/>
  <c r="F54" i="19"/>
  <c r="G54" i="19" s="1"/>
  <c r="F48" i="80"/>
  <c r="G48" i="80" s="1"/>
  <c r="F44" i="33"/>
  <c r="G44" i="33" s="1"/>
  <c r="F54" i="8"/>
  <c r="G54" i="8" s="1"/>
  <c r="F48" i="56"/>
  <c r="G48" i="56" s="1"/>
  <c r="F47" i="56"/>
  <c r="G47" i="56" s="1"/>
  <c r="K34" i="31"/>
  <c r="F48" i="34"/>
  <c r="G48" i="34" s="1"/>
  <c r="F52" i="33"/>
  <c r="G52" i="33" s="1"/>
  <c r="F49" i="80"/>
  <c r="G49" i="80" s="1"/>
  <c r="F49" i="48"/>
  <c r="G49" i="48" s="1"/>
  <c r="F55" i="8"/>
  <c r="G55" i="8" s="1"/>
  <c r="F53" i="8"/>
  <c r="G53" i="8" s="1"/>
  <c r="F46" i="56"/>
  <c r="G46" i="56" s="1"/>
  <c r="F54" i="56"/>
  <c r="G54" i="56" s="1"/>
  <c r="F50" i="20"/>
  <c r="G50" i="20" s="1"/>
  <c r="F51" i="17"/>
  <c r="G51" i="17" s="1"/>
  <c r="F47" i="8"/>
  <c r="G47" i="8" s="1"/>
  <c r="F45" i="81"/>
  <c r="G45" i="81" s="1"/>
  <c r="D27" i="56"/>
  <c r="K27" i="56" s="1"/>
  <c r="F47" i="81"/>
  <c r="G47" i="81" s="1"/>
  <c r="F46" i="8"/>
  <c r="G46" i="8" s="1"/>
  <c r="F48" i="33"/>
  <c r="G48" i="33" s="1"/>
  <c r="T25" i="54" l="1"/>
  <c r="R26" i="54"/>
  <c r="S25" i="54"/>
  <c r="R27" i="54"/>
  <c r="R24" i="7"/>
  <c r="S24" i="7" s="1"/>
  <c r="R25" i="7"/>
  <c r="S25" i="7" s="1"/>
  <c r="R26" i="7"/>
  <c r="T26" i="7" s="1"/>
  <c r="S25" i="30"/>
  <c r="R26" i="53"/>
  <c r="S22" i="31"/>
  <c r="U22" i="31" s="1"/>
  <c r="M25" i="31" s="1"/>
  <c r="M27" i="71"/>
  <c r="D38" i="5"/>
  <c r="K38" i="5" s="1"/>
  <c r="N30" i="5"/>
  <c r="D37" i="5" s="1"/>
  <c r="K37" i="5" s="1"/>
  <c r="B37" i="5"/>
  <c r="I37" i="5" s="1"/>
  <c r="C37" i="5"/>
  <c r="C39" i="5"/>
  <c r="E37" i="5"/>
  <c r="E39" i="5"/>
  <c r="I36" i="5"/>
  <c r="M27" i="85"/>
  <c r="L29" i="51"/>
  <c r="L27" i="51"/>
  <c r="L32" i="51"/>
  <c r="C36" i="5"/>
  <c r="I38" i="5"/>
  <c r="E38" i="5"/>
  <c r="C38" i="5"/>
  <c r="M30" i="71"/>
  <c r="N29" i="71"/>
  <c r="M29" i="85"/>
  <c r="S33" i="55"/>
  <c r="T33" i="55"/>
  <c r="U30" i="55"/>
  <c r="R34" i="55"/>
  <c r="U25" i="91"/>
  <c r="F68" i="94"/>
  <c r="G68" i="94"/>
  <c r="U25" i="80"/>
  <c r="L23" i="80"/>
  <c r="R26" i="80"/>
  <c r="V26" i="91"/>
  <c r="M30" i="95"/>
  <c r="N30" i="95" s="1"/>
  <c r="N29" i="95"/>
  <c r="V26" i="93"/>
  <c r="S27" i="93"/>
  <c r="T26" i="93"/>
  <c r="F63" i="95"/>
  <c r="G28" i="95"/>
  <c r="G63" i="95" s="1"/>
  <c r="T29" i="78"/>
  <c r="U29" i="78"/>
  <c r="R30" i="78"/>
  <c r="L23" i="81"/>
  <c r="L22" i="81"/>
  <c r="L24" i="81"/>
  <c r="L25" i="81" s="1"/>
  <c r="L27" i="81"/>
  <c r="V27" i="91"/>
  <c r="M13" i="7"/>
  <c r="M14" i="7" s="1"/>
  <c r="L14" i="7"/>
  <c r="L17" i="7" s="1"/>
  <c r="N10" i="7"/>
  <c r="N11" i="7" s="1"/>
  <c r="R24" i="72"/>
  <c r="U24" i="72" s="1"/>
  <c r="R23" i="72"/>
  <c r="T23" i="72" s="1"/>
  <c r="K62" i="70"/>
  <c r="N62" i="70" s="1"/>
  <c r="A62" i="70" s="1"/>
  <c r="F30" i="72"/>
  <c r="G30" i="72" s="1"/>
  <c r="J60" i="48"/>
  <c r="N60" i="48" s="1"/>
  <c r="A60" i="48" s="1"/>
  <c r="F28" i="93"/>
  <c r="K66" i="93"/>
  <c r="N66" i="93" s="1"/>
  <c r="A66" i="93" s="1"/>
  <c r="F28" i="91"/>
  <c r="G28" i="91" s="1"/>
  <c r="S28" i="91"/>
  <c r="S29" i="91" s="1"/>
  <c r="T29" i="91" s="1"/>
  <c r="J61" i="44"/>
  <c r="N61" i="44" s="1"/>
  <c r="A61" i="44" s="1"/>
  <c r="J62" i="20"/>
  <c r="N62" i="20" s="1"/>
  <c r="A62" i="20" s="1"/>
  <c r="L29" i="81"/>
  <c r="M29" i="81" s="1"/>
  <c r="M27" i="81"/>
  <c r="K63" i="18"/>
  <c r="N63" i="18" s="1"/>
  <c r="A63" i="18" s="1"/>
  <c r="F36" i="5"/>
  <c r="G36" i="5" s="1"/>
  <c r="K69" i="5"/>
  <c r="N69" i="5" s="1"/>
  <c r="A69" i="5" s="1"/>
  <c r="F31" i="72"/>
  <c r="G31" i="72" s="1"/>
  <c r="F28" i="31"/>
  <c r="G28" i="31" s="1"/>
  <c r="K63" i="19"/>
  <c r="N63" i="19" s="1"/>
  <c r="A63" i="19" s="1"/>
  <c r="F28" i="86"/>
  <c r="G28" i="86" s="1"/>
  <c r="J62" i="33"/>
  <c r="N62" i="33" s="1"/>
  <c r="A62" i="33" s="1"/>
  <c r="J72" i="51"/>
  <c r="M72" i="51" s="1"/>
  <c r="A72" i="51" s="1"/>
  <c r="F59" i="70"/>
  <c r="J63" i="34"/>
  <c r="N63" i="34" s="1"/>
  <c r="A63" i="34" s="1"/>
  <c r="J65" i="17"/>
  <c r="N65" i="17" s="1"/>
  <c r="A65" i="17" s="1"/>
  <c r="G59" i="70"/>
  <c r="J63" i="61"/>
  <c r="M63" i="61" s="1"/>
  <c r="A63" i="61" s="1"/>
  <c r="F28" i="71"/>
  <c r="G28" i="71" s="1"/>
  <c r="J59" i="80"/>
  <c r="M59" i="80" s="1"/>
  <c r="A59" i="80" s="1"/>
  <c r="F25" i="19"/>
  <c r="G25" i="19" s="1"/>
  <c r="F25" i="17"/>
  <c r="F25" i="18"/>
  <c r="G25" i="18" s="1"/>
  <c r="F28" i="87"/>
  <c r="G28" i="87" s="1"/>
  <c r="F28" i="6"/>
  <c r="G28" i="6" s="1"/>
  <c r="F28" i="88"/>
  <c r="G28" i="88" s="1"/>
  <c r="F29" i="72"/>
  <c r="G29" i="72" s="1"/>
  <c r="F28" i="5"/>
  <c r="G28" i="5" s="1"/>
  <c r="G69" i="51"/>
  <c r="F69" i="51"/>
  <c r="J62" i="58"/>
  <c r="N62" i="58" s="1"/>
  <c r="A62" i="58" s="1"/>
  <c r="K65" i="56"/>
  <c r="N65" i="56" s="1"/>
  <c r="A65" i="56" s="1"/>
  <c r="G57" i="48"/>
  <c r="J63" i="62"/>
  <c r="N63" i="62" s="1"/>
  <c r="A63" i="62" s="1"/>
  <c r="J59" i="81"/>
  <c r="M59" i="81" s="1"/>
  <c r="A59" i="81" s="1"/>
  <c r="S24" i="88"/>
  <c r="S24" i="87"/>
  <c r="S25" i="87" s="1"/>
  <c r="F56" i="81"/>
  <c r="G56" i="81"/>
  <c r="F27" i="56"/>
  <c r="G27" i="56" s="1"/>
  <c r="G62" i="56" s="1"/>
  <c r="G60" i="34"/>
  <c r="F60" i="34"/>
  <c r="F58" i="44"/>
  <c r="G59" i="33"/>
  <c r="F59" i="33"/>
  <c r="F26" i="8"/>
  <c r="G26" i="8" s="1"/>
  <c r="G56" i="80"/>
  <c r="F56" i="80"/>
  <c r="G58" i="44"/>
  <c r="G59" i="58"/>
  <c r="F59" i="58"/>
  <c r="F57" i="48"/>
  <c r="G60" i="62"/>
  <c r="F60" i="62"/>
  <c r="G59" i="20"/>
  <c r="F59" i="20"/>
  <c r="G60" i="61"/>
  <c r="F60" i="61"/>
  <c r="F38" i="5" l="1"/>
  <c r="G38" i="5" s="1"/>
  <c r="T26" i="54"/>
  <c r="S27" i="54"/>
  <c r="U27" i="54"/>
  <c r="R28" i="54"/>
  <c r="T25" i="7"/>
  <c r="R27" i="7"/>
  <c r="D39" i="5"/>
  <c r="K39" i="5" s="1"/>
  <c r="C39" i="71"/>
  <c r="C37" i="71"/>
  <c r="T25" i="30"/>
  <c r="U25" i="30"/>
  <c r="S26" i="30"/>
  <c r="S24" i="31"/>
  <c r="T24" i="31" s="1"/>
  <c r="S26" i="53"/>
  <c r="T26" i="53"/>
  <c r="R27" i="53"/>
  <c r="S25" i="31"/>
  <c r="L30" i="51"/>
  <c r="B42" i="51"/>
  <c r="C42" i="51" s="1"/>
  <c r="B40" i="51"/>
  <c r="C40" i="51" s="1"/>
  <c r="M32" i="51"/>
  <c r="L34" i="51"/>
  <c r="D36" i="71"/>
  <c r="D38" i="71"/>
  <c r="E39" i="71"/>
  <c r="B39" i="71"/>
  <c r="I39" i="71" s="1"/>
  <c r="E37" i="71"/>
  <c r="N30" i="71"/>
  <c r="B37" i="71"/>
  <c r="I37" i="71" s="1"/>
  <c r="B38" i="85"/>
  <c r="M30" i="85"/>
  <c r="N29" i="85"/>
  <c r="B36" i="85"/>
  <c r="T34" i="55"/>
  <c r="L27" i="55" s="1"/>
  <c r="R35" i="55"/>
  <c r="U26" i="80"/>
  <c r="R31" i="80"/>
  <c r="V27" i="93"/>
  <c r="U27" i="93"/>
  <c r="S28" i="93"/>
  <c r="S29" i="93" s="1"/>
  <c r="T29" i="93" s="1"/>
  <c r="U30" i="78"/>
  <c r="R33" i="78"/>
  <c r="R34" i="78" s="1"/>
  <c r="G60" i="19"/>
  <c r="G25" i="17"/>
  <c r="G62" i="17" s="1"/>
  <c r="F37" i="5"/>
  <c r="G37" i="5" s="1"/>
  <c r="R25" i="72"/>
  <c r="R26" i="72" s="1"/>
  <c r="T26" i="72" s="1"/>
  <c r="G28" i="93"/>
  <c r="G63" i="93" s="1"/>
  <c r="F63" i="93"/>
  <c r="V28" i="91"/>
  <c r="S30" i="91"/>
  <c r="T30" i="91" s="1"/>
  <c r="F62" i="17"/>
  <c r="F60" i="19"/>
  <c r="G66" i="5"/>
  <c r="F66" i="5"/>
  <c r="G60" i="18"/>
  <c r="F60" i="18"/>
  <c r="U24" i="88"/>
  <c r="T24" i="88"/>
  <c r="S25" i="88"/>
  <c r="U25" i="88" s="1"/>
  <c r="U24" i="87"/>
  <c r="T24" i="87"/>
  <c r="U25" i="87"/>
  <c r="S26" i="87"/>
  <c r="G61" i="8"/>
  <c r="F61" i="8"/>
  <c r="F62" i="56"/>
  <c r="C41" i="51" l="1"/>
  <c r="C43" i="51"/>
  <c r="F39" i="5"/>
  <c r="G39" i="5" s="1"/>
  <c r="U28" i="54"/>
  <c r="T28" i="54"/>
  <c r="R29" i="54"/>
  <c r="U29" i="54" s="1"/>
  <c r="U27" i="7"/>
  <c r="S27" i="7"/>
  <c r="R28" i="7"/>
  <c r="U26" i="30"/>
  <c r="S27" i="30"/>
  <c r="T27" i="53"/>
  <c r="R28" i="53"/>
  <c r="U25" i="31"/>
  <c r="S26" i="31"/>
  <c r="T25" i="31"/>
  <c r="R27" i="72"/>
  <c r="U27" i="72" s="1"/>
  <c r="B43" i="51"/>
  <c r="I43" i="51" s="1"/>
  <c r="B41" i="51"/>
  <c r="I41" i="51" s="1"/>
  <c r="E41" i="51"/>
  <c r="M34" i="51"/>
  <c r="E43" i="51"/>
  <c r="D42" i="51"/>
  <c r="J42" i="51" s="1"/>
  <c r="D40" i="51"/>
  <c r="J40" i="51" s="1"/>
  <c r="I40" i="51"/>
  <c r="E40" i="51"/>
  <c r="I42" i="51"/>
  <c r="E42" i="51"/>
  <c r="D39" i="71"/>
  <c r="K39" i="71" s="1"/>
  <c r="D37" i="71"/>
  <c r="K37" i="71" s="1"/>
  <c r="K38" i="71"/>
  <c r="F38" i="71"/>
  <c r="G38" i="71" s="1"/>
  <c r="K36" i="71"/>
  <c r="K70" i="71" s="1"/>
  <c r="N70" i="71" s="1"/>
  <c r="A70" i="71" s="1"/>
  <c r="F36" i="71"/>
  <c r="C36" i="85"/>
  <c r="I36" i="85"/>
  <c r="E36" i="85"/>
  <c r="D36" i="85"/>
  <c r="D38" i="85"/>
  <c r="E37" i="85"/>
  <c r="E39" i="85"/>
  <c r="B37" i="85"/>
  <c r="I37" i="85" s="1"/>
  <c r="N30" i="85"/>
  <c r="C37" i="85"/>
  <c r="C39" i="85"/>
  <c r="B39" i="85"/>
  <c r="I39" i="85" s="1"/>
  <c r="C38" i="85"/>
  <c r="I38" i="85"/>
  <c r="E38" i="85"/>
  <c r="U35" i="55"/>
  <c r="L28" i="55" s="1"/>
  <c r="S35" i="55"/>
  <c r="L26" i="55" s="1"/>
  <c r="L31" i="55" s="1"/>
  <c r="R28" i="72"/>
  <c r="T28" i="72" s="1"/>
  <c r="S31" i="80"/>
  <c r="L22" i="80" s="1"/>
  <c r="U31" i="80"/>
  <c r="L24" i="80" s="1"/>
  <c r="V28" i="93"/>
  <c r="S30" i="93"/>
  <c r="U30" i="91"/>
  <c r="T34" i="78"/>
  <c r="R35" i="78"/>
  <c r="U35" i="78" s="1"/>
  <c r="L28" i="78" s="1"/>
  <c r="S33" i="78"/>
  <c r="T33" i="78"/>
  <c r="T25" i="72"/>
  <c r="S25" i="72"/>
  <c r="S31" i="91"/>
  <c r="S26" i="88"/>
  <c r="S27" i="88" s="1"/>
  <c r="V26" i="87"/>
  <c r="T26" i="87"/>
  <c r="S27" i="87"/>
  <c r="S27" i="72" l="1"/>
  <c r="S35" i="78"/>
  <c r="F40" i="51"/>
  <c r="G40" i="51" s="1"/>
  <c r="R30" i="54"/>
  <c r="S30" i="54" s="1"/>
  <c r="U28" i="7"/>
  <c r="T28" i="7"/>
  <c r="R29" i="7"/>
  <c r="T27" i="30"/>
  <c r="V27" i="30"/>
  <c r="S28" i="30"/>
  <c r="S28" i="53"/>
  <c r="R29" i="53"/>
  <c r="U28" i="53"/>
  <c r="U26" i="31"/>
  <c r="S27" i="31"/>
  <c r="G36" i="71"/>
  <c r="G67" i="71" s="1"/>
  <c r="F67" i="71"/>
  <c r="F42" i="51"/>
  <c r="G42" i="51" s="1"/>
  <c r="D41" i="51"/>
  <c r="J41" i="51" s="1"/>
  <c r="D43" i="51"/>
  <c r="J43" i="51" s="1"/>
  <c r="F41" i="51"/>
  <c r="G41" i="51" s="1"/>
  <c r="F39" i="71"/>
  <c r="G39" i="71" s="1"/>
  <c r="F37" i="71"/>
  <c r="G37" i="71" s="1"/>
  <c r="D37" i="85"/>
  <c r="D39" i="85"/>
  <c r="F36" i="85"/>
  <c r="F38" i="85"/>
  <c r="G38" i="85" s="1"/>
  <c r="K38" i="85"/>
  <c r="J38" i="85"/>
  <c r="J36" i="85"/>
  <c r="K36" i="85"/>
  <c r="K73" i="85" s="1"/>
  <c r="N73" i="85" s="1"/>
  <c r="A69" i="85" s="1"/>
  <c r="B40" i="55"/>
  <c r="C40" i="55" s="1"/>
  <c r="L33" i="55"/>
  <c r="M31" i="55"/>
  <c r="B38" i="55"/>
  <c r="C38" i="55" s="1"/>
  <c r="L29" i="55"/>
  <c r="M27" i="6"/>
  <c r="M29" i="6"/>
  <c r="U28" i="72"/>
  <c r="R29" i="72"/>
  <c r="L25" i="80"/>
  <c r="L27" i="80"/>
  <c r="U30" i="93"/>
  <c r="T30" i="93"/>
  <c r="S31" i="93"/>
  <c r="L27" i="78"/>
  <c r="L26" i="78"/>
  <c r="S32" i="91"/>
  <c r="U31" i="91"/>
  <c r="M25" i="91" s="1"/>
  <c r="U27" i="88"/>
  <c r="V27" i="88"/>
  <c r="S28" i="88"/>
  <c r="V26" i="88"/>
  <c r="T26" i="88"/>
  <c r="V27" i="87"/>
  <c r="U27" i="87"/>
  <c r="S28" i="87"/>
  <c r="C39" i="55" l="1"/>
  <c r="C41" i="55"/>
  <c r="R31" i="54"/>
  <c r="U29" i="7"/>
  <c r="R30" i="7"/>
  <c r="S30" i="7" s="1"/>
  <c r="R31" i="7"/>
  <c r="V28" i="30"/>
  <c r="U28" i="30"/>
  <c r="S29" i="30"/>
  <c r="T29" i="53"/>
  <c r="R30" i="53"/>
  <c r="U29" i="53"/>
  <c r="T27" i="31"/>
  <c r="S28" i="31"/>
  <c r="V27" i="31"/>
  <c r="G36" i="85"/>
  <c r="G66" i="85" s="1"/>
  <c r="F66" i="85"/>
  <c r="F43" i="51"/>
  <c r="G43" i="51" s="1"/>
  <c r="F39" i="85"/>
  <c r="G39" i="85" s="1"/>
  <c r="J39" i="85"/>
  <c r="K39" i="85"/>
  <c r="F37" i="85"/>
  <c r="G37" i="85" s="1"/>
  <c r="J37" i="85"/>
  <c r="K37" i="85"/>
  <c r="I38" i="55"/>
  <c r="E38" i="55"/>
  <c r="D38" i="55"/>
  <c r="J38" i="55" s="1"/>
  <c r="D40" i="55"/>
  <c r="J40" i="55" s="1"/>
  <c r="B41" i="55"/>
  <c r="I41" i="55" s="1"/>
  <c r="B39" i="55"/>
  <c r="I39" i="55" s="1"/>
  <c r="M33" i="55"/>
  <c r="I40" i="55"/>
  <c r="E40" i="55"/>
  <c r="N29" i="6"/>
  <c r="M30" i="6"/>
  <c r="U29" i="72"/>
  <c r="R30" i="72"/>
  <c r="M27" i="80"/>
  <c r="L29" i="80"/>
  <c r="M29" i="80" s="1"/>
  <c r="U31" i="93"/>
  <c r="S32" i="93"/>
  <c r="M25" i="93"/>
  <c r="L31" i="78"/>
  <c r="L29" i="78"/>
  <c r="V32" i="91"/>
  <c r="M26" i="91" s="1"/>
  <c r="T32" i="91"/>
  <c r="M24" i="91" s="1"/>
  <c r="V28" i="88"/>
  <c r="S29" i="88"/>
  <c r="V28" i="87"/>
  <c r="S29" i="87"/>
  <c r="T29" i="87" s="1"/>
  <c r="S31" i="54" l="1"/>
  <c r="T31" i="54"/>
  <c r="R32" i="54"/>
  <c r="R32" i="7"/>
  <c r="S31" i="7"/>
  <c r="T31" i="7"/>
  <c r="C39" i="6"/>
  <c r="C37" i="6"/>
  <c r="V29" i="30"/>
  <c r="S30" i="30"/>
  <c r="U30" i="53"/>
  <c r="R31" i="53"/>
  <c r="R33" i="53" s="1"/>
  <c r="S29" i="31"/>
  <c r="S30" i="31" s="1"/>
  <c r="T30" i="31" s="1"/>
  <c r="V28" i="31"/>
  <c r="U28" i="31"/>
  <c r="E41" i="55"/>
  <c r="D39" i="55"/>
  <c r="J39" i="55" s="1"/>
  <c r="D41" i="55"/>
  <c r="J41" i="55" s="1"/>
  <c r="E39" i="55"/>
  <c r="F39" i="55" s="1"/>
  <c r="G39" i="55" s="1"/>
  <c r="F38" i="55"/>
  <c r="F40" i="55"/>
  <c r="G40" i="55" s="1"/>
  <c r="B39" i="6"/>
  <c r="I39" i="6" s="1"/>
  <c r="B37" i="6"/>
  <c r="I37" i="6" s="1"/>
  <c r="N30" i="6"/>
  <c r="D36" i="6"/>
  <c r="D38" i="6"/>
  <c r="R31" i="72"/>
  <c r="S30" i="72"/>
  <c r="T32" i="93"/>
  <c r="M24" i="93" s="1"/>
  <c r="V32" i="93"/>
  <c r="M26" i="93" s="1"/>
  <c r="B40" i="78"/>
  <c r="B38" i="78"/>
  <c r="M31" i="78"/>
  <c r="L33" i="78"/>
  <c r="M27" i="91"/>
  <c r="M29" i="91"/>
  <c r="T29" i="88"/>
  <c r="S30" i="88"/>
  <c r="S30" i="87"/>
  <c r="T30" i="87" s="1"/>
  <c r="C41" i="78" l="1"/>
  <c r="C39" i="78"/>
  <c r="T32" i="54"/>
  <c r="L25" i="54" s="1"/>
  <c r="R33" i="54"/>
  <c r="R33" i="7"/>
  <c r="T32" i="7"/>
  <c r="L25" i="7" s="1"/>
  <c r="T30" i="30"/>
  <c r="S31" i="30"/>
  <c r="S33" i="53"/>
  <c r="T33" i="53"/>
  <c r="S31" i="53"/>
  <c r="R34" i="53"/>
  <c r="T34" i="53" s="1"/>
  <c r="V29" i="31"/>
  <c r="S31" i="31"/>
  <c r="G38" i="55"/>
  <c r="F41" i="55"/>
  <c r="G41" i="55" s="1"/>
  <c r="K36" i="6"/>
  <c r="K69" i="6" s="1"/>
  <c r="N69" i="6" s="1"/>
  <c r="A69" i="6" s="1"/>
  <c r="F36" i="6"/>
  <c r="F38" i="6"/>
  <c r="G38" i="6" s="1"/>
  <c r="K38" i="6"/>
  <c r="D37" i="6"/>
  <c r="K37" i="6" s="1"/>
  <c r="D39" i="6"/>
  <c r="K39" i="6" s="1"/>
  <c r="E39" i="6"/>
  <c r="F39" i="6" s="1"/>
  <c r="G39" i="6" s="1"/>
  <c r="E37" i="6"/>
  <c r="R32" i="72"/>
  <c r="T32" i="72" s="1"/>
  <c r="S31" i="72"/>
  <c r="R33" i="72"/>
  <c r="T31" i="72"/>
  <c r="L26" i="72" s="1"/>
  <c r="M29" i="4"/>
  <c r="B38" i="4" s="1"/>
  <c r="M27" i="93"/>
  <c r="M29" i="93"/>
  <c r="B39" i="78"/>
  <c r="I39" i="78" s="1"/>
  <c r="M33" i="78"/>
  <c r="B41" i="78"/>
  <c r="I41" i="78" s="1"/>
  <c r="D40" i="78"/>
  <c r="J40" i="78" s="1"/>
  <c r="D38" i="78"/>
  <c r="J38" i="78" s="1"/>
  <c r="J69" i="78" s="1"/>
  <c r="M69" i="78" s="1"/>
  <c r="A69" i="78" s="1"/>
  <c r="I38" i="78"/>
  <c r="E38" i="78"/>
  <c r="C38" i="78"/>
  <c r="I40" i="78"/>
  <c r="E40" i="78"/>
  <c r="C40" i="78"/>
  <c r="M30" i="91"/>
  <c r="N30" i="91" s="1"/>
  <c r="N29" i="91"/>
  <c r="K71" i="91"/>
  <c r="N71" i="91" s="1"/>
  <c r="A71" i="91" s="1"/>
  <c r="U30" i="88"/>
  <c r="T30" i="88"/>
  <c r="S31" i="88"/>
  <c r="S31" i="87"/>
  <c r="U31" i="87" s="1"/>
  <c r="U30" i="87"/>
  <c r="S33" i="54" l="1"/>
  <c r="L24" i="54" s="1"/>
  <c r="U33" i="54"/>
  <c r="L26" i="54" s="1"/>
  <c r="S33" i="7"/>
  <c r="L24" i="7" s="1"/>
  <c r="U33" i="7"/>
  <c r="L26" i="7" s="1"/>
  <c r="U31" i="30"/>
  <c r="T31" i="30"/>
  <c r="S32" i="30"/>
  <c r="L27" i="53"/>
  <c r="R35" i="53"/>
  <c r="T31" i="31"/>
  <c r="S32" i="31"/>
  <c r="U31" i="31"/>
  <c r="F37" i="6"/>
  <c r="G37" i="6" s="1"/>
  <c r="F38" i="78"/>
  <c r="G38" i="78" s="1"/>
  <c r="F63" i="55"/>
  <c r="G63" i="55"/>
  <c r="G36" i="6"/>
  <c r="G66" i="6" s="1"/>
  <c r="F66" i="6"/>
  <c r="S33" i="72"/>
  <c r="L25" i="72" s="1"/>
  <c r="U33" i="72"/>
  <c r="L27" i="72" s="1"/>
  <c r="M27" i="4"/>
  <c r="N29" i="93"/>
  <c r="M30" i="93"/>
  <c r="N30" i="93" s="1"/>
  <c r="M29" i="86"/>
  <c r="M27" i="86"/>
  <c r="E39" i="78"/>
  <c r="E41" i="78"/>
  <c r="F40" i="78"/>
  <c r="G40" i="78" s="1"/>
  <c r="D39" i="78"/>
  <c r="J39" i="78" s="1"/>
  <c r="D41" i="78"/>
  <c r="J41" i="78" s="1"/>
  <c r="I38" i="4"/>
  <c r="E38" i="4"/>
  <c r="C38" i="4"/>
  <c r="B36" i="4"/>
  <c r="M30" i="4"/>
  <c r="N29" i="4"/>
  <c r="M25" i="87"/>
  <c r="U31" i="88"/>
  <c r="M25" i="88" s="1"/>
  <c r="S32" i="88"/>
  <c r="S32" i="87"/>
  <c r="T32" i="87" s="1"/>
  <c r="M24" i="87" s="1"/>
  <c r="M29" i="87" s="1"/>
  <c r="B38" i="87" s="1"/>
  <c r="L27" i="54" l="1"/>
  <c r="L29" i="54"/>
  <c r="L29" i="7"/>
  <c r="L27" i="7"/>
  <c r="U32" i="30"/>
  <c r="S33" i="30"/>
  <c r="M25" i="30"/>
  <c r="S35" i="53"/>
  <c r="L26" i="53" s="1"/>
  <c r="U35" i="53"/>
  <c r="L28" i="53" s="1"/>
  <c r="U32" i="31"/>
  <c r="S33" i="31"/>
  <c r="L30" i="72"/>
  <c r="L28" i="72"/>
  <c r="B36" i="86"/>
  <c r="N29" i="86"/>
  <c r="B38" i="86"/>
  <c r="M30" i="86"/>
  <c r="F41" i="78"/>
  <c r="G41" i="78" s="1"/>
  <c r="F39" i="78"/>
  <c r="C38" i="87"/>
  <c r="I38" i="87"/>
  <c r="E38" i="87"/>
  <c r="I36" i="4"/>
  <c r="E36" i="4"/>
  <c r="C36" i="4"/>
  <c r="B39" i="4"/>
  <c r="I39" i="4" s="1"/>
  <c r="B37" i="4"/>
  <c r="I37" i="4" s="1"/>
  <c r="D38" i="4"/>
  <c r="F38" i="4" s="1"/>
  <c r="G38" i="4" s="1"/>
  <c r="D36" i="4"/>
  <c r="N30" i="4"/>
  <c r="F68" i="91"/>
  <c r="G68" i="91"/>
  <c r="T32" i="88"/>
  <c r="M24" i="88" s="1"/>
  <c r="V32" i="88"/>
  <c r="M26" i="88" s="1"/>
  <c r="V32" i="87"/>
  <c r="M26" i="87" s="1"/>
  <c r="M27" i="87" s="1"/>
  <c r="B36" i="87"/>
  <c r="L31" i="54" l="1"/>
  <c r="M29" i="54"/>
  <c r="B36" i="54"/>
  <c r="B38" i="54"/>
  <c r="M29" i="7"/>
  <c r="B38" i="7"/>
  <c r="L31" i="7"/>
  <c r="B36" i="7"/>
  <c r="T33" i="30"/>
  <c r="M24" i="30" s="1"/>
  <c r="V33" i="30"/>
  <c r="M26" i="30" s="1"/>
  <c r="L31" i="53"/>
  <c r="L29" i="53"/>
  <c r="T33" i="31"/>
  <c r="M24" i="31" s="1"/>
  <c r="V33" i="31"/>
  <c r="M26" i="31" s="1"/>
  <c r="N29" i="87"/>
  <c r="D38" i="87" s="1"/>
  <c r="K38" i="87" s="1"/>
  <c r="M30" i="72"/>
  <c r="L31" i="72"/>
  <c r="M31" i="72" s="1"/>
  <c r="C38" i="86"/>
  <c r="I38" i="86"/>
  <c r="E38" i="86"/>
  <c r="B39" i="86"/>
  <c r="I39" i="86" s="1"/>
  <c r="B37" i="86"/>
  <c r="I37" i="86" s="1"/>
  <c r="N30" i="86"/>
  <c r="D36" i="86"/>
  <c r="K36" i="86" s="1"/>
  <c r="D38" i="86"/>
  <c r="K38" i="86" s="1"/>
  <c r="I36" i="86"/>
  <c r="E36" i="86"/>
  <c r="C36" i="86"/>
  <c r="C37" i="4"/>
  <c r="C39" i="4"/>
  <c r="E39" i="4"/>
  <c r="E37" i="4"/>
  <c r="G39" i="78"/>
  <c r="G66" i="78" s="1"/>
  <c r="F66" i="78"/>
  <c r="F36" i="4"/>
  <c r="G36" i="4" s="1"/>
  <c r="C36" i="87"/>
  <c r="I36" i="87"/>
  <c r="E36" i="87"/>
  <c r="D39" i="4"/>
  <c r="D37" i="4"/>
  <c r="K36" i="4"/>
  <c r="J36" i="4"/>
  <c r="J38" i="4"/>
  <c r="K38" i="4"/>
  <c r="M29" i="3"/>
  <c r="M27" i="3"/>
  <c r="M29" i="88"/>
  <c r="B38" i="88" s="1"/>
  <c r="M27" i="88"/>
  <c r="M30" i="87"/>
  <c r="D36" i="87"/>
  <c r="K36" i="87" s="1"/>
  <c r="K71" i="87" s="1"/>
  <c r="N71" i="87" s="1"/>
  <c r="A71" i="87" s="1"/>
  <c r="C36" i="54" l="1"/>
  <c r="E36" i="54"/>
  <c r="I36" i="54"/>
  <c r="D38" i="54"/>
  <c r="J38" i="54" s="1"/>
  <c r="D36" i="54"/>
  <c r="J36" i="54" s="1"/>
  <c r="I38" i="54"/>
  <c r="E38" i="54"/>
  <c r="F38" i="54" s="1"/>
  <c r="G38" i="54" s="1"/>
  <c r="C38" i="54"/>
  <c r="E37" i="54"/>
  <c r="B39" i="54"/>
  <c r="I39" i="54" s="1"/>
  <c r="E39" i="54"/>
  <c r="B37" i="54"/>
  <c r="I37" i="54" s="1"/>
  <c r="C37" i="54"/>
  <c r="M31" i="54"/>
  <c r="C39" i="54"/>
  <c r="I36" i="7"/>
  <c r="E36" i="7"/>
  <c r="C36" i="7"/>
  <c r="I38" i="7"/>
  <c r="C38" i="7"/>
  <c r="E38" i="7"/>
  <c r="F38" i="7" s="1"/>
  <c r="G38" i="7" s="1"/>
  <c r="M31" i="7"/>
  <c r="C39" i="7"/>
  <c r="B37" i="7"/>
  <c r="I37" i="7" s="1"/>
  <c r="B39" i="7"/>
  <c r="I39" i="7" s="1"/>
  <c r="C37" i="7"/>
  <c r="E37" i="7"/>
  <c r="E39" i="7"/>
  <c r="D38" i="7"/>
  <c r="J38" i="7" s="1"/>
  <c r="D36" i="7"/>
  <c r="J36" i="7" s="1"/>
  <c r="M27" i="30"/>
  <c r="M29" i="30"/>
  <c r="B40" i="53"/>
  <c r="L33" i="53"/>
  <c r="B38" i="53"/>
  <c r="M31" i="53"/>
  <c r="M27" i="31"/>
  <c r="M29" i="31"/>
  <c r="D38" i="72"/>
  <c r="D37" i="72"/>
  <c r="E37" i="86"/>
  <c r="C39" i="86"/>
  <c r="C37" i="86"/>
  <c r="E39" i="86"/>
  <c r="D39" i="86"/>
  <c r="K39" i="86" s="1"/>
  <c r="D37" i="86"/>
  <c r="K37" i="86" s="1"/>
  <c r="K71" i="86" s="1"/>
  <c r="N71" i="86" s="1"/>
  <c r="A71" i="86" s="1"/>
  <c r="F38" i="86"/>
  <c r="G38" i="86" s="1"/>
  <c r="F36" i="86"/>
  <c r="F37" i="4"/>
  <c r="G37" i="4" s="1"/>
  <c r="I38" i="88"/>
  <c r="E38" i="88"/>
  <c r="C38" i="88"/>
  <c r="B39" i="87"/>
  <c r="I39" i="87" s="1"/>
  <c r="E37" i="87"/>
  <c r="C37" i="87"/>
  <c r="E39" i="87"/>
  <c r="C39" i="87"/>
  <c r="F39" i="4"/>
  <c r="J39" i="4"/>
  <c r="K39" i="4"/>
  <c r="K37" i="4"/>
  <c r="J37" i="4"/>
  <c r="M30" i="3"/>
  <c r="B38" i="3"/>
  <c r="N29" i="3"/>
  <c r="B36" i="3"/>
  <c r="N30" i="87"/>
  <c r="D37" i="87" s="1"/>
  <c r="B37" i="87"/>
  <c r="I37" i="87" s="1"/>
  <c r="B36" i="88"/>
  <c r="M30" i="88"/>
  <c r="N29" i="88"/>
  <c r="F36" i="87"/>
  <c r="G36" i="87" s="1"/>
  <c r="F38" i="87"/>
  <c r="G38" i="87" s="1"/>
  <c r="D37" i="54" l="1"/>
  <c r="J37" i="54" s="1"/>
  <c r="D39" i="54"/>
  <c r="J39" i="54" s="1"/>
  <c r="F36" i="54"/>
  <c r="D39" i="7"/>
  <c r="J39" i="7" s="1"/>
  <c r="D37" i="7"/>
  <c r="J37" i="7" s="1"/>
  <c r="F37" i="7"/>
  <c r="G37" i="7" s="1"/>
  <c r="F36" i="7"/>
  <c r="J71" i="7"/>
  <c r="M71" i="7" s="1"/>
  <c r="A71" i="7" s="1"/>
  <c r="F39" i="7"/>
  <c r="G39" i="7" s="1"/>
  <c r="B38" i="30"/>
  <c r="N29" i="30"/>
  <c r="B36" i="30"/>
  <c r="M30" i="30"/>
  <c r="D40" i="53"/>
  <c r="J40" i="53" s="1"/>
  <c r="D38" i="53"/>
  <c r="J38" i="53" s="1"/>
  <c r="I38" i="53"/>
  <c r="C38" i="53"/>
  <c r="E38" i="53"/>
  <c r="F38" i="53" s="1"/>
  <c r="G38" i="53" s="1"/>
  <c r="M33" i="53"/>
  <c r="B39" i="53"/>
  <c r="I39" i="53" s="1"/>
  <c r="C41" i="53"/>
  <c r="E41" i="53"/>
  <c r="B41" i="53"/>
  <c r="I41" i="53" s="1"/>
  <c r="E39" i="53"/>
  <c r="C39" i="53"/>
  <c r="I40" i="53"/>
  <c r="C40" i="53"/>
  <c r="E40" i="53"/>
  <c r="F40" i="53" s="1"/>
  <c r="G40" i="53" s="1"/>
  <c r="B38" i="31"/>
  <c r="B36" i="31"/>
  <c r="M30" i="31"/>
  <c r="N29" i="31"/>
  <c r="D36" i="31" s="1"/>
  <c r="J37" i="72"/>
  <c r="F37" i="72"/>
  <c r="J38" i="72"/>
  <c r="F38" i="72"/>
  <c r="G38" i="72" s="1"/>
  <c r="F39" i="86"/>
  <c r="G39" i="86" s="1"/>
  <c r="G36" i="86"/>
  <c r="F37" i="86"/>
  <c r="G37" i="86" s="1"/>
  <c r="G39" i="4"/>
  <c r="G66" i="4" s="1"/>
  <c r="I36" i="3"/>
  <c r="E36" i="3"/>
  <c r="C36" i="3"/>
  <c r="B39" i="88"/>
  <c r="I39" i="88" s="1"/>
  <c r="I38" i="3"/>
  <c r="E38" i="3"/>
  <c r="C38" i="3"/>
  <c r="C37" i="3"/>
  <c r="E39" i="3"/>
  <c r="C39" i="3"/>
  <c r="E37" i="3"/>
  <c r="I36" i="88"/>
  <c r="E36" i="88"/>
  <c r="C36" i="88"/>
  <c r="K73" i="4"/>
  <c r="N73" i="4" s="1"/>
  <c r="A69" i="4" s="1"/>
  <c r="F66" i="4"/>
  <c r="D36" i="3"/>
  <c r="K36" i="3" s="1"/>
  <c r="D38" i="3"/>
  <c r="K38" i="3" s="1"/>
  <c r="B37" i="3"/>
  <c r="I37" i="3" s="1"/>
  <c r="B39" i="3"/>
  <c r="I39" i="3" s="1"/>
  <c r="N30" i="3"/>
  <c r="D39" i="87"/>
  <c r="K39" i="87" s="1"/>
  <c r="F37" i="87"/>
  <c r="G37" i="87" s="1"/>
  <c r="D38" i="88"/>
  <c r="K38" i="88" s="1"/>
  <c r="D36" i="88"/>
  <c r="K36" i="88" s="1"/>
  <c r="N30" i="88"/>
  <c r="B37" i="88"/>
  <c r="I37" i="88" s="1"/>
  <c r="K37" i="87"/>
  <c r="J70" i="54" l="1"/>
  <c r="M70" i="54" s="1"/>
  <c r="A70" i="54" s="1"/>
  <c r="G36" i="54"/>
  <c r="F37" i="54"/>
  <c r="G37" i="54" s="1"/>
  <c r="F39" i="54"/>
  <c r="G39" i="54" s="1"/>
  <c r="G36" i="7"/>
  <c r="G68" i="7" s="1"/>
  <c r="F68" i="7"/>
  <c r="I36" i="30"/>
  <c r="C36" i="30"/>
  <c r="E36" i="30"/>
  <c r="B39" i="30"/>
  <c r="I39" i="30" s="1"/>
  <c r="N30" i="30"/>
  <c r="B37" i="30"/>
  <c r="I37" i="30" s="1"/>
  <c r="D36" i="30"/>
  <c r="D38" i="30"/>
  <c r="C38" i="30"/>
  <c r="I38" i="30"/>
  <c r="E38" i="30"/>
  <c r="E39" i="88"/>
  <c r="C37" i="88"/>
  <c r="C39" i="88"/>
  <c r="E37" i="88"/>
  <c r="D41" i="53"/>
  <c r="J41" i="53" s="1"/>
  <c r="D39" i="53"/>
  <c r="J39" i="53" s="1"/>
  <c r="F39" i="53"/>
  <c r="B39" i="31"/>
  <c r="N30" i="31"/>
  <c r="B37" i="31"/>
  <c r="I37" i="31" s="1"/>
  <c r="E36" i="31"/>
  <c r="I36" i="31"/>
  <c r="C36" i="31"/>
  <c r="D38" i="31"/>
  <c r="K38" i="31" s="1"/>
  <c r="K36" i="31"/>
  <c r="C38" i="31"/>
  <c r="E38" i="31"/>
  <c r="F38" i="31" s="1"/>
  <c r="G38" i="31" s="1"/>
  <c r="I38" i="31"/>
  <c r="G37" i="72"/>
  <c r="G62" i="72" s="1"/>
  <c r="F62" i="72"/>
  <c r="J65" i="72"/>
  <c r="M65" i="72" s="1"/>
  <c r="A65" i="72" s="1"/>
  <c r="F68" i="86"/>
  <c r="G68" i="86"/>
  <c r="F39" i="87"/>
  <c r="G39" i="87" s="1"/>
  <c r="F38" i="3"/>
  <c r="G38" i="3" s="1"/>
  <c r="F36" i="3"/>
  <c r="G36" i="3" s="1"/>
  <c r="D39" i="3"/>
  <c r="K39" i="3" s="1"/>
  <c r="D37" i="3"/>
  <c r="K37" i="3" s="1"/>
  <c r="F36" i="88"/>
  <c r="G36" i="88" s="1"/>
  <c r="F38" i="88"/>
  <c r="G38" i="88" s="1"/>
  <c r="D39" i="88"/>
  <c r="K39" i="88" s="1"/>
  <c r="D37" i="88"/>
  <c r="K37" i="88" s="1"/>
  <c r="G68" i="87"/>
  <c r="F68" i="87"/>
  <c r="F67" i="54" l="1"/>
  <c r="G67" i="54"/>
  <c r="C37" i="30"/>
  <c r="E39" i="30"/>
  <c r="C39" i="30"/>
  <c r="E37" i="30"/>
  <c r="K38" i="30"/>
  <c r="J38" i="30"/>
  <c r="K36" i="30"/>
  <c r="J36" i="30"/>
  <c r="F38" i="30"/>
  <c r="G38" i="30" s="1"/>
  <c r="D39" i="30"/>
  <c r="D37" i="30"/>
  <c r="F36" i="30"/>
  <c r="G39" i="53"/>
  <c r="J70" i="53"/>
  <c r="M70" i="53" s="1"/>
  <c r="A70" i="53" s="1"/>
  <c r="F41" i="53"/>
  <c r="G41" i="53" s="1"/>
  <c r="C37" i="31"/>
  <c r="I39" i="31"/>
  <c r="E39" i="31"/>
  <c r="C39" i="31"/>
  <c r="E37" i="31"/>
  <c r="F36" i="31"/>
  <c r="G36" i="31" s="1"/>
  <c r="D37" i="31"/>
  <c r="D39" i="31"/>
  <c r="F39" i="3"/>
  <c r="G39" i="3" s="1"/>
  <c r="F37" i="3"/>
  <c r="G37" i="3" s="1"/>
  <c r="K71" i="88"/>
  <c r="N71" i="88" s="1"/>
  <c r="A71" i="88" s="1"/>
  <c r="F37" i="88"/>
  <c r="G37" i="88" s="1"/>
  <c r="F39" i="88"/>
  <c r="G39" i="88" s="1"/>
  <c r="G36" i="30" l="1"/>
  <c r="J37" i="30"/>
  <c r="K37" i="30"/>
  <c r="F39" i="30"/>
  <c r="G39" i="30" s="1"/>
  <c r="J39" i="30"/>
  <c r="K39" i="30"/>
  <c r="F37" i="30"/>
  <c r="G37" i="30" s="1"/>
  <c r="G67" i="30" s="1"/>
  <c r="F67" i="53"/>
  <c r="G67" i="53"/>
  <c r="K39" i="31"/>
  <c r="F39" i="31"/>
  <c r="G39" i="31" s="1"/>
  <c r="K37" i="31"/>
  <c r="F37" i="31"/>
  <c r="G66" i="3"/>
  <c r="F66" i="3"/>
  <c r="G68" i="88"/>
  <c r="F68" i="88"/>
  <c r="E279" i="39"/>
  <c r="E278" i="39"/>
  <c r="E280" i="39"/>
  <c r="E277" i="39"/>
  <c r="J53" i="55"/>
  <c r="J66" i="55" s="1"/>
  <c r="M66" i="55" s="1"/>
  <c r="A66" i="55" s="1"/>
  <c r="K70" i="30" l="1"/>
  <c r="N70" i="30" s="1"/>
  <c r="A70" i="30" s="1"/>
  <c r="F67" i="30"/>
  <c r="K71" i="31"/>
  <c r="N71" i="31" s="1"/>
  <c r="A71" i="31" s="1"/>
  <c r="G37" i="31"/>
  <c r="G68" i="31" s="1"/>
  <c r="F6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<sst xmlns="http://schemas.openxmlformats.org/spreadsheetml/2006/main" count="22006" uniqueCount="11424">
  <si>
    <t>název sk</t>
  </si>
  <si>
    <t>název CZ</t>
  </si>
  <si>
    <t>název PL</t>
  </si>
  <si>
    <t>kód</t>
  </si>
  <si>
    <t>www.demos-trade.com</t>
  </si>
  <si>
    <t>TYTAN</t>
  </si>
  <si>
    <t>barva</t>
  </si>
  <si>
    <t>křídlo dveří:</t>
  </si>
  <si>
    <t>rozměr zrcadla/skla</t>
  </si>
  <si>
    <t>délka vodící a krycí lišty křídla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</si>
  <si>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</si>
  <si>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</si>
  <si>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</si>
  <si>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</si>
  <si>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</si>
  <si>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</si>
  <si>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</si>
  <si>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</si>
  <si>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</si>
  <si>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</si>
  <si>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</si>
  <si>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</si>
  <si>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</si>
  <si>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</si>
  <si>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</si>
  <si>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</si>
  <si>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</si>
  <si>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</si>
  <si>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</si>
  <si>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</si>
  <si>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</si>
  <si>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</si>
  <si>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</si>
  <si>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</si>
  <si>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</si>
  <si>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</si>
  <si>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</si>
  <si>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</si>
  <si>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</si>
  <si>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</si>
  <si>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</si>
  <si>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</si>
  <si>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</si>
  <si>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H18, T profil = 2mm</t>
  </si>
  <si>
    <t>Prodejní cena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</si>
  <si>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</si>
  <si>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</si>
  <si>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</si>
  <si>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</si>
  <si>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</si>
  <si>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</si>
  <si>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</si>
  <si>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</si>
  <si>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</si>
  <si>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</si>
  <si>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</si>
  <si>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</si>
  <si>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</si>
  <si>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</si>
  <si>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</si>
  <si>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</si>
  <si>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</si>
  <si>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</si>
  <si>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</si>
  <si>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</si>
  <si>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</si>
  <si>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U této sestavy nelze použít kombinaci se sklem / zrcadlem</t>
  </si>
  <si>
    <t>98037M</t>
  </si>
  <si>
    <t/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</si>
  <si>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</si>
  <si>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</si>
  <si>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</si>
  <si>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</si>
  <si>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</si>
  <si>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</si>
  <si>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</si>
  <si>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</si>
  <si>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</si>
  <si>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</si>
  <si>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</si>
  <si>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</si>
  <si>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</si>
  <si>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</si>
  <si>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</si>
  <si>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</si>
  <si>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</si>
  <si>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</si>
  <si>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</si>
  <si>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</si>
  <si>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</si>
  <si>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</si>
  <si>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</si>
  <si>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</si>
  <si>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</si>
  <si>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</si>
  <si>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</si>
  <si>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</si>
  <si>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</si>
  <si>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</si>
  <si>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</si>
  <si>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</si>
  <si>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</si>
  <si>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</si>
  <si>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</si>
  <si>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</si>
  <si>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</si>
  <si>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</si>
  <si>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</si>
  <si>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</si>
  <si>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</si>
  <si>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</si>
  <si>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</si>
  <si>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</si>
  <si>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</si>
  <si>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</si>
  <si>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</si>
  <si>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</si>
  <si>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</si>
  <si>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</si>
  <si>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</si>
  <si>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</si>
  <si>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</si>
  <si>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</si>
  <si>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</si>
  <si>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</si>
  <si>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</si>
  <si>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</si>
  <si>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</si>
  <si>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</si>
  <si>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</si>
  <si>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</si>
  <si>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</si>
  <si>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</si>
  <si>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</si>
  <si>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</si>
  <si>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</si>
  <si>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</si>
  <si>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</si>
  <si>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</si>
  <si>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</si>
  <si>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</si>
  <si>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</si>
  <si>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</si>
  <si>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</si>
  <si>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</si>
  <si>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</si>
  <si>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</si>
  <si>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</si>
  <si>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</si>
  <si>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</si>
  <si>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</si>
  <si>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</si>
  <si>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</si>
  <si>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</si>
  <si>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</si>
  <si>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</si>
  <si>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</si>
  <si>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</si>
  <si>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</si>
  <si>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</si>
  <si>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</si>
  <si>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</si>
  <si>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</si>
  <si>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</si>
  <si>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</si>
  <si>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</si>
  <si>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</si>
  <si>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</si>
  <si>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</si>
  <si>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</si>
  <si>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</si>
  <si>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</si>
  <si>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</si>
  <si>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</si>
  <si>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</si>
  <si>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</si>
  <si>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</si>
  <si>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</si>
  <si>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</si>
  <si>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</si>
  <si>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</si>
  <si>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</si>
  <si>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</si>
  <si>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</si>
  <si>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</si>
  <si>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</si>
  <si>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</si>
  <si>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</si>
  <si>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</si>
  <si>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</si>
  <si>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</si>
  <si>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</si>
  <si>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</si>
  <si>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</si>
  <si>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</si>
  <si>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</si>
  <si>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</si>
  <si>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</si>
  <si>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</si>
  <si>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</si>
  <si>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</si>
  <si>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</si>
  <si>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</si>
  <si>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</si>
  <si>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</si>
  <si>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</si>
  <si>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</si>
  <si>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</si>
  <si>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</si>
  <si>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 xml:space="preserve">Felület a dekor </t>
  </si>
  <si>
    <t>fólia alkalmazására</t>
  </si>
  <si>
    <t xml:space="preserve">plocha k aplikaci </t>
  </si>
  <si>
    <t>dekorativní folie</t>
  </si>
  <si>
    <t>VNITŘNÍ ROZMĚR SKŘÍNĚ:</t>
  </si>
  <si>
    <t>odpočet na těsnění: 2mm/1strana</t>
  </si>
  <si>
    <t>Objednací kody, ceny: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</si>
  <si>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</si>
  <si>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</si>
  <si>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</si>
  <si>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</si>
  <si>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</si>
  <si>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</si>
  <si>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</si>
  <si>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</si>
  <si>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</si>
  <si>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</si>
  <si>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</si>
  <si>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</si>
  <si>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</si>
  <si>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</si>
  <si>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</si>
  <si>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</si>
  <si>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</si>
  <si>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</si>
  <si>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</si>
  <si>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</si>
  <si>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</si>
  <si>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</si>
  <si>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</si>
  <si>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</si>
  <si>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</si>
  <si>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</si>
  <si>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</si>
  <si>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</si>
  <si>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</si>
  <si>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</si>
  <si>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</si>
  <si>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</si>
  <si>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</si>
  <si>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</si>
  <si>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</si>
  <si>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</si>
  <si>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</si>
  <si>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</si>
  <si>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</si>
  <si>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</si>
  <si>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</si>
  <si>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</si>
  <si>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</si>
  <si>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</si>
  <si>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rozmer výplne 18mm:</t>
  </si>
  <si>
    <t>rozmer výplne 12mm: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</si>
  <si>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</si>
  <si>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</si>
  <si>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</si>
  <si>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</si>
  <si>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</si>
  <si>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</si>
  <si>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</si>
  <si>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</si>
  <si>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</si>
  <si>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</si>
  <si>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</si>
  <si>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</si>
  <si>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</si>
  <si>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</si>
  <si>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</si>
  <si>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</si>
  <si>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</si>
  <si>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</si>
  <si>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</si>
  <si>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</si>
  <si>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</si>
  <si>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</si>
  <si>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</si>
  <si>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</si>
  <si>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</si>
  <si>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</si>
  <si>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</si>
  <si>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</si>
  <si>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</si>
  <si>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</si>
  <si>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</si>
  <si>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</si>
  <si>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</si>
  <si>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</si>
  <si>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</si>
  <si>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</si>
  <si>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</si>
  <si>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</si>
  <si>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</si>
  <si>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</si>
  <si>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</si>
  <si>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</si>
  <si>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</si>
  <si>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</si>
  <si>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</si>
  <si>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</si>
  <si>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</si>
  <si>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</si>
  <si>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</si>
  <si>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</si>
  <si>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</si>
  <si>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</si>
  <si>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</si>
  <si>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</si>
  <si>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</si>
  <si>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</si>
  <si>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</si>
  <si>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</si>
  <si>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</si>
  <si>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</si>
  <si>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</si>
  <si>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</si>
  <si>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</si>
  <si>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</si>
  <si>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</si>
  <si>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</si>
  <si>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</si>
  <si>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</si>
  <si>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</si>
  <si>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</si>
  <si>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</si>
  <si>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</si>
  <si>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</si>
  <si>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</si>
  <si>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</si>
  <si>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</si>
  <si>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</si>
  <si>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</si>
  <si>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</si>
  <si>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</si>
  <si>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</si>
  <si>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</si>
  <si>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</si>
  <si>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</si>
  <si>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</si>
  <si>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</si>
  <si>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</si>
  <si>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</si>
  <si>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</si>
  <si>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</si>
  <si>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</si>
  <si>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</si>
  <si>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</si>
  <si>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</si>
  <si>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</si>
  <si>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</si>
  <si>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</si>
  <si>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</si>
  <si>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</si>
  <si>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</si>
  <si>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</si>
  <si>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</si>
  <si>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</si>
  <si>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</si>
  <si>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</si>
  <si>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</si>
  <si>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</si>
  <si>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</si>
  <si>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</si>
  <si>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</si>
  <si>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</si>
  <si>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</si>
  <si>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</si>
  <si>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</si>
  <si>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</si>
  <si>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</si>
  <si>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</si>
  <si>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</si>
  <si>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</si>
  <si>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</si>
  <si>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</si>
  <si>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</si>
  <si>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</si>
  <si>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</si>
  <si>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</si>
  <si>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</si>
  <si>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</si>
  <si>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</si>
  <si>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</si>
  <si>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</si>
  <si>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</si>
  <si>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</si>
  <si>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</si>
  <si>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</si>
  <si>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</si>
  <si>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</si>
  <si>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</si>
  <si>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</si>
  <si>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</si>
  <si>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</si>
  <si>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</si>
  <si>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</si>
  <si>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</si>
  <si>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</si>
  <si>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</si>
  <si>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</si>
  <si>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</si>
  <si>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</si>
  <si>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</si>
  <si>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</si>
  <si>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</si>
  <si>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</si>
  <si>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</si>
  <si>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</si>
  <si>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</si>
  <si>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</si>
  <si>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</si>
  <si>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</si>
  <si>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</si>
  <si>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</si>
  <si>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</si>
  <si>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</si>
  <si>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</si>
  <si>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</si>
  <si>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</si>
  <si>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</si>
  <si>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</si>
  <si>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</si>
  <si>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</si>
  <si>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</si>
  <si>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</si>
  <si>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</si>
  <si>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</si>
  <si>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</si>
  <si>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</si>
  <si>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</si>
  <si>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</si>
  <si>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</si>
  <si>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</si>
  <si>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</si>
  <si>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</si>
  <si>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</si>
  <si>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</si>
  <si>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</si>
  <si>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</si>
  <si>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</si>
  <si>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</si>
  <si>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</si>
  <si>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</si>
  <si>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</si>
  <si>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</si>
  <si>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</si>
  <si>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</si>
  <si>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</si>
  <si>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</si>
  <si>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</si>
  <si>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</si>
  <si>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</si>
  <si>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</si>
  <si>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</si>
  <si>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</si>
  <si>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</si>
  <si>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</si>
  <si>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</si>
  <si>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</si>
  <si>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</si>
  <si>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</si>
  <si>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</si>
  <si>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</si>
  <si>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</si>
  <si>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</si>
  <si>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</si>
  <si>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</si>
  <si>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</si>
  <si>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</si>
  <si>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</si>
  <si>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</si>
  <si>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</si>
  <si>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</si>
  <si>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</si>
  <si>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</si>
  <si>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</si>
  <si>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</si>
  <si>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</si>
  <si>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</si>
  <si>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</si>
  <si>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</si>
  <si>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</si>
  <si>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</si>
  <si>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</si>
  <si>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</si>
  <si>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</si>
  <si>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</si>
  <si>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</si>
  <si>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</si>
  <si>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</si>
  <si>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</si>
  <si>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</si>
  <si>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</si>
  <si>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</si>
  <si>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</si>
  <si>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</si>
  <si>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</si>
  <si>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</si>
  <si>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</si>
  <si>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</si>
  <si>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</si>
  <si>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</si>
  <si>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</si>
  <si>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</si>
  <si>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</si>
  <si>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</si>
  <si>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</si>
  <si>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</si>
  <si>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</si>
  <si>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</si>
  <si>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</si>
  <si>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</si>
  <si>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</si>
  <si>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</si>
  <si>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</si>
  <si>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</si>
  <si>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</si>
  <si>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</si>
  <si>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</si>
  <si>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</si>
  <si>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</si>
  <si>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</si>
  <si>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</si>
  <si>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</si>
  <si>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</si>
  <si>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</si>
  <si>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</si>
  <si>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</si>
  <si>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</si>
  <si>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</si>
  <si>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</si>
  <si>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</si>
  <si>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</si>
  <si>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</si>
  <si>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</si>
  <si>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</si>
  <si>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</si>
  <si>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</si>
  <si>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</si>
  <si>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</si>
  <si>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</si>
  <si>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</si>
  <si>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</si>
  <si>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</si>
  <si>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</si>
  <si>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</si>
  <si>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</si>
  <si>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</si>
  <si>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</si>
  <si>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</si>
  <si>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</si>
  <si>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</si>
  <si>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</si>
  <si>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</si>
  <si>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</si>
  <si>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</si>
  <si>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</si>
  <si>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</si>
  <si>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</si>
  <si>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</si>
  <si>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</si>
  <si>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</si>
  <si>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</si>
  <si>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</si>
  <si>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</si>
  <si>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BAL</t>
  </si>
  <si>
    <t>PAR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</si>
  <si>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</si>
  <si>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</si>
  <si>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</si>
  <si>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</si>
  <si>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</si>
  <si>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</si>
  <si>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</si>
  <si>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</si>
  <si>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</si>
  <si>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</si>
  <si>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</si>
  <si>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</si>
  <si>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</si>
  <si>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</si>
  <si>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</si>
  <si>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</si>
  <si>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</si>
  <si>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</si>
  <si>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</si>
  <si>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</si>
  <si>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</si>
  <si>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</si>
  <si>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</si>
  <si>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</si>
  <si>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</si>
  <si>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</si>
  <si>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</si>
  <si>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</si>
  <si>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</si>
  <si>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</si>
  <si>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</si>
  <si>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</si>
  <si>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</si>
  <si>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</si>
  <si>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</si>
  <si>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</si>
  <si>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</si>
  <si>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</si>
  <si>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</si>
  <si>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</si>
  <si>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</si>
  <si>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</si>
  <si>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</si>
  <si>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</si>
  <si>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</si>
  <si>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</si>
  <si>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</si>
  <si>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</si>
  <si>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</si>
  <si>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</si>
  <si>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</si>
  <si>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</si>
  <si>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</si>
  <si>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</si>
  <si>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</si>
  <si>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</si>
  <si>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</si>
  <si>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</si>
  <si>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</si>
  <si>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</si>
  <si>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</si>
  <si>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</si>
  <si>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</si>
  <si>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</si>
  <si>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</si>
  <si>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</si>
  <si>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</si>
  <si>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</si>
  <si>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</si>
  <si>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</si>
  <si>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</si>
  <si>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</si>
  <si>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</si>
  <si>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</si>
  <si>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</si>
  <si>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</si>
  <si>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</si>
  <si>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</si>
  <si>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</si>
  <si>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</si>
  <si>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</si>
  <si>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</si>
  <si>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</si>
  <si>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</si>
  <si>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</si>
  <si>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</si>
  <si>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</si>
  <si>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</si>
  <si>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O*</t>
  </si>
  <si>
    <t>bal</t>
  </si>
  <si>
    <t>m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</si>
  <si>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</si>
  <si>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</si>
  <si>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</si>
  <si>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</si>
  <si>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</si>
  <si>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</si>
  <si>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</si>
  <si>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</si>
  <si>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</si>
  <si>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</si>
  <si>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</si>
  <si>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</si>
  <si>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</si>
  <si>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</si>
  <si>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</si>
  <si>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</si>
  <si>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</si>
  <si>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</si>
  <si>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</si>
  <si>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</si>
  <si>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</si>
  <si>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</si>
  <si>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</si>
  <si>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</si>
  <si>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</si>
  <si>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</si>
  <si>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</si>
  <si>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</si>
  <si>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</si>
  <si>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S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</si>
  <si>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</si>
  <si>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</si>
  <si>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</si>
  <si>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</si>
  <si>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</si>
  <si>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</si>
  <si>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</si>
  <si>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</si>
  <si>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</si>
  <si>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</si>
  <si>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</si>
  <si>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</si>
  <si>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</si>
  <si>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</si>
  <si>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</si>
  <si>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</si>
  <si>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záslepka spodního vedení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</si>
  <si>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</si>
  <si>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</si>
  <si>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</si>
  <si>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</si>
  <si>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</si>
  <si>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</si>
  <si>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</si>
  <si>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</si>
  <si>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</si>
  <si>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</si>
  <si>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</si>
  <si>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</si>
  <si>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</si>
  <si>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</si>
  <si>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</si>
  <si>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</si>
  <si>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</si>
  <si>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</si>
  <si>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</si>
  <si>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</si>
  <si>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</si>
  <si>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</si>
  <si>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</si>
  <si>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</si>
  <si>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</si>
  <si>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</si>
  <si>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</si>
  <si>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</si>
  <si>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</si>
  <si>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</si>
  <si>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</si>
  <si>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</si>
  <si>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</si>
  <si>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</si>
  <si>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</si>
  <si>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</si>
  <si>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</si>
  <si>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</si>
  <si>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</si>
  <si>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</si>
  <si>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</si>
  <si>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</si>
  <si>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</si>
  <si>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</si>
  <si>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</si>
  <si>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</si>
  <si>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</si>
  <si>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</si>
  <si>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</si>
  <si>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</si>
  <si>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</si>
  <si>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</si>
  <si>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</si>
  <si>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</si>
  <si>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</si>
  <si>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</si>
  <si>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</si>
  <si>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</si>
  <si>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</si>
  <si>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</si>
  <si>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</si>
  <si>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</si>
  <si>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</si>
  <si>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</si>
  <si>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</si>
  <si>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</si>
  <si>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</si>
  <si>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</si>
  <si>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</si>
  <si>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</si>
  <si>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</si>
  <si>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</si>
  <si>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</si>
  <si>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</si>
  <si>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</si>
  <si>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</si>
  <si>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</si>
  <si>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</si>
  <si>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</si>
  <si>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</si>
  <si>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</si>
  <si>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</si>
  <si>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</si>
  <si>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</si>
  <si>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</si>
  <si>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</si>
  <si>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</si>
  <si>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Focus II 18mm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</si>
  <si>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</si>
  <si>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</si>
  <si>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</si>
  <si>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</si>
  <si>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</si>
  <si>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</si>
  <si>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</si>
  <si>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</si>
  <si>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</si>
  <si>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</si>
  <si>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</si>
  <si>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</si>
  <si>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</si>
  <si>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</si>
  <si>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</si>
  <si>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</si>
  <si>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</si>
  <si>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</si>
  <si>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</si>
  <si>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</si>
  <si>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</si>
  <si>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</si>
  <si>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</si>
  <si>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</si>
  <si>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</si>
  <si>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</si>
  <si>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</si>
  <si>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</si>
  <si>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</si>
  <si>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</si>
  <si>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</si>
  <si>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</si>
  <si>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</si>
  <si>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</si>
  <si>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</si>
  <si>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</si>
  <si>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</si>
  <si>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</si>
  <si>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</si>
  <si>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</si>
  <si>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</si>
  <si>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</si>
  <si>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</si>
  <si>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</si>
  <si>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</si>
  <si>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</si>
  <si>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Ozdobné nalepovací lišty</t>
  </si>
  <si>
    <t>v této barvě a délce se daný profil nevyrábí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</si>
  <si>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</si>
  <si>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</si>
  <si>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</si>
  <si>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</si>
  <si>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</si>
  <si>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</si>
  <si>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</si>
  <si>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</si>
  <si>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</si>
  <si>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</si>
  <si>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</si>
  <si>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</si>
  <si>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</si>
  <si>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</si>
  <si>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</si>
  <si>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</si>
  <si>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</si>
  <si>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</si>
  <si>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</si>
  <si>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</si>
  <si>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</si>
  <si>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</si>
  <si>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</si>
  <si>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</si>
  <si>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</si>
  <si>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</si>
  <si>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</si>
  <si>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</si>
  <si>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</si>
  <si>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</si>
  <si>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</si>
  <si>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</si>
  <si>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</si>
  <si>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</si>
  <si>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</si>
  <si>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</si>
  <si>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</si>
  <si>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</si>
  <si>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</si>
  <si>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</si>
  <si>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</si>
  <si>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</si>
  <si>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</si>
  <si>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</si>
  <si>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</si>
  <si>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</si>
  <si>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</si>
  <si>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</si>
  <si>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</si>
  <si>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</si>
  <si>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</si>
  <si>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</si>
  <si>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</si>
  <si>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</si>
  <si>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</si>
  <si>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</si>
  <si>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</si>
  <si>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</si>
  <si>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</si>
  <si>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</si>
  <si>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</si>
  <si>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</si>
  <si>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</si>
  <si>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</si>
  <si>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</si>
  <si>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</si>
  <si>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</si>
  <si>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</si>
  <si>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</si>
  <si>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</si>
  <si>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</si>
  <si>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</si>
  <si>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</si>
  <si>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</si>
  <si>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</si>
  <si>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</si>
  <si>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</si>
  <si>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</si>
  <si>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</si>
  <si>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</si>
  <si>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</si>
  <si>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</si>
  <si>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</si>
  <si>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</si>
  <si>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</si>
  <si>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</si>
  <si>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</si>
  <si>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</si>
  <si>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</si>
  <si>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</si>
  <si>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</si>
  <si>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</si>
  <si>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</si>
  <si>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</si>
  <si>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</si>
  <si>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</si>
  <si>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</si>
  <si>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</si>
  <si>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</si>
  <si>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</si>
  <si>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</si>
  <si>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</si>
  <si>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</si>
  <si>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</si>
  <si>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</si>
  <si>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</si>
  <si>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</si>
  <si>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</si>
  <si>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</si>
  <si>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</si>
  <si>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</si>
  <si>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</si>
  <si>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</si>
  <si>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</si>
  <si>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</si>
  <si>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</si>
  <si>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</si>
  <si>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</si>
  <si>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</si>
  <si>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</si>
  <si>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</si>
  <si>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</si>
  <si>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</si>
  <si>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</si>
  <si>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</si>
  <si>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</si>
  <si>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</si>
  <si>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zámek posuvných dveří</t>
  </si>
  <si>
    <t>Fala (Blue)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</si>
  <si>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</si>
  <si>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</si>
  <si>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</si>
  <si>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</si>
  <si>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</si>
  <si>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</si>
  <si>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</si>
  <si>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Era (Blue 18)</t>
  </si>
  <si>
    <t>Rekord (Blue 18)</t>
  </si>
  <si>
    <t>Polo (Blue)</t>
  </si>
  <si>
    <t xml:space="preserve">             12 + 4 mm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</si>
  <si>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</si>
  <si>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</si>
  <si>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</si>
  <si>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</si>
  <si>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</si>
  <si>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</si>
  <si>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</si>
  <si>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</si>
  <si>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</si>
  <si>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</si>
  <si>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</si>
  <si>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</si>
  <si>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</si>
  <si>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</si>
  <si>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</si>
  <si>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</si>
  <si>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</si>
  <si>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</si>
  <si>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</si>
  <si>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</si>
  <si>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</si>
  <si>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</si>
  <si>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</si>
  <si>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</si>
  <si>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</si>
  <si>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</si>
  <si>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</si>
  <si>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</si>
  <si>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</si>
  <si>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</si>
  <si>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</si>
  <si>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</si>
  <si>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</si>
  <si>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</si>
  <si>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</si>
  <si>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</si>
  <si>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</si>
  <si>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</si>
  <si>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</si>
  <si>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</si>
  <si>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</si>
  <si>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</si>
  <si>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</si>
  <si>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</si>
  <si>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zámok posuvných dverí</t>
  </si>
  <si>
    <t>zamek do drzwi przesuwnych</t>
  </si>
  <si>
    <t>zacisk do dylatacji wypełnienia 16 mm</t>
  </si>
  <si>
    <t>dylatacja 4 mm</t>
  </si>
  <si>
    <t>rysunek techniczny tego systemu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</si>
  <si>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</si>
  <si>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</si>
  <si>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</si>
  <si>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</si>
  <si>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</si>
  <si>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</si>
  <si>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Viktoria II úch.list.18mm 2,7m zlatá</t>
  </si>
  <si>
    <t>SEVROLL upevňov.klín Simple 40ks (sklo 4mm)</t>
  </si>
  <si>
    <t>SEVROLL Simple spodné vedenie 6m strieborná</t>
  </si>
  <si>
    <t>SEVROLL Simple spodné vedenie 1,5m strieborn</t>
  </si>
  <si>
    <t>SEVROLL Simple horné vedenie 6m strieborná</t>
  </si>
  <si>
    <t>SEVROLL Simple horné vedenie 4m strieborná</t>
  </si>
  <si>
    <t>SEVROLL Simple horné vedenie 2m strieborná</t>
  </si>
  <si>
    <t>SEVROLL Simple horné vedenie 1,5m strieborná</t>
  </si>
  <si>
    <t>SEVROLL maska Cleft 3m zlatá</t>
  </si>
  <si>
    <t>SEVROLL maska Cleft 2,35m zlatá</t>
  </si>
  <si>
    <t>SEVROLL maska Cleft 2,35m stříbrná</t>
  </si>
  <si>
    <t>SEVROLL maska Cleft 1,7m zlatá</t>
  </si>
  <si>
    <t>SEVROLL horný vozík Simple (18mm)rámový L+P</t>
  </si>
  <si>
    <t>SEVROLL horný vozík Simple (10mm Polo) symet</t>
  </si>
  <si>
    <t>SEVROLL horný vozík Simple (10mm Fala ) asym</t>
  </si>
  <si>
    <t>SEVROLL Focus II 16mm úch.lišta 2,7m strieborná</t>
  </si>
  <si>
    <t>SEVROLL Factor 18 II-úchytová lišta zlatá 2,</t>
  </si>
  <si>
    <t>SEVROLL Cleft spodné vedenie 6m strieborná</t>
  </si>
  <si>
    <t>SEVROLL spodné vedenie 4,05m zlatá</t>
  </si>
  <si>
    <t>SEVROLL spodné vedenie 3m zlatá</t>
  </si>
  <si>
    <t>SEVROLL Cleft spodné vedenie 1,7m strieborná</t>
  </si>
  <si>
    <t>SEVROLL Cleft spodné vedenie 1,7m oliva</t>
  </si>
  <si>
    <t>ASTIN horní vedení 3,6m černá kartáčovaná</t>
  </si>
  <si>
    <t>ASTIN horné vedenie 3,6m kartáč.ČIERNA</t>
  </si>
  <si>
    <t>SEVROLL vzorkovník profilov Simple (krabička</t>
  </si>
  <si>
    <t>SEVROLL unašeč k tlumiči 11027</t>
  </si>
  <si>
    <t>SEVROLL unášač k tlmiču 11027</t>
  </si>
  <si>
    <t>SEVROLL šablóna pre vozíky DTD 18mm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</si>
  <si>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</si>
  <si>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</si>
  <si>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</si>
  <si>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</si>
  <si>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</si>
  <si>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SEVROLL vodiaci tŕň</t>
  </si>
  <si>
    <t>SEVROLL vedenie INTER S 35kg do stropu 6m</t>
  </si>
  <si>
    <t>SEVROLL vedenie INTER S 35kg do stropu 3m</t>
  </si>
  <si>
    <t>SEVROLL vedenie INTER B 35kg na stenu 6m</t>
  </si>
  <si>
    <t>SEVROLL vedenie INTER B 35kg do stropu 3m</t>
  </si>
  <si>
    <t>SEVROLL vedenie Galaxy S 50kg do stropu 4m</t>
  </si>
  <si>
    <t>SEVROLL vedenie Galaxy S 50kg do stropu 2,5m</t>
  </si>
  <si>
    <t>SEVROLL vedenie Galaxy S 50kg do stropu 1,5m</t>
  </si>
  <si>
    <t>SEVROLL vedenie Galaxy B 50kg na stenu 4m</t>
  </si>
  <si>
    <t>SEVROLL vedenie Galaxy B 50kg na stenu 2,5m</t>
  </si>
  <si>
    <t>SEVROLL vedenie Galaxy B 50kg na stenu 1,5m</t>
  </si>
  <si>
    <t>SEVROLL Uno úchytová lišta 18mm 2,70m oliva</t>
  </si>
  <si>
    <t>SEVROLL Universal 16 úchytová lišta 2,7m str</t>
  </si>
  <si>
    <t>SEVROLL úchytka Push 90mm brúsený nikel</t>
  </si>
  <si>
    <t>SEVROLL uholník K2 Decor 2,35m zlatá</t>
  </si>
  <si>
    <t>SEVROLL uholník K2 3m oliva tmavá kartáč.</t>
  </si>
  <si>
    <t>SEVROLL tlmič dorazu Top SV80 - 2ks</t>
  </si>
  <si>
    <t>SEVROLL tlumič dorazu Top SV60 - 2ks</t>
  </si>
  <si>
    <t>SEVROLL tesnenie na sklo 10/6,4mm</t>
  </si>
  <si>
    <t>SEVROLL System 10 II úchytová lišta 2,7m zlatá</t>
  </si>
  <si>
    <t>SEVROLL stenová príchytka profilu Single</t>
  </si>
  <si>
    <t>SEVROLL Star úchytová lišta 2,7m strieborná</t>
  </si>
  <si>
    <t>SEVROLL Star úchytová lišta 2,7m oliva</t>
  </si>
  <si>
    <t>SEVROLL spoj.lišta H18 3m oliva tm.kartáč</t>
  </si>
  <si>
    <t>SEVROLL spojovacia lišta H10 Decor 3m oliva</t>
  </si>
  <si>
    <t>SEVROLL sp.kryc.lišta 2,35m oliva tm.kartáč</t>
  </si>
  <si>
    <t>SEVROLL spodný vozík WD 18C HI-TEC</t>
  </si>
  <si>
    <t>SEVROLL Romeo II úchytová lišta 2,7m zlatá</t>
  </si>
  <si>
    <t>SEVROLL Rex úchytová lišta 2,7m oliva</t>
  </si>
  <si>
    <t>SEVROLL Prosper II úch lišta 2 7m oliva</t>
  </si>
  <si>
    <t>SEVROLL profil "U" na DTD 36mm oliva 3m</t>
  </si>
  <si>
    <t>SEVROLL profil "U" DTD 16mm 3m str</t>
  </si>
  <si>
    <t>SEVROLL profil "U" Mini na DTD 18mm oliva 3m</t>
  </si>
  <si>
    <t>SEVROLL profil "U" Decor 18mm 3m oliva</t>
  </si>
  <si>
    <t>SEVROLL profil "U" 18mm 3m oliva tmavá kartáčovaná</t>
  </si>
  <si>
    <t>SEVROLL profil "U" 18mm 3m oliva kartáčovaná</t>
  </si>
  <si>
    <t>SEVROLL Porto úchytová lišta 2,7m strieborn</t>
  </si>
  <si>
    <t>SEVROLL Porto úchytová lišta 2,7m oliva</t>
  </si>
  <si>
    <t>SEVROLL Polo úchytová lišta 10mm 2,7m oliva</t>
  </si>
  <si>
    <t>SEVROLL Polo úchytová lišta 10mm 2,5m strie</t>
  </si>
  <si>
    <t>SEVROLL Pax úchytová lišta 3m strieborná</t>
  </si>
  <si>
    <t>SEVROLL Optima spodné vedenie 6m surová</t>
  </si>
  <si>
    <t>SEVROLL Optima sada tlmičov P+L</t>
  </si>
  <si>
    <t>SEVROLL Optima horné vedenie 6m strieb</t>
  </si>
  <si>
    <t>SEVROLL obojstranná lepiaca páska 50mm 10</t>
  </si>
  <si>
    <t>SEVROLL Oaza II úchytová lišta 2,7m zlatá</t>
  </si>
  <si>
    <t>SEVROLL Maxim spojovacia lišta H25 2,5m oliv</t>
  </si>
  <si>
    <t>SEVROLL Maxim spojovacia lišta H25 1,8m oliv</t>
  </si>
  <si>
    <t>SEVROLL Maxim spojovacia lišta H18 2,5m oliv</t>
  </si>
  <si>
    <t>SEVROLL Maxim spojovacia lišta H18 1,8m oliv</t>
  </si>
  <si>
    <t>SEVROLL Maxim II spodné vedenie 4,3m oliva</t>
  </si>
  <si>
    <t>SEVROLL Maxim II spodné vedenie 3,5m oliva</t>
  </si>
  <si>
    <t>SEVROLL Maxim II spodné vedenie 2,5m oliva</t>
  </si>
  <si>
    <t>SEVROLL Maxim II maska 4,3m oliva</t>
  </si>
  <si>
    <t>SEVROLL Maxim horné vedenie 4,3m oliva</t>
  </si>
  <si>
    <t>SEVROLL Maxim horné vedenie 3,5m oliva</t>
  </si>
  <si>
    <t>SEVROLL Maxim horné vedenie 2,5m oliva</t>
  </si>
  <si>
    <t>SEVROLL maska Elegant II 4,05m zlatá</t>
  </si>
  <si>
    <t>SEVROLL maska Elegant II 3m zlatá</t>
  </si>
  <si>
    <t>SEVROLL maska Elegant II 2,35m zlatá</t>
  </si>
  <si>
    <t>SEVROLL maska Elegant II 1,7m zlatá</t>
  </si>
  <si>
    <t>SEVROLL Line spodné vedenie 2m alu surová</t>
  </si>
  <si>
    <t>SEVROLL Line sada kovania pre 2krídla- pravá</t>
  </si>
  <si>
    <t>SEVROLL Line sada kovania pre 2 krídla-ľavá</t>
  </si>
  <si>
    <t>SEVROLL Line horné vedenie 2m alu surová</t>
  </si>
  <si>
    <t>SEVROLL krycí profil Galaxy 6m</t>
  </si>
  <si>
    <t>SEVROLL krycia lišta Herkules Glass 2m strie</t>
  </si>
  <si>
    <t>SEVROLL karat úchytová lišta 2,7m oliva</t>
  </si>
  <si>
    <t>SEVROLL Julia II úch.lišta 2,7m zlatá</t>
  </si>
  <si>
    <t>SEVROLL Herkules tlmič 40-80kg</t>
  </si>
  <si>
    <t>SEVROLL Herkules sada kovania60kg, 3m</t>
  </si>
  <si>
    <t>SEVROLL Herkules sada kovania60kg, 2m</t>
  </si>
  <si>
    <t>SEVROLL Herkules sada kovania60kg, 2,4m</t>
  </si>
  <si>
    <t>SEVROLL Herkules sada kovania60kg, 1,8m</t>
  </si>
  <si>
    <t>SEVROLL Herkules sada kovania60kg, 1,5m</t>
  </si>
  <si>
    <t>SEVROLL Herkules sada kovania60kg, 1,2m</t>
  </si>
  <si>
    <t>SEVROLL Herkules sada kovania 60kg</t>
  </si>
  <si>
    <t>SEVROLL Herkules sada kovania120kg, 3m</t>
  </si>
  <si>
    <t>SEVROLL Herkules sada kovania120kg, 2m</t>
  </si>
  <si>
    <t>SEVROLL Herkules sada kovania120kg, 2,4m</t>
  </si>
  <si>
    <t>SEVROLL Herkules sada kovania120kg, 1,8m</t>
  </si>
  <si>
    <t>SEVROLL Herkules sada kovania120kg, 1,5m</t>
  </si>
  <si>
    <t>SEVROLL Herkules sada kovania120kg, 1,2m</t>
  </si>
  <si>
    <t>SEVROLL Herkules sada kovania 120kg</t>
  </si>
  <si>
    <t>SEVROLL Herkules Glass sada kov.100kg + 2m</t>
  </si>
  <si>
    <t>SEVROLL Gemini Gemini-2 úchytová lišta 2,7m</t>
  </si>
  <si>
    <t>SEVROLL Gemini horné vedenie 6m oliva tmavá</t>
  </si>
  <si>
    <t>SEVROLL Gemini horné vedenie 6m oliva kartáč</t>
  </si>
  <si>
    <t>SEVROLL Gemini horné vedenie 6m čierna kartá</t>
  </si>
  <si>
    <t>SEVROLL Gemini horné vedenie 1,7m čierna kar</t>
  </si>
  <si>
    <t>SEVROLL Focus II 16mm úchytová lišta 2,7m zlatá</t>
  </si>
  <si>
    <t>SEVROLL Fala úchytová lišta 10mm 2,70m oliva</t>
  </si>
  <si>
    <t>SEVROLL Fala úchytová lišta 10mm 2,5m strie</t>
  </si>
  <si>
    <t>SEVROLL Exclusive sada kovania ZPE18</t>
  </si>
  <si>
    <t>SEVROLL Exclusive horné vedenie 3m strieborn</t>
  </si>
  <si>
    <t>SEVROLL Exclusive horné vedenie 3,6m strieborná</t>
  </si>
  <si>
    <t>SEVROLL Exclusive horné vedenie 1,8m str.</t>
  </si>
  <si>
    <t>SEVROLL Exclusive horné vedenie 1,8m oliva</t>
  </si>
  <si>
    <t>SEVROLL Exclusive horné vedenie 1,2m oliva</t>
  </si>
  <si>
    <t>SEVROLL Everest vodiaca lišta 3m oliva</t>
  </si>
  <si>
    <t>SEVROLL Ergo 16 úchytová lišta 2,7m striebor</t>
  </si>
  <si>
    <t>SEVROLL Elegant II spodní vedení 3m bílá mat</t>
  </si>
  <si>
    <t>SEVROLL Doubler II spodné vedenie 4,05m zlat</t>
  </si>
  <si>
    <t>SEVROLL dorazový kartáč samolepící 6,7x4mm šedý</t>
  </si>
  <si>
    <t>SEVROLL Comfort spodné vedenie 4,05m striebo</t>
  </si>
  <si>
    <t>SEVROLL Comfort spodné vedenie 3m oliva</t>
  </si>
  <si>
    <t>SEVROLL Comfort spodné vedenie 1,7m oliva</t>
  </si>
  <si>
    <t>SEVROLL Comfort horné vedenie 6m strieborné</t>
  </si>
  <si>
    <t>SEVROLL Comfort horné vedenie 6m oliva</t>
  </si>
  <si>
    <t>SEVROLL -COMFORT HORNÉ VEDENI 4,05M STR</t>
  </si>
  <si>
    <t>SEVROLL Comfort horné vedenie 1,7m oliva</t>
  </si>
  <si>
    <t>SEVROLL Beta 18 úchytová lišta 2,70m oliva</t>
  </si>
  <si>
    <t>SEVROLL Beta 16 úchytová lišta 2,70m striebo</t>
  </si>
  <si>
    <t>SEVROLL Alfa II úchytová lišta 18mm 2,70m zlatá</t>
  </si>
  <si>
    <t>SEVROLL protiprachový kartáč samolepící 6,7x13mm šedý</t>
  </si>
  <si>
    <t>SEVROLL protiprachový kartáč samolep. 6,7x13mm</t>
  </si>
  <si>
    <t>SEVROLL dorazový kartáč samolepiaci 6,7x4mm</t>
  </si>
  <si>
    <t>SEVROLL Unicomfort II úch.lišta 2,7m str.</t>
  </si>
  <si>
    <t>SEVROLL uholník K2 Decor 3m oliva kartáč.</t>
  </si>
  <si>
    <t>SEVROLL uholník K2 Decor 2,35m oliva kartáč.</t>
  </si>
  <si>
    <t>SEVROLL uholník K2 Decor 1,7m oliva kartáčov</t>
  </si>
  <si>
    <t>SEVROLL uholník K2 3m čierna kartač</t>
  </si>
  <si>
    <t>SEVROLL Tytan úch.lišta 18mm 2,7m strieborná</t>
  </si>
  <si>
    <t>SEVROLL Tytan úch.lišta 18mm 2,7m oliva</t>
  </si>
  <si>
    <t>SEVROLL System 10 II úch.lišta 2,7m striebor</t>
  </si>
  <si>
    <t>SEVROLL System 10 II úch.lišta 2,7m oliva</t>
  </si>
  <si>
    <t>SEVROLL spojovacia lišta H18 3m oliva kartáč</t>
  </si>
  <si>
    <t>SEVROLL spojovacia lišta H18 3m oliva</t>
  </si>
  <si>
    <t>SEVROLL spoj.lišta H18 3m čierna kartáč</t>
  </si>
  <si>
    <t>SEVROLL spojovacia lišta H10 Decor 3m strieb</t>
  </si>
  <si>
    <t>SEVROLL spoj.lišta H10 3m čierna kartáč</t>
  </si>
  <si>
    <t>SEVROLL spojovacia lišta H08/18 3m strieborn</t>
  </si>
  <si>
    <t>SEVROLL spojovaciá lišta "T" 3m strieborná</t>
  </si>
  <si>
    <t>SEVROLL spojovaciá lišta "T" 3m oliva</t>
  </si>
  <si>
    <t>SEVROLL Romeo II úch.lišta 2,7m oliva</t>
  </si>
  <si>
    <t>SEVROLL Rex úchytová lišta 2,7m strieborná</t>
  </si>
  <si>
    <t>SEVROLL protiprach.kartáč zásuvný 4,8x13mm</t>
  </si>
  <si>
    <t>SEVROLL Prosper II úch.lišta 2,7m strieborná</t>
  </si>
  <si>
    <t>SEVROLL profil "U" pre DTD 18mm 3m striebor</t>
  </si>
  <si>
    <t>SEVROLL Polo úch.lišta 10mm 2,70m strieborná</t>
  </si>
  <si>
    <t>SEVROLL okrasná lišta S20 3m strieborná</t>
  </si>
  <si>
    <t>SEVROLL okrasná lišta S20 3m oliva</t>
  </si>
  <si>
    <t>SEVROLL okrasná lišta S10 3m strieborná</t>
  </si>
  <si>
    <t>SEVROLL okrasná lišta S10 3m oliva</t>
  </si>
  <si>
    <t>SEVROLL Oaza II úch.lišta 2,7m strieborná</t>
  </si>
  <si>
    <t>SEVROLL Oaza II úch. Lišta 2,7m oliva</t>
  </si>
  <si>
    <t>SEVROLL Minicomfort II úch.lišta 2,7m str.</t>
  </si>
  <si>
    <t>SEVROLL Micra horné/spod.vedenie 3m str.elox</t>
  </si>
  <si>
    <t>SEVROLL Micra hor/spod.vedenie 2,35m str.elo</t>
  </si>
  <si>
    <t>SEVROLL Micra horn/spod.vedenie 1,7m str.elo</t>
  </si>
  <si>
    <t>SEVROLL Maxim vod. Lišta 2,5m strieborná</t>
  </si>
  <si>
    <t>SEVROLL Maxim sada líšt pre 3 dv. 2,5m str.</t>
  </si>
  <si>
    <t>SEVROLL Maxim II spodné vedenie 2,5m str.</t>
  </si>
  <si>
    <t>SEVROLL Maxim horné vedenie 2,5m str.</t>
  </si>
  <si>
    <t>SEVROLL Master úch.lišta 3m strieborná</t>
  </si>
  <si>
    <t>SEVROLL krycí profil Galaxy 3m</t>
  </si>
  <si>
    <t>SEVROLL krycí profil Galaxy 2m</t>
  </si>
  <si>
    <t>SEVROLL Karat úch.lišta 2,7m str</t>
  </si>
  <si>
    <t>SEVROLL Julia II úch.lišta 2,7m strieborná</t>
  </si>
  <si>
    <t>SEVROLL Julia II úch.lišta 2,7m oliva</t>
  </si>
  <si>
    <t>SEVROLL horný vozík Simple(18mm)symetr.(L+P)</t>
  </si>
  <si>
    <t>SEVROLL horná vodiaca lišta 3m oliva kartáč.</t>
  </si>
  <si>
    <t>SEVROLL VODIACA LIŠTA 3M čierna KARTÁČ.</t>
  </si>
  <si>
    <t>SEVROLL horná vodiaca lišta 2,35m oliva kart</t>
  </si>
  <si>
    <t>SEVROLL VODIACA LIŠTA 2,35M čierna KARTÁČ</t>
  </si>
  <si>
    <t>SEVROLL horná vodiaca lišta 1,7m oliva kart</t>
  </si>
  <si>
    <t>SEVROLL Hide N spodné vedenie Hide N 3m stri</t>
  </si>
  <si>
    <t>SEVROLL Hide M spodné vedenie Hide M 3m stri</t>
  </si>
  <si>
    <t>SEVROLL Gemini-2 úch.lišta 2,7m strieborná</t>
  </si>
  <si>
    <t>SEVROLL Gemini-2 úch.lišta 2,7m oliva</t>
  </si>
  <si>
    <t>SEVROLL Gemini horné vedenie 6m oliva</t>
  </si>
  <si>
    <t>SEVROLL Gemini horné vedenie 4,05m čierna ka</t>
  </si>
  <si>
    <t>SEVROLL Gemini horné vedenie 3m čierna kartá</t>
  </si>
  <si>
    <t>SEVROLL Gemini horné vedenie 2,35m čierna ka</t>
  </si>
  <si>
    <t>SEVROLL Future II úch.lišta 2,7m strieborná</t>
  </si>
  <si>
    <t>SEVROLL Focus 18mm úch.lišta 2,7m strieborná</t>
  </si>
  <si>
    <t>SEVROLL Fala úch.lišta 10mm 2,70m strieborná</t>
  </si>
  <si>
    <t>SEVROLL Everest vodiaca lišta 3m strieborná</t>
  </si>
  <si>
    <t>SEVROLL Doubler II spodné vedenie 3m str.</t>
  </si>
  <si>
    <t>SEVROLL Doubler II spodné vedenie 2,35m str.</t>
  </si>
  <si>
    <t>SEVROLL Doubler II maska 2,35m stieborná</t>
  </si>
  <si>
    <t>SEVROLL dorazový kartáč samolep. 4,8x4mm</t>
  </si>
  <si>
    <t>SEVROLL Comfort horné vedenie 3m strieborné</t>
  </si>
  <si>
    <t>SEVROLL Comfort horné vedenie 2,35m strieborná</t>
  </si>
  <si>
    <t>SEVROLL Comfort 18 II úch.lišta 2,7m str,</t>
  </si>
  <si>
    <t>!!! V prípade použitia centrálneho tlmiča musíte znížiť výšku krídla (len toho, kde je centrálny tlmič umiestnený) o ďalší 4 mm !!!</t>
  </si>
  <si>
    <t>Přecenení 4_2020</t>
  </si>
  <si>
    <t>SEVROLL 20385 držák spodního vedení Gemini</t>
  </si>
  <si>
    <t>SEVROLL 20385 alsó vezető tartó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</si>
  <si>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</si>
  <si>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</si>
  <si>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</si>
  <si>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</si>
  <si>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</si>
  <si>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</si>
  <si>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</si>
  <si>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</si>
  <si>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SEVROLL 20144 vrták stupňovitý 6,5/9,5mm (akce)</t>
  </si>
  <si>
    <t>SEVROLL 20173 montážní přípravek pro lamino 10mm malý (akce)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</si>
  <si>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</si>
  <si>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</si>
  <si>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</si>
  <si>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</si>
  <si>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</si>
  <si>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</si>
  <si>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</si>
  <si>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</si>
  <si>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</si>
  <si>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</si>
  <si>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</si>
  <si>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</si>
  <si>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</si>
  <si>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</si>
  <si>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</si>
  <si>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</si>
  <si>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04833 Pax XL spodní krycí lišta 3m 4mm černá mat</t>
  </si>
  <si>
    <t>SEVROLL 05301 horní vodící lišta 1,7m černá mat</t>
  </si>
  <si>
    <t>K-Akční set 20x madlo Rekord stříbrná + 10x sada horních a spodních vozíků</t>
  </si>
  <si>
    <t>SEVROLL 02385 Oxford úchytová lišta 2,7m stříbrná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</si>
  <si>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</si>
  <si>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</si>
  <si>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</si>
  <si>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</si>
  <si>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</si>
  <si>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</si>
  <si>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</si>
  <si>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</si>
  <si>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</si>
  <si>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</si>
  <si>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</si>
  <si>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</si>
  <si>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</si>
  <si>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</si>
  <si>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</si>
  <si>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</si>
  <si>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SEVROLL 05325 Pax úchytová lišta 2,7m černá mat</t>
  </si>
  <si>
    <t>SEVROLL 05326 Pax úchytová lišta 3m černá mat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</si>
  <si>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</si>
  <si>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</si>
  <si>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</si>
  <si>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</si>
  <si>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</si>
  <si>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K-SEVROLL sada vozíků pro 2 křídla 18mm + šablona</t>
  </si>
  <si>
    <t>SEVROLL 03939 spojovací lišta Simple/Blue H25 3m (16mm) silver</t>
  </si>
  <si>
    <t>SEVROLL 03938 spojovací lišta Simple/Blue H25 3m (16mm) oliva</t>
  </si>
  <si>
    <t>SEVROLL 03607 Gemini úchytová lišta 2,7m černá mat</t>
  </si>
  <si>
    <t>SEVROLL 04884 reklamní dvířko Blue 10 (8ks)</t>
  </si>
  <si>
    <t>SEVROLL 04416 Pax XL úchytová lišta 2,7m bílá lesk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</si>
  <si>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</si>
  <si>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</si>
  <si>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</si>
  <si>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</si>
  <si>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05166 maska Elegant II 6m bílá mat</t>
  </si>
  <si>
    <t>SEVROLL 05163 maska Elegant II 1,7m bílá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</si>
  <si>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</si>
  <si>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</si>
  <si>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</si>
  <si>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</si>
  <si>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</si>
  <si>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</si>
  <si>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</si>
  <si>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</si>
  <si>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</si>
  <si>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</si>
  <si>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</si>
  <si>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</si>
  <si>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</si>
  <si>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SEVROLL 10182 sada Fold pro 2 křídla levá</t>
  </si>
  <si>
    <t>SEVROLL 10181 sada Fold pro 2 křídla pravá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</si>
  <si>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</si>
  <si>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</si>
  <si>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</si>
  <si>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</si>
  <si>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</si>
  <si>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</si>
  <si>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</si>
  <si>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</si>
  <si>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</si>
  <si>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</si>
  <si>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</si>
  <si>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</si>
  <si>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SEVROLL 02975 Maxim horní vodící lišta 1,8m oliva</t>
  </si>
  <si>
    <t>SEVROLL 02970 Maxim spodní krycí lišta 1,8m 18mm oliva</t>
  </si>
  <si>
    <t>SEVROLL 04387 Harmony sada kování pro dvoje dveře 1800mm, 18 - 45mm, 60 kg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</si>
  <si>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</si>
  <si>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</si>
  <si>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</si>
  <si>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05043 reklamní skládací stolička malá 27cm</t>
  </si>
  <si>
    <t>SEVROLL 05044 reklamní skládací stolička velká 39cm</t>
  </si>
  <si>
    <t>SEVROLL 05319 maska Elegant II 3m černá mat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</si>
  <si>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</si>
  <si>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</si>
  <si>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</si>
  <si>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</si>
  <si>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</si>
  <si>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</si>
  <si>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</si>
  <si>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</si>
  <si>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</si>
  <si>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</si>
  <si>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</si>
  <si>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</si>
  <si>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</si>
  <si>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</si>
  <si>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</si>
  <si>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</si>
  <si>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</si>
  <si>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</si>
  <si>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</si>
  <si>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</si>
  <si>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</si>
  <si>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</si>
  <si>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</si>
  <si>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</si>
  <si>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</si>
  <si>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</si>
  <si>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</si>
  <si>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</si>
  <si>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</si>
  <si>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</si>
  <si>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</si>
  <si>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</si>
  <si>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</si>
  <si>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</si>
  <si>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</si>
  <si>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</si>
  <si>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SEVROLL 219-047 držák horního vedení pro lamino 16 - 25mm</t>
  </si>
  <si>
    <t>SEVROLL 214-694 krycí lišta Herkules II 1,8m stříbrná</t>
  </si>
  <si>
    <t>K-SEV-sada vozíků pro 2 křídla 18mm+šablona</t>
  </si>
  <si>
    <t>SEVROLL Prosper II úchytová lišta 2,8m oliva</t>
  </si>
  <si>
    <t>SEVROLL 222883 houba na odstraňování malých škrábanců u stříbrných alu profilů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</si>
  <si>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</si>
  <si>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</si>
  <si>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</si>
  <si>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</si>
  <si>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</si>
  <si>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</si>
  <si>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</si>
  <si>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</si>
  <si>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</si>
  <si>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221-300 sada Herkules plus 25kg HP2/25 1,2m</t>
  </si>
  <si>
    <t>K-Akční set 20x madlo Era stříbrná + 10x sada horních a spodních vozíků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</si>
  <si>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</si>
  <si>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</si>
  <si>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</si>
  <si>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</si>
  <si>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</si>
  <si>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</si>
  <si>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</si>
  <si>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</si>
  <si>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</si>
  <si>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</si>
  <si>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</si>
  <si>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SEVROLL 03921 profil "U" Mini 36 pro DTD 2x18mm stříbrná 3m</t>
  </si>
  <si>
    <t>SEVROLL 05176 Gemini horní vedení 2,35m černá lesk</t>
  </si>
  <si>
    <t>SEVROLL 05156 Elegant II spodní vedení 2,35m černá lesk</t>
  </si>
  <si>
    <t>SEVROLL 05168 maska Elegant II 2,35m černá lesk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</si>
  <si>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</si>
  <si>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</si>
  <si>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</si>
  <si>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</si>
  <si>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</si>
  <si>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</si>
  <si>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</si>
  <si>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04414 Pax XL úchytová lišta 2,7m stříbrná</t>
  </si>
  <si>
    <t>SEVROLL 04421 Pax XL horní vodící lišta 3m stříbrná</t>
  </si>
  <si>
    <t>SEVROLL 20167 těsnění pro profil Pax XL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</si>
  <si>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</si>
  <si>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</si>
  <si>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</si>
  <si>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</si>
  <si>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</si>
  <si>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</si>
  <si>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</si>
  <si>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</si>
  <si>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SEVROLL 05292 profil "U" pro lamino 18mm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</si>
  <si>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</si>
  <si>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</si>
  <si>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</si>
  <si>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</si>
  <si>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</si>
  <si>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</si>
  <si>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</si>
  <si>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</si>
  <si>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</si>
  <si>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</si>
  <si>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</si>
  <si>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</si>
  <si>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</si>
  <si>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</si>
  <si>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</si>
  <si>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</si>
  <si>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</si>
  <si>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</si>
  <si>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</si>
  <si>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SEVROLL 01508 Single horní vedení 6m oliva</t>
  </si>
  <si>
    <t>SEVROLL 10230 spodní vozík WD10 V Duo 60kg (2 ks)</t>
  </si>
  <si>
    <t>SEVROLL 03199 Top horní vedení jednoduché 2,35m stříbrná</t>
  </si>
  <si>
    <t>K-SEVROLL sada kování pro interiérové dveře Simple 18 Galaxy 50kg brzda + tlumič</t>
  </si>
  <si>
    <t>K-SEVROLL sada kování pro interiérové dveře Simple 18 Galaxy 50kg  2x tlumič</t>
  </si>
  <si>
    <t>SEVROLL 214-380 Herkules plus horní vedení 1,2m</t>
  </si>
  <si>
    <t>SEVROLL 215-093 vozík HP40 Herkules plus</t>
  </si>
  <si>
    <t>SEVROLL 134-121 závěs dveří 25kg</t>
  </si>
  <si>
    <t>SEVROLL 03889 Gemini horní vedení 3m bílá mat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</si>
  <si>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</si>
  <si>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</si>
  <si>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</si>
  <si>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</si>
  <si>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</si>
  <si>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</si>
  <si>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</si>
  <si>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</si>
  <si>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</si>
  <si>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</si>
  <si>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</si>
  <si>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</si>
  <si>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</si>
  <si>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</si>
  <si>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</si>
  <si>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</si>
  <si>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</si>
  <si>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</si>
  <si>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</si>
  <si>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</si>
  <si>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</si>
  <si>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</si>
  <si>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</si>
  <si>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Akční set 20x madlo Era stříbrná + 10x sada horních a spodních vozíků</t>
  </si>
  <si>
    <t>SEVROLL 05307 Fox II úchytová lišta 2,7m černá mat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</si>
  <si>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</si>
  <si>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</si>
  <si>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</si>
  <si>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</si>
  <si>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</si>
  <si>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</si>
  <si>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</si>
  <si>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</si>
  <si>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</si>
  <si>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</si>
  <si>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</si>
  <si>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</si>
  <si>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</si>
  <si>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</si>
  <si>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</si>
  <si>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</si>
  <si>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</si>
  <si>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</si>
  <si>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</si>
  <si>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</si>
  <si>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</si>
  <si>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V-SEVROLL okrasná lišta S10 3m stříbrná</t>
  </si>
  <si>
    <t>V-SEVROLL okrasná lišta S20 3m stříbrná</t>
  </si>
  <si>
    <t>SEVROLL 10024-SV ZR18 sada pro rozevírací dveře</t>
  </si>
  <si>
    <t>SEVROLL 20265-SV sada kování pro tlumič Mini</t>
  </si>
  <si>
    <t>Vzorník úchytových lišt šanon PRODEJ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</si>
  <si>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</si>
  <si>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</si>
  <si>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</si>
  <si>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</si>
  <si>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</si>
  <si>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</si>
  <si>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SEVROLL 10066-SV sada kování ZSE-10</t>
  </si>
  <si>
    <t>MSE-spodní vozík pro DTD 18mm</t>
  </si>
  <si>
    <t>Vzorník úchytových lišt 2017 šanon PRODEJ</t>
  </si>
  <si>
    <t>SEVROLL 05315 Gemini horní vedení 3m černá mat</t>
  </si>
  <si>
    <t>SEVROLL 05310 Elegant II spodní vedení 3m černá mat</t>
  </si>
  <si>
    <t>SEVROLL 05305 Alfa II úchytová lišta 18mm 2,7m černá mat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</si>
  <si>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</si>
  <si>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</si>
  <si>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</si>
  <si>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</si>
  <si>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</si>
  <si>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</si>
  <si>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</si>
  <si>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</si>
  <si>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</si>
  <si>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</si>
  <si>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</si>
  <si>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</si>
  <si>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</si>
  <si>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</si>
  <si>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</si>
  <si>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</si>
  <si>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</si>
  <si>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</si>
  <si>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</si>
  <si>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</si>
  <si>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</si>
  <si>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</si>
  <si>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</si>
  <si>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</si>
  <si>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</si>
  <si>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</si>
  <si>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</si>
  <si>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</si>
  <si>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</si>
  <si>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</si>
  <si>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</si>
  <si>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</si>
  <si>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</si>
  <si>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</si>
  <si>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</si>
  <si>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</si>
  <si>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</si>
  <si>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</si>
  <si>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</si>
  <si>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</si>
  <si>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</si>
  <si>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</si>
  <si>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</si>
  <si>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</si>
  <si>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</si>
  <si>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</si>
  <si>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</si>
  <si>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</si>
  <si>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</si>
  <si>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</si>
  <si>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</si>
  <si>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</si>
  <si>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</si>
  <si>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</si>
  <si>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</si>
  <si>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</si>
  <si>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</si>
  <si>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</si>
  <si>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</si>
  <si>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</si>
  <si>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</si>
  <si>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</si>
  <si>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</si>
  <si>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</si>
  <si>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</si>
  <si>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</si>
  <si>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</si>
  <si>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</si>
  <si>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</si>
  <si>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</si>
  <si>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</si>
  <si>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</si>
  <si>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</si>
  <si>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</si>
  <si>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</si>
  <si>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</si>
  <si>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</si>
  <si>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</si>
  <si>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</si>
  <si>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</si>
  <si>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</si>
  <si>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</si>
  <si>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</si>
  <si>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</si>
  <si>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</si>
  <si>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</si>
  <si>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</si>
  <si>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</si>
  <si>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</si>
  <si>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</si>
  <si>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</si>
  <si>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</si>
  <si>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</si>
  <si>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</si>
  <si>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</si>
  <si>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</si>
  <si>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</si>
  <si>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</si>
  <si>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</si>
  <si>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</si>
  <si>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</si>
  <si>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</si>
  <si>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</si>
  <si>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</si>
  <si>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</si>
  <si>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</si>
  <si>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</si>
  <si>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</si>
  <si>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</si>
  <si>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</si>
  <si>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</si>
  <si>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</si>
  <si>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</si>
  <si>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</si>
  <si>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</si>
  <si>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</si>
  <si>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</si>
  <si>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</si>
  <si>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</si>
  <si>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</si>
  <si>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</si>
  <si>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</si>
  <si>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</si>
  <si>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</si>
  <si>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</si>
  <si>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</si>
  <si>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</si>
  <si>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</si>
  <si>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</si>
  <si>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</si>
  <si>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</si>
  <si>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</si>
  <si>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</si>
  <si>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</si>
  <si>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</si>
  <si>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</si>
  <si>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</si>
  <si>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</si>
  <si>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</si>
  <si>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</si>
  <si>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</si>
  <si>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</si>
  <si>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</si>
  <si>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</si>
  <si>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</si>
  <si>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</si>
  <si>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</si>
  <si>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</si>
  <si>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</si>
  <si>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</si>
  <si>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SEVROLL 214-820 U profile ocelový 6m stříbrný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</si>
  <si>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</si>
  <si>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</si>
  <si>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</si>
  <si>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</si>
  <si>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</si>
  <si>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SEVROLL Alfa II úchytová lišta 100mm oliva new (vzorek)</t>
  </si>
  <si>
    <t>SEVROLL 01257  ZR10 sada pro rozevírací dveře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</si>
  <si>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</si>
  <si>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</si>
  <si>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</si>
  <si>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</si>
  <si>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</si>
  <si>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</si>
  <si>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</si>
  <si>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</si>
  <si>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</si>
  <si>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</si>
  <si>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</si>
  <si>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</si>
  <si>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</si>
  <si>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</si>
  <si>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</si>
  <si>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</si>
  <si>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</si>
  <si>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</si>
  <si>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</si>
  <si>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</si>
  <si>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</si>
  <si>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</si>
  <si>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</si>
  <si>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</si>
  <si>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</si>
  <si>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</si>
  <si>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</si>
  <si>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</si>
  <si>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</si>
  <si>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</si>
  <si>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</si>
  <si>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</si>
  <si>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</si>
  <si>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</si>
  <si>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</si>
  <si>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</si>
  <si>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</si>
  <si>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</si>
  <si>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</si>
  <si>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</si>
  <si>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</si>
  <si>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</si>
  <si>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</si>
  <si>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</si>
  <si>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</si>
  <si>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K- Akciós szett 20x fog.profil Rekord ezüst + 10x alsó és felső görgő szett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</si>
  <si>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</si>
  <si>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</si>
  <si>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</si>
  <si>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</si>
  <si>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</si>
  <si>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</si>
  <si>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</si>
  <si>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</si>
  <si>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</si>
  <si>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</si>
  <si>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</si>
  <si>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</si>
  <si>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</si>
  <si>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</si>
  <si>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</si>
  <si>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</si>
  <si>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</si>
  <si>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</si>
  <si>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</si>
  <si>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</si>
  <si>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</si>
  <si>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</si>
  <si>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</si>
  <si>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</si>
  <si>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összek.prof.Simple/Blue H25 3m(16mm)</t>
  </si>
  <si>
    <t>SEVROLL Gemini fogantyú profil 2,7m matt feket</t>
  </si>
  <si>
    <t>SEVROLL reklám ajtóminta Blue 10 (8 db)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</si>
  <si>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</si>
  <si>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</si>
  <si>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</si>
  <si>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</si>
  <si>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</si>
  <si>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takaró profil Elegant II 6m matt fehér</t>
  </si>
  <si>
    <t>SEVROLL 05163 takaró profil Elegant II 1,7m matt fehér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</si>
  <si>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</si>
  <si>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</si>
  <si>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</si>
  <si>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</si>
  <si>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</si>
  <si>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</si>
  <si>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</si>
  <si>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</si>
  <si>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</si>
  <si>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</si>
  <si>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</si>
  <si>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</si>
  <si>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</si>
  <si>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szett Fold 2 ajtószárnyra balos</t>
  </si>
  <si>
    <t>SEVROLL szett Fold 2 ajtószárnyra jobbos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</si>
  <si>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</si>
  <si>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</si>
  <si>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</si>
  <si>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</si>
  <si>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</si>
  <si>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</si>
  <si>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</si>
  <si>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</si>
  <si>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</si>
  <si>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</si>
  <si>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</si>
  <si>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</si>
  <si>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</si>
  <si>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</si>
  <si>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</si>
  <si>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</si>
  <si>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10224  Micra V vasalat szett 1 ajtószárnyra</t>
  </si>
  <si>
    <t>SEVROLL reklám sablon görgőkhöz 18 mm-es RL-hez</t>
  </si>
  <si>
    <t>SEVROLL 05319 takaró profil Elegant II 3m matt fekete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</si>
  <si>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</si>
  <si>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</si>
  <si>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</si>
  <si>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</si>
  <si>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</si>
  <si>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</si>
  <si>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</si>
  <si>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</si>
  <si>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</si>
  <si>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</si>
  <si>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</si>
  <si>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</si>
  <si>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</si>
  <si>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</si>
  <si>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</si>
  <si>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</si>
  <si>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</si>
  <si>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</si>
  <si>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</si>
  <si>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</si>
  <si>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</si>
  <si>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</si>
  <si>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</si>
  <si>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</si>
  <si>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</si>
  <si>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</si>
  <si>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</si>
  <si>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</si>
  <si>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</si>
  <si>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</si>
  <si>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</si>
  <si>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</si>
  <si>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tartó elem felső vezetéshez HPL-re 16 - 25mm</t>
  </si>
  <si>
    <t>Takaró léc  Sevroll  Herkules II 1,8m ezüst</t>
  </si>
  <si>
    <t>SEVROLL Prosper II fogantyú profil 2,8m oliva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</si>
  <si>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</si>
  <si>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</si>
  <si>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</si>
  <si>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</si>
  <si>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</si>
  <si>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</si>
  <si>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</si>
  <si>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</si>
  <si>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</si>
  <si>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</si>
  <si>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SEVROLL ZR-18 Unicomfort szett szétnyíló ajtóhoz</t>
  </si>
  <si>
    <t>SEVROLL szett Herkules plus 25kg HP2/25 1,2m</t>
  </si>
  <si>
    <t>K- Akciós szett 20x fog.profil Era ezüst + 10x alsó és felső görgő szett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</si>
  <si>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</si>
  <si>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</si>
  <si>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</si>
  <si>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</si>
  <si>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</si>
  <si>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K-SEVROLL minták Fogantyúk 2021 - kiegészítő készlet 180245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</si>
  <si>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</si>
  <si>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</si>
  <si>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</si>
  <si>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</si>
  <si>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</si>
  <si>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</si>
  <si>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</si>
  <si>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</si>
  <si>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</si>
  <si>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</si>
  <si>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</si>
  <si>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felső sín tartó laminóhoz 25 - 45mm</t>
  </si>
  <si>
    <t>SEVROLL "U" profil rétegelt lemezhez 18mm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</si>
  <si>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</si>
  <si>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</si>
  <si>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</si>
  <si>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</si>
  <si>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</si>
  <si>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</si>
  <si>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</si>
  <si>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</si>
  <si>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</si>
  <si>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</si>
  <si>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</si>
  <si>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</si>
  <si>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</si>
  <si>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</si>
  <si>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</si>
  <si>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</si>
  <si>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</si>
  <si>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</si>
  <si>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</si>
  <si>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SEVROLL Single felső vezetés 6m oliva</t>
  </si>
  <si>
    <t>SEVROLL alsó görgő WD10 V Duo 60kg (2 db)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</si>
  <si>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</si>
  <si>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</si>
  <si>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</si>
  <si>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</si>
  <si>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</si>
  <si>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</si>
  <si>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03889Gemini felső vezetés 3m fehér matt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</si>
  <si>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</si>
  <si>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</si>
  <si>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</si>
  <si>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</si>
  <si>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</si>
  <si>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</si>
  <si>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</si>
  <si>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</si>
  <si>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</si>
  <si>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</si>
  <si>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</si>
  <si>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</si>
  <si>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</si>
  <si>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</si>
  <si>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</si>
  <si>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</si>
  <si>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</si>
  <si>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</si>
  <si>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</si>
  <si>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MSE-imbusz kulcs SEVROLL</t>
  </si>
  <si>
    <t>SEVROLL Simple sablon a görgőkhöz 18mm rétegeltlemezhez</t>
  </si>
  <si>
    <t>SEVROLL Fox II fogantyú profil 2,7m matt fekete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</si>
  <si>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</si>
  <si>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</si>
  <si>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</si>
  <si>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</si>
  <si>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</si>
  <si>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</si>
  <si>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</si>
  <si>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</si>
  <si>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</si>
  <si>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</si>
  <si>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</si>
  <si>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</si>
  <si>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</si>
  <si>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</si>
  <si>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</si>
  <si>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</si>
  <si>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</si>
  <si>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</si>
  <si>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</si>
  <si>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</si>
  <si>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</si>
  <si>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</si>
  <si>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</si>
  <si>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</si>
  <si>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V-SEVROLL dísz profil S10 3m ezüst</t>
  </si>
  <si>
    <t>V-SEVROLL dísz profil S20 3m ezüst</t>
  </si>
  <si>
    <t>SEVROLL ZR18 szett szétnyíló ajtóhoz</t>
  </si>
  <si>
    <t>SEVROLL vasalat szett Mini csillapítóhoz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</si>
  <si>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</si>
  <si>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</si>
  <si>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</si>
  <si>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</si>
  <si>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</si>
  <si>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</si>
  <si>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</si>
  <si>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Fogantyú profil minta 2017 irattartó ÁRUSÍTÁS</t>
  </si>
  <si>
    <t>SEVROLL 05315 Gemini felső vezetés 3m matt fekete</t>
  </si>
  <si>
    <t>SEVROLL 05310 Elegant II alsó vezetés 3m matt fekete</t>
  </si>
  <si>
    <t>SEVROLL 05305 Alfa II profil 18mm 2,7m  matt fekete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</si>
  <si>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</si>
  <si>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</si>
  <si>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</si>
  <si>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</si>
  <si>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</si>
  <si>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</si>
  <si>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</si>
  <si>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</si>
  <si>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</si>
  <si>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</si>
  <si>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</si>
  <si>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</si>
  <si>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</si>
  <si>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</si>
  <si>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</si>
  <si>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</si>
  <si>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</si>
  <si>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</si>
  <si>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</si>
  <si>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</si>
  <si>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</si>
  <si>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</si>
  <si>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</si>
  <si>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</si>
  <si>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</si>
  <si>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</si>
  <si>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</si>
  <si>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</si>
  <si>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</si>
  <si>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</si>
  <si>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</si>
  <si>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</si>
  <si>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</si>
  <si>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</si>
  <si>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</si>
  <si>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</si>
  <si>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</si>
  <si>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</si>
  <si>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</si>
  <si>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</si>
  <si>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</si>
  <si>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</si>
  <si>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</si>
  <si>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</si>
  <si>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</si>
  <si>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</si>
  <si>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</si>
  <si>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</si>
  <si>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</si>
  <si>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</si>
  <si>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</si>
  <si>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</si>
  <si>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</si>
  <si>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</si>
  <si>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</si>
  <si>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</si>
  <si>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</si>
  <si>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</si>
  <si>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</si>
  <si>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</si>
  <si>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</si>
  <si>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</si>
  <si>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</si>
  <si>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</si>
  <si>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</si>
  <si>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</si>
  <si>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</si>
  <si>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</si>
  <si>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</si>
  <si>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</si>
  <si>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</si>
  <si>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</si>
  <si>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</si>
  <si>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</si>
  <si>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</si>
  <si>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</si>
  <si>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</si>
  <si>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</si>
  <si>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</si>
  <si>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</si>
  <si>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</si>
  <si>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</si>
  <si>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</si>
  <si>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</si>
  <si>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</si>
  <si>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</si>
  <si>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</si>
  <si>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</si>
  <si>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</si>
  <si>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</si>
  <si>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</si>
  <si>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</si>
  <si>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</si>
  <si>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</si>
  <si>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</si>
  <si>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</si>
  <si>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</si>
  <si>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</si>
  <si>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</si>
  <si>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</si>
  <si>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</si>
  <si>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</si>
  <si>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</si>
  <si>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</si>
  <si>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</si>
  <si>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</si>
  <si>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</si>
  <si>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</si>
  <si>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</si>
  <si>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</si>
  <si>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</si>
  <si>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</si>
  <si>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</si>
  <si>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</si>
  <si>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</si>
  <si>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</si>
  <si>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</si>
  <si>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</si>
  <si>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</si>
  <si>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</si>
  <si>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</si>
  <si>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</si>
  <si>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</si>
  <si>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</si>
  <si>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</si>
  <si>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</si>
  <si>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</si>
  <si>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</si>
  <si>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</si>
  <si>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</si>
  <si>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</si>
  <si>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</si>
  <si>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</si>
  <si>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</si>
  <si>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</si>
  <si>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</si>
  <si>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</si>
  <si>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</si>
  <si>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</si>
  <si>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</si>
  <si>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</si>
  <si>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</si>
  <si>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</si>
  <si>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</si>
  <si>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</si>
  <si>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</si>
  <si>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</si>
  <si>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</si>
  <si>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</si>
  <si>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U profile acél 6m ezüst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</si>
  <si>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</si>
  <si>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</si>
  <si>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</si>
  <si>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</si>
  <si>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</si>
  <si>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</si>
  <si>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</si>
  <si>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</si>
  <si>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</si>
  <si>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</si>
  <si>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</si>
  <si>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ZR10 szett szétnyíló ajtóhoz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</si>
  <si>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</si>
  <si>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</si>
  <si>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</si>
  <si>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</si>
  <si>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</si>
  <si>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</si>
  <si>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</si>
  <si>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</si>
  <si>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</si>
  <si>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</si>
  <si>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</si>
  <si>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</si>
  <si>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</si>
  <si>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</si>
  <si>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Elegant spod.ved. 150mm biela mat</t>
  </si>
  <si>
    <t>SEVROLL profil "U" pro lamino 18mm 3m čierna mat</t>
  </si>
  <si>
    <t>SEVROLL Porto úchytová lišta 3m strieborn</t>
  </si>
  <si>
    <t>SEVROLL Porto úchytová lišta 3m oliva</t>
  </si>
  <si>
    <t>SEVROLL Maxim horné vedenie 1,8m oliva</t>
  </si>
  <si>
    <t>SEVROLL spojovacia lišta Simple/Blue H25 3m</t>
  </si>
  <si>
    <t>SEVROLL reklamné dvierko Blue 10 (8ks)</t>
  </si>
  <si>
    <t>SEVROLL Eden hornej vedenie 2,35 m strieborná</t>
  </si>
  <si>
    <t>SEVROLL Eden sada kovania pre dvoje dvere</t>
  </si>
  <si>
    <t>SEVROLL 02986 Maxim II spodné vedenie 1,8m oliva</t>
  </si>
  <si>
    <t>SEVROLL sada kovania ZSE-18 PLUS PRINCE</t>
  </si>
  <si>
    <t>SEVROLL Maxim spodná krycia lišta 1,8m 18mm oliva</t>
  </si>
  <si>
    <t>SEVROLL Harmony sada kovania pre dvoje dvere</t>
  </si>
  <si>
    <t>SEVROLL Blue horné vedenie 2,5m oliva new new</t>
  </si>
  <si>
    <t>SEVROLL Blue-V spodné vedenie 2,5m oliva new new</t>
  </si>
  <si>
    <t>SEVROLL Blue-V spodné vedenie 1,5m oliva new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</si>
  <si>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</si>
  <si>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</si>
  <si>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</si>
  <si>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</si>
  <si>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</si>
  <si>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Maxim horné vedenie 1,8m oliva new new</t>
  </si>
  <si>
    <t>SEVROLL Porto úchytová lišta 3m oliva new new</t>
  </si>
  <si>
    <t>SEVROLL Faworyt II úchytová liš.100mm biela mat</t>
  </si>
  <si>
    <t>SEVROLL 00029-A 161 U PROFna DTD 18mm-3m, OLIVA new</t>
  </si>
  <si>
    <t>SEVROLL horná vodiaca lišta Simple/Blue 3m (pre lamino 10mm) oliva new</t>
  </si>
  <si>
    <t>SEVROLL ZR-18 Unicomfort sada pre rozbalovacie dvere</t>
  </si>
  <si>
    <t>K-SEVROLL vzorky Úchytové lišty 2021 - doplňujúca súprava k 180245</t>
  </si>
  <si>
    <t>SEVROLL profil "U" Mini 36 na DTD 2x18mm strieborná 3m</t>
  </si>
  <si>
    <t>SEVROLL Top horné vedenie jednoduché 2,35m strieborná</t>
  </si>
  <si>
    <t>SEVROLL ROMEO II ÚCH.LIŠTA 2,7 M STR.</t>
  </si>
  <si>
    <t>MSE-imbusový klúc SEVROLL</t>
  </si>
  <si>
    <t>V-SEVROLL okrasná lišta S10 3m strieborná</t>
  </si>
  <si>
    <t>V-SEVROLL okrasná lišta S20 3m strieborná</t>
  </si>
  <si>
    <t>SEVROLL KOMPLET pre ROZVR. DV. ZR18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</si>
  <si>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</si>
  <si>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</si>
  <si>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</si>
  <si>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</si>
  <si>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</si>
  <si>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</si>
  <si>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</si>
  <si>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</si>
  <si>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</si>
  <si>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</si>
  <si>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</si>
  <si>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</si>
  <si>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</si>
  <si>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</si>
  <si>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</si>
  <si>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</si>
  <si>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Gemini-2 úch.lišta 2,7m oliva new</t>
  </si>
  <si>
    <t>SEVROLL System 10 II úch.lišta 2,7m oliva new</t>
  </si>
  <si>
    <t>SEVROLL Hide N spodné vedenie 6m oliva new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</si>
  <si>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</si>
  <si>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</si>
  <si>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</si>
  <si>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</si>
  <si>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</si>
  <si>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</si>
  <si>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</si>
  <si>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</si>
  <si>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</si>
  <si>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</si>
  <si>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</si>
  <si>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</si>
  <si>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</si>
  <si>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</si>
  <si>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Master úchytová lišta 2,7m oliva new</t>
  </si>
  <si>
    <t>SEVROLL Master úchytová lišta 3m oliva new</t>
  </si>
  <si>
    <t>SEVROLL spojovacia lišta H18 3m oliva new</t>
  </si>
  <si>
    <t>SEVROLL SMART spodné vedenia 1,7 M oliva new</t>
  </si>
  <si>
    <t>SEVROLL SMART spodné vedenia 2,35M oliva new</t>
  </si>
  <si>
    <t>SEVROLL SMART SPODNÉ VEDENIE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</si>
  <si>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</si>
  <si>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</si>
  <si>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</si>
  <si>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</si>
  <si>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</si>
  <si>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</si>
  <si>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16 II-úchyt.lišta oliva new 2,7m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</si>
  <si>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</si>
  <si>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</si>
  <si>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</si>
  <si>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</si>
  <si>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</si>
  <si>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</si>
  <si>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</si>
  <si>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</si>
  <si>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</si>
  <si>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</si>
  <si>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</si>
  <si>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</si>
  <si>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</si>
  <si>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</si>
  <si>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</si>
  <si>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</si>
  <si>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</si>
  <si>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</si>
  <si>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</si>
  <si>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</si>
  <si>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</si>
  <si>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</si>
  <si>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</si>
  <si>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</si>
  <si>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</si>
  <si>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</si>
  <si>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</si>
  <si>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</si>
  <si>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</si>
  <si>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</si>
  <si>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</si>
  <si>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</si>
  <si>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</si>
  <si>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</si>
  <si>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</si>
  <si>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</si>
  <si>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</si>
  <si>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</si>
  <si>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</si>
  <si>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</si>
  <si>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</si>
  <si>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</si>
  <si>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</si>
  <si>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</si>
  <si>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</si>
  <si>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</si>
  <si>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</si>
  <si>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</si>
  <si>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</si>
  <si>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</si>
  <si>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</si>
  <si>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</si>
  <si>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2,5m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</si>
  <si>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</si>
  <si>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</si>
  <si>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</si>
  <si>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</si>
  <si>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</si>
  <si>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</si>
  <si>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</si>
  <si>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</si>
  <si>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</si>
  <si>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</si>
  <si>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</si>
  <si>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</si>
  <si>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</si>
  <si>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</si>
  <si>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</si>
  <si>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U profil oceľový 6m strieborný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</si>
  <si>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</si>
  <si>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</si>
  <si>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</si>
  <si>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</si>
  <si>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</si>
  <si>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ZR10 sada pre rozbalovacie dvere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</si>
  <si>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</si>
  <si>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</si>
  <si>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</si>
  <si>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</si>
  <si>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</si>
  <si>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</si>
  <si>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wiertło stopniowe 6,5/9,5mm (promocja)</t>
  </si>
  <si>
    <t>SEVROLL element montażowy do płyty laminowanej 10mm mały (promocja)</t>
  </si>
  <si>
    <t>SEVROLL klucz imbusowy SEVROLL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</si>
  <si>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</si>
  <si>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</si>
  <si>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</si>
  <si>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</si>
  <si>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</si>
  <si>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Pax uchwyt przyklejany czarny polysk</t>
  </si>
  <si>
    <t>SEVROLL Pax zaślepka do rączki (4 szt.), czarny mat</t>
  </si>
  <si>
    <t>SEVROLL profil "U" do płyty laminowanej 18mm 3m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</si>
  <si>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</si>
  <si>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</si>
  <si>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</si>
  <si>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</si>
  <si>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</si>
  <si>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</si>
  <si>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</si>
  <si>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</si>
  <si>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</si>
  <si>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</si>
  <si>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</si>
  <si>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</si>
  <si>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</si>
  <si>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</si>
  <si>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</si>
  <si>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</si>
  <si>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</si>
  <si>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</si>
  <si>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</si>
  <si>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</si>
  <si>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</si>
  <si>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</si>
  <si>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</si>
  <si>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</si>
  <si>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</si>
  <si>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</si>
  <si>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</si>
  <si>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</si>
  <si>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</si>
  <si>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</si>
  <si>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</si>
  <si>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rączka 2,7m czarny mat</t>
  </si>
  <si>
    <t>SEVROLL Wzornik deseczka Blue 10 (8 szt.)</t>
  </si>
  <si>
    <t>SEVROLL Pax XL rączka 2,7m biały polysk</t>
  </si>
  <si>
    <t>SEVROLL Gemini tor górny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</si>
  <si>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</si>
  <si>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</si>
  <si>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</si>
  <si>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</si>
  <si>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</si>
  <si>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</si>
  <si>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</si>
  <si>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</si>
  <si>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</si>
  <si>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</si>
  <si>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</si>
  <si>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zestaw Fold do 2 skrzydeł lewy</t>
  </si>
  <si>
    <t>SEVROLL zestaw Fold do 2 skrzydeł prawy</t>
  </si>
  <si>
    <t>SEVROLL listwa łącząca H30 3m czarny mat</t>
  </si>
  <si>
    <t>SEVROLL listwa pozioma górna 2,35m czarny mat</t>
  </si>
  <si>
    <t>SEVROLL listwa pozioma górna 3m czarny mat</t>
  </si>
  <si>
    <t>SEVROLL Pax tor dolny 3m czarny mat</t>
  </si>
  <si>
    <t>SEVROLL zaślepka do toru Elegant II 1,7m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</si>
  <si>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</si>
  <si>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</si>
  <si>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</si>
  <si>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</si>
  <si>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Elegant II tor dolny 1,7m srebrny</t>
  </si>
  <si>
    <t>SEVROLL zaślepka do toru Elegant II 1,7m srebrny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</si>
  <si>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</si>
  <si>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</si>
  <si>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</si>
  <si>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Blue tor górny 2,5m jasny brąz new</t>
  </si>
  <si>
    <t>SEVROLL Blue-V tor dolny 2,5m jasny brąz new</t>
  </si>
  <si>
    <t>SEVROLL Blue-V tor dolny 1,5m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</si>
  <si>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</si>
  <si>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</si>
  <si>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</si>
  <si>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</si>
  <si>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</si>
  <si>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</si>
  <si>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</si>
  <si>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</si>
  <si>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</si>
  <si>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</si>
  <si>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</si>
  <si>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</si>
  <si>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</si>
  <si>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</si>
  <si>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</si>
  <si>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</si>
  <si>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</si>
  <si>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</si>
  <si>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Prosper II rączka 2,8m jasny brąz</t>
  </si>
  <si>
    <t>SEVROLL listwa łącząca H18 3m czarny mat</t>
  </si>
  <si>
    <t>SEVROLL ZR-18 Unicomfort zestaw do drzwi rozwieranych</t>
  </si>
  <si>
    <t>SEVROLL Blue tor górny 4m srebrny</t>
  </si>
  <si>
    <t>SEVROLL Blue-V tor dolny 4m srebrny</t>
  </si>
  <si>
    <t>SEVROLL zestaw Herkules plus 25kg HP2/25 1,2m</t>
  </si>
  <si>
    <t>SEVROLL profile "U" Mini 36 do DTD 2x18 mm srebrny 3 m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</si>
  <si>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</si>
  <si>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</si>
  <si>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</si>
  <si>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</si>
  <si>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</si>
  <si>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</si>
  <si>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</si>
  <si>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</si>
  <si>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maskownica dolna Simple/Blue 3m (18mm) jasny brąz new</t>
  </si>
  <si>
    <t>SEVROLL profil "U" do płyty laminowanej 18mm 3m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</si>
  <si>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</si>
  <si>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</si>
  <si>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</si>
  <si>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</si>
  <si>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6m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</si>
  <si>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</si>
  <si>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</si>
  <si>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</si>
  <si>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</si>
  <si>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</si>
  <si>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SEVROLL Single tor górny 6m jasny brąz</t>
  </si>
  <si>
    <t>SEVROLL wózek dolny WD10 V Duo 60kg (2 szt)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</si>
  <si>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</si>
  <si>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</si>
  <si>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</si>
  <si>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</si>
  <si>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</si>
  <si>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</si>
  <si>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</si>
  <si>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</si>
  <si>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</si>
  <si>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</si>
  <si>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</si>
  <si>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</si>
  <si>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</si>
  <si>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</si>
  <si>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</si>
  <si>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Rączka Lynx 2,7m oliwka</t>
  </si>
  <si>
    <t>SEVROLL Alfa II rączka 18mm 2,7m biały matowy</t>
  </si>
  <si>
    <t>SEVROLL Elegant II tor dolny 6m biały mat</t>
  </si>
  <si>
    <t>MSE-Klucz imbusowy SEVROLL</t>
  </si>
  <si>
    <t>SEVROLL Fox II rączka 2,7m czarny mat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</si>
  <si>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</si>
  <si>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</si>
  <si>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</si>
  <si>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</si>
  <si>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</si>
  <si>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</si>
  <si>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</si>
  <si>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</si>
  <si>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</si>
  <si>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</si>
  <si>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</si>
  <si>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</si>
  <si>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</si>
  <si>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</si>
  <si>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</si>
  <si>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</si>
  <si>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</si>
  <si>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</si>
  <si>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</si>
  <si>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</si>
  <si>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</si>
  <si>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V-SEVROLL Szpros S10 3m srebrny</t>
  </si>
  <si>
    <t>V-SEVROLL Szpros S20 3m srebrny</t>
  </si>
  <si>
    <t>SEVROLL ZR18 zestaw do drzwi rozwieranych</t>
  </si>
  <si>
    <t>SEVROLL zestaw okuć ZSE-10</t>
  </si>
  <si>
    <t>Wzornik rączek 2017 zeszyt SPRZEDAŻ</t>
  </si>
  <si>
    <t>SEVROLL tor dolny Simple/Blue 1,5m (do płyty laminowanej 18mm) srebrny</t>
  </si>
  <si>
    <t>SEVROLL Alfa II rączka 18mm 2,7m czarny mat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</si>
  <si>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</si>
  <si>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</si>
  <si>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</si>
  <si>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</si>
  <si>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</si>
  <si>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</si>
  <si>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</si>
  <si>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</si>
  <si>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</si>
  <si>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</si>
  <si>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</si>
  <si>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</si>
  <si>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</si>
  <si>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</si>
  <si>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</si>
  <si>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</si>
  <si>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</si>
  <si>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</si>
  <si>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</si>
  <si>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</si>
  <si>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</si>
  <si>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</si>
  <si>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</si>
  <si>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Focus 16mm rączka 2,7m jasny brąz new</t>
  </si>
  <si>
    <t>SEVROLL Comfort tor górny 2,35m jasny brąz new</t>
  </si>
  <si>
    <t>SEVROLL Comfort tor górny 3m jasny brąz new</t>
  </si>
  <si>
    <t>SEVROLL Comfort tor górny 4,05m jasny brąz new</t>
  </si>
  <si>
    <t>SEVROLL listwa łącząca H30 3 m, jasny brąz new</t>
  </si>
  <si>
    <t>SEVROLL Master rączka 2,7m jasny brąz new</t>
  </si>
  <si>
    <t>SEVROLL Master rączka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</si>
  <si>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</si>
  <si>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</si>
  <si>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</si>
  <si>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</si>
  <si>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</si>
  <si>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</si>
  <si>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</si>
  <si>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profil "U" do płyty laminowanej 16mm 3m jasny brąz new</t>
  </si>
  <si>
    <t>SEVROLL Gemini tor górny 6m jasny brąz new</t>
  </si>
  <si>
    <t>SEVROLL Szpros S10 3m jasny brąz new</t>
  </si>
  <si>
    <t>SEVROLL Julia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</si>
  <si>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</si>
  <si>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</si>
  <si>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</si>
  <si>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</si>
  <si>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</si>
  <si>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</si>
  <si>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</si>
  <si>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</si>
  <si>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</si>
  <si>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</si>
  <si>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</si>
  <si>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</si>
  <si>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</si>
  <si>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</si>
  <si>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</si>
  <si>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</si>
  <si>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</si>
  <si>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</si>
  <si>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</si>
  <si>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</si>
  <si>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</si>
  <si>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</si>
  <si>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</si>
  <si>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</si>
  <si>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</si>
  <si>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</si>
  <si>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</si>
  <si>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</si>
  <si>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</si>
  <si>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</si>
  <si>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</si>
  <si>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</si>
  <si>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</si>
  <si>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</si>
  <si>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</si>
  <si>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</si>
  <si>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</si>
  <si>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</si>
  <si>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</si>
  <si>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</si>
  <si>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</si>
  <si>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</si>
  <si>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</si>
  <si>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</si>
  <si>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</si>
  <si>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</si>
  <si>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</si>
  <si>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</si>
  <si>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</si>
  <si>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</si>
  <si>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</si>
  <si>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</si>
  <si>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</si>
  <si>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</si>
  <si>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</si>
  <si>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</si>
  <si>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</si>
  <si>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</si>
  <si>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</si>
  <si>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</si>
  <si>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</si>
  <si>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</si>
  <si>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</si>
  <si>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</si>
  <si>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</si>
  <si>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</si>
  <si>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</si>
  <si>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</si>
  <si>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</si>
  <si>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</si>
  <si>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</si>
  <si>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</si>
  <si>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</si>
  <si>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</si>
  <si>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</si>
  <si>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</si>
  <si>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</si>
  <si>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</si>
  <si>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</si>
  <si>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</si>
  <si>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</si>
  <si>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</si>
  <si>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</si>
  <si>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</si>
  <si>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</si>
  <si>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</si>
  <si>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</si>
  <si>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SEVROLL ZR10 zestaw do drzwi rozwieranych</t>
  </si>
  <si>
    <t>SEVROLL Wilson mocowanie drążka</t>
  </si>
  <si>
    <t>SEVROLL Wilson wspornik 300mm srebrny</t>
  </si>
  <si>
    <t>SEVROLL Wilson wspornik 500mm srebrny</t>
  </si>
  <si>
    <t>SEVROLL Wilson drążek, średnica 25mm 1,2m srebrny</t>
  </si>
  <si>
    <t>SEVROLL Wilson záslepka do drążka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</si>
  <si>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</si>
  <si>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</si>
  <si>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</si>
  <si>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</si>
  <si>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</si>
  <si>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</si>
  <si>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Na objednávku</t>
  </si>
  <si>
    <t>Na zamówienie</t>
  </si>
  <si>
    <t>Rendelésre</t>
  </si>
  <si>
    <t>Lynx</t>
  </si>
  <si>
    <t>LYNX</t>
  </si>
  <si>
    <t>Vitara</t>
  </si>
  <si>
    <t>SEVROLL 04535 Universal 18 úchytová lišta 2,7m stříbrná</t>
  </si>
  <si>
    <t>SEVROLL 00490 Focus 18mm úchytová lišta 2,7m stříbrná</t>
  </si>
  <si>
    <t>SEVROLL 01030 Gemini horní vedení 1,7m zlatá</t>
  </si>
  <si>
    <t>SEVROLL 01008 Gemini horní vedení 1,7m oliva</t>
  </si>
  <si>
    <t>SEVROLL 01023 Gemini horní vedení 1,7m stříbrná</t>
  </si>
  <si>
    <t>SEVROLL 01032 Gemini horní vedení 2,35m zlatá</t>
  </si>
  <si>
    <t>SEVROLL 01010 Gemini horní vedení 2,35m oliva</t>
  </si>
  <si>
    <t>SEVROLL 01025 Gemini horní vedení 2,35m stříbrná</t>
  </si>
  <si>
    <t>SEVROLL 01033 Gemini horní vedení 3m zlatá</t>
  </si>
  <si>
    <t>SEVROLL 01011 Gemini horní vedení 3m oliva</t>
  </si>
  <si>
    <t>SEVROLL 01026 Gemini horní vedení 3m stříbrná</t>
  </si>
  <si>
    <t>SEVROLL 01462 Gemini horní vedení 4,05m zlatá</t>
  </si>
  <si>
    <t>SEVROLL 01439 Gemini horní vedení 4,05m oliva</t>
  </si>
  <si>
    <t>SEVROLL 01469 Gemini horní vedení 4,05m stříbrná</t>
  </si>
  <si>
    <t>SEVROLL 00753 Cleft spodní vedení 1,7m zlatá</t>
  </si>
  <si>
    <t>SEVROLL 00736 Cleft spodní vedení 1,7m oliva</t>
  </si>
  <si>
    <t>SEVROLL 00749 Cleft spodní vedení 1,7m stříbrná</t>
  </si>
  <si>
    <t>SEVROLL 00755 Cleft spodní vedení 3m zlatá</t>
  </si>
  <si>
    <t>SEVROLL 01481 Cleft spodní vedení 4,05m zlatá</t>
  </si>
  <si>
    <t>SEVROLL 00093 úhelník 17x11mm 1,7m oliva</t>
  </si>
  <si>
    <t>SEVROLL 00102 úhelník 17x11mm 1,7m stříbrná</t>
  </si>
  <si>
    <t>SEVROLL 00094 úhelník 17x11mm 2,35m oliva</t>
  </si>
  <si>
    <t>SEVROLL 01117 Micra horní/spodní vedení 1,7m stříbrný elox</t>
  </si>
  <si>
    <t>SEVROLL 01119 Micra horní/spodní vedení 2,35m stříbrný elox</t>
  </si>
  <si>
    <t>SEVROLL 01120 Micra horní/spodní vedení 3m střibrná elox</t>
  </si>
  <si>
    <t>SEVROLL 50233 Micra horní/spodní vedení 1,7m surová</t>
  </si>
  <si>
    <t>SEVROLL 50235 Micra horní/spodní vedení 2,35m surová</t>
  </si>
  <si>
    <t>SEVROLL 50236 Micra horní/spodní vedení 3m surová</t>
  </si>
  <si>
    <t>SEVROLL 00703 spojovací lišta "T" 3m oliva</t>
  </si>
  <si>
    <t>SEVROLL 00706 spojovací lišta "T" 3m stříbrná</t>
  </si>
  <si>
    <t>SEVROLL 00163 Gemini 10 spodní krycí lišta 3m 10mm stříbrná</t>
  </si>
  <si>
    <t>SEVROLL 00155 Gemini 10 spodní krycí lišta 3m 10mm oliva</t>
  </si>
  <si>
    <t>SEVROLL 00162 Gemini 10 spodní krycí lišta 2,35m 10mm stříbrná</t>
  </si>
  <si>
    <t>SEVROLL 00153 Gemini 10 spodní krycí lišta 2,35m 10mm oliva</t>
  </si>
  <si>
    <t>SEVROLL 00161 Gemini 10 spodní krycí lišta 1,7m 10mm stříbrná</t>
  </si>
  <si>
    <t>SEVROLL 00152 Gemini 10 spodní krycí lišta 1,7m 10mm oliva</t>
  </si>
  <si>
    <t>SEVROLL 02912 horní vodící lišta 1,7m stříbrná</t>
  </si>
  <si>
    <t>SEVROLL 02908 horní vodící lišta 1,7m oliva</t>
  </si>
  <si>
    <t>SEVROLL 02913 horní vodící lišta 2,35m stříbrná</t>
  </si>
  <si>
    <t>SEVROLL 02909 horní vodící lišta 2,35m oliva</t>
  </si>
  <si>
    <t>SEVROLL 02914 horní vodící lišta 3m stříbrná</t>
  </si>
  <si>
    <t>SEVROLL 02910 horní vodící lišta 3m oliva</t>
  </si>
  <si>
    <t>SEVROLL 00207 spojovací lišta H10 3m stříbrná</t>
  </si>
  <si>
    <t>SEVROLL 00204 spojovací lišta H10 3m oliva</t>
  </si>
  <si>
    <t>SEVROLL 20031-SV těsnění na sklo 10/4mm</t>
  </si>
  <si>
    <t>SEVROLL 20033-SV těsnění na sklo 10/6mm</t>
  </si>
  <si>
    <t>SEVROLL 20001 šroubovrut 6,3x32 SEVROLL a Simple</t>
  </si>
  <si>
    <t>SEVROLL 01504 maska Cleft 4,05m zlatá</t>
  </si>
  <si>
    <t>SEVROLL 00482 Focus 16mm úchytová lišta 2,7m oliva</t>
  </si>
  <si>
    <t>SEVROLL 00483 Focus 16mm úchytová lišta 2,7m stříbrná</t>
  </si>
  <si>
    <t>SEVROLL 02916 horní vodící lišta 1,7m zlatá</t>
  </si>
  <si>
    <t>SEVROLL 02917 horní vodící lišta 2,35m zlatá</t>
  </si>
  <si>
    <t>SEVROLL 02918 horní vodící lišta 3m zlatá</t>
  </si>
  <si>
    <t>SEVROLL 00165 Gemini 10 spodní krycí lišta 2,35m 10mm zlatá</t>
  </si>
  <si>
    <t>SEVROLL 00164 Gemini 10 spodní krycí lišta 1,7m 10mm zlatá</t>
  </si>
  <si>
    <t>SEVROLL 00166 Gemini 10 spodní krycí lišta 3m 10mm zlatá</t>
  </si>
  <si>
    <t>SEVROLL 00208 spojovací lišta H10 3m zlatá</t>
  </si>
  <si>
    <t>SEVROLL 00031 profil "U" pro lamino 18mm 3m stříbrná</t>
  </si>
  <si>
    <t>SEVROLL 00635 Tytan úchytová lišta 18mm 2,7m oliva</t>
  </si>
  <si>
    <t>SEVROLL 00639 Tytan úchytová lišta 18mm 2,7m stříbrná</t>
  </si>
  <si>
    <t>SEVROLL 00024 profil "U" Decor pro lamino 16mm 3m stříbrný</t>
  </si>
  <si>
    <t>SEVROLL 00029 profil "U" pro lamino 18mm 3m oliva</t>
  </si>
  <si>
    <t>SEVROLL 00032 profil "U" pro lamino 18mm 3m zlatá</t>
  </si>
  <si>
    <t>SEVROLL dorazový kartáč samolepící 4,8x4mm šedý</t>
  </si>
  <si>
    <t>SEVROLL 00219 spojovací lišta H30 3m oliva</t>
  </si>
  <si>
    <t>SEVROLL 00222 spojovací lišta H30 3m stříbrná</t>
  </si>
  <si>
    <t>SEVROLL 00078 úhelník K2 Decor 1,7m stříbrná</t>
  </si>
  <si>
    <t>SEVROLL 00069 úhelník K2 Decor 1,7m oliva</t>
  </si>
  <si>
    <t>SEVROLL 00079 úhelník K2 Decor 2,35m stříbrná</t>
  </si>
  <si>
    <t>SEVROLL 00082 úhelník K2 Decor 2,35m zlatá</t>
  </si>
  <si>
    <t>SEVROLL 00070 úhelník K2 Decor 2,35m oliva</t>
  </si>
  <si>
    <t>SEVROLL 00080 úhelník K2 Decor 3m stříbrná</t>
  </si>
  <si>
    <t>SEVROLL 00071 úhelník K2 Decor 3m oliva</t>
  </si>
  <si>
    <t>SEVROLL 00215 spojovací lišta H18 3m stříbrná</t>
  </si>
  <si>
    <t>SEVROLL 00216 spojovací lišta H18 3m zlatá</t>
  </si>
  <si>
    <t>SEVROLL 00212 spojovací lišta H18 3m oliva</t>
  </si>
  <si>
    <t>SEVROLL 01373 spojovací lišta T Decor 3m stříbrná</t>
  </si>
  <si>
    <t>SEVROLL 01370 spojovací lišta T Decor 3m oliva</t>
  </si>
  <si>
    <t>SEVROLL 00036 profil "U" Decor 18mm 3m stříbrná</t>
  </si>
  <si>
    <t>SEVROLL 00035 profil "U" Decor 18mm 3m oliva</t>
  </si>
  <si>
    <t>SEVROLL protiprachový kartáč zásuvný 4,8x13mm šedý</t>
  </si>
  <si>
    <t>Sevroll (Astin) 85202 Elegant úchytová lišta 2,7m stříbrná (22/1)</t>
  </si>
  <si>
    <t>Sevroll (Astin) 85201 Orient úchytová lišta 2,7m stříbrná (32/1)</t>
  </si>
  <si>
    <t>Sevroll (Astin) 85231 horní vedení 1,8m stříbrná (32/1)</t>
  </si>
  <si>
    <t>Sevroll (Astin) 85232 horní vedení 2,7m stříbrná (32/1)</t>
  </si>
  <si>
    <t>Sevroll (Astin) 85233 horní vedení 3,6m stříbrná (32/1)</t>
  </si>
  <si>
    <t>Sevroll (Astin) 85241 spodní vedení 1,8m stříbrná (22/1)</t>
  </si>
  <si>
    <t>Sevroll (Astin) 85242 spodní vedení 2,7m stříbrná (22/1)</t>
  </si>
  <si>
    <t>Sevroll (Astin) 85243 spodní vedení 3,6m stříbrná (22/1)</t>
  </si>
  <si>
    <t>Sevroll (Astin) 85261 úhelník 1,8m stříbrná (22/1)</t>
  </si>
  <si>
    <t>Sevroll (Astin) 85262 úhelník 2,7m stříbrná (22/1)</t>
  </si>
  <si>
    <t>Sevroll (Astin) 85263 úhelník 3,6m stříbrná (22/1)</t>
  </si>
  <si>
    <t>Sevroll (Astin) 00199 spojovací H08 profil 3m stříbrná</t>
  </si>
  <si>
    <t>SEVROLL 20041 vrut 2,5x18mm půlkulatá hlava zinek bílý</t>
  </si>
  <si>
    <t>SEVROLL 214-426 Herkules 2 horní vedení 2,4m alu</t>
  </si>
  <si>
    <t>SEVROLL 219-070 Herkules-synchro mechanika for 2x50kg</t>
  </si>
  <si>
    <t>SEVROLL 214-427 Herkules 2 horní vedení 3m alu</t>
  </si>
  <si>
    <t>SEVROLL 00911 First horní/spodní vedení 1,8m stříbrná</t>
  </si>
  <si>
    <t>SEVROLL 01246 Single horní vedení 1,7m oliva</t>
  </si>
  <si>
    <t>SEVROLL 01255 Single horní vedení 1,7m stříbrná</t>
  </si>
  <si>
    <t>SEVROLL 01247 Single horní vedení 2,35m oliva</t>
  </si>
  <si>
    <t>SEVROLL 01256 Single horní vedení 2,35m stříbrná</t>
  </si>
  <si>
    <t>SEVROLL 01248 Single horní vedení 3m oliva</t>
  </si>
  <si>
    <t>SEVROLL 01257 Single horní vedení 3m stříbrná</t>
  </si>
  <si>
    <t>SEVROLL 01128 Smart spodní vedení 1,7m oliva</t>
  </si>
  <si>
    <t>SEVROLL 01135 Smart spodní vedení 1,7m stříbrná</t>
  </si>
  <si>
    <t>SEVROLL 01129 Smart spodní vedení 2,35m oliva</t>
  </si>
  <si>
    <t>SEVROLL 01136 Smart spodní vedení 2,35m stříbrná</t>
  </si>
  <si>
    <t>SEVROLL 01130 Smart spodní vedení 3m oliva</t>
  </si>
  <si>
    <t>SEVROLL 01137 Smart spodní vedení 3m stříbrná</t>
  </si>
  <si>
    <t>SEVROLL 04285 Elegant II spodní vedení 1,7m zlatá</t>
  </si>
  <si>
    <t>SEVROLL 04279 Elegant II spodní vedení 1,7m stříbrná</t>
  </si>
  <si>
    <t>SEVROLL 04286 Elegant II spodní vedení 2,35m zlatá</t>
  </si>
  <si>
    <t>SEVROLL 04274 Elegant II spodní vedení 2,35m oliva</t>
  </si>
  <si>
    <t>SEVROLL 04280 Elegant II spodní vedení 2,35m stříbrná</t>
  </si>
  <si>
    <t>SEVROLL 04287 Elegant II spodní vedení 3m zlatá</t>
  </si>
  <si>
    <t>SEVROLL 04275 Elegant II spodní vedení 3m oliva</t>
  </si>
  <si>
    <t>SEVROLL 04281 Elegant II spodní vedení 3m stříbrná</t>
  </si>
  <si>
    <t>SEVROLL 04288 Elegant II spodní vedení 4,05m zlatá</t>
  </si>
  <si>
    <t>SEVROLL 04276 Elegant II spodní vedení 4,05m oliva</t>
  </si>
  <si>
    <t>SEVROLL 04282 Elegant II spodní vedení 4,05m stříbrná</t>
  </si>
  <si>
    <t>SEVROLL 02032 profil "U" pro lamino 16mm 3m oliva</t>
  </si>
  <si>
    <t>SEVROLL 10202 horní vozík 10mm asymetrický L+P</t>
  </si>
  <si>
    <t>SEVROLL 20080 pozicionér spodního vozíku HI-TEC</t>
  </si>
  <si>
    <t>Sevroll 80419 Smart horní vozík</t>
  </si>
  <si>
    <t>Sevroll 80427 Smart dolní vozík</t>
  </si>
  <si>
    <t>SEVROLL 04591 Gemini II spodní vedení 1,7m stříbrná</t>
  </si>
  <si>
    <t>SEVROLL 04593 Gemini II spodní vedení 3m stříbrná</t>
  </si>
  <si>
    <t>SEVROLL 01972 Exclusive horní vedení 1,8m stříbrná</t>
  </si>
  <si>
    <t>SEVROLL 20221 MDF vložka pro krycí lištu 2,8m</t>
  </si>
  <si>
    <t>SEVROLL 00910 First horní/spodní vedení 1,2m stříbrná</t>
  </si>
  <si>
    <t>SEVROLL 10256-SV Exclusive sada kování ZPE-10 II</t>
  </si>
  <si>
    <t>SEVROLL 20337 Exclusive brzda gumová horní</t>
  </si>
  <si>
    <t>SEVROLL 20019 Exclusive brzda kulatá spodní</t>
  </si>
  <si>
    <t>SEVROLL 10209 Future horní vozík 10mm L+P</t>
  </si>
  <si>
    <t>SEVROLL 00901 First horní/spodní vedení 1,2m oliva</t>
  </si>
  <si>
    <t>SEVROLL 20106 těsnění na sklo 18/4-4,5mm asymetrické</t>
  </si>
  <si>
    <t>SEVROLL 02066 Maxim sada kování pro 2 dveře 1,8m stříbrná</t>
  </si>
  <si>
    <t>SEVROLL 01883 Maxim spojovací lišta H25 1,8m stříbrná</t>
  </si>
  <si>
    <t>SEVROLL 04382 Fox II úchytová lišta 2,7m stříbrná</t>
  </si>
  <si>
    <t>SEVROLL 02006 Prince sada kování pro skládací dveře 1200mm stříbrná</t>
  </si>
  <si>
    <t>SEVROLL 04592 Gemini II spodní vedení 2,35m stříbrná</t>
  </si>
  <si>
    <t>SEVROLL 04594 Gemini II spodní vedení 4,05m stříbrná</t>
  </si>
  <si>
    <t>SEVROLL 10057-SV-G spodní vozík WD 18C HI-TEC</t>
  </si>
  <si>
    <t>SEVROLL 01862 Prince 01 úchytová lišta 2,7m stříbrná</t>
  </si>
  <si>
    <t>SEVROLL 10199 Micra C sada kování pro 1 křídlo</t>
  </si>
  <si>
    <t>SEVROLL dorazový kartáč zásuvný 14x4mm šedý</t>
  </si>
  <si>
    <t>SEVROLL 02284 Gemini-2 úchytová lišta 2,7m stříbrná</t>
  </si>
  <si>
    <t>SEVROLL 02283 Gemini-2 úchytová lišta 2,7m oliva</t>
  </si>
  <si>
    <t>SEVROLL 02285 Gemini-2 úchytová lišta 2,7m zlatá</t>
  </si>
  <si>
    <t>SEVROLL 02287 System 10 II úchytová lišta 2,7m stříbrná</t>
  </si>
  <si>
    <t>SEVROLL 02286 System 10 II úchytová lišta 2,7m oliva</t>
  </si>
  <si>
    <t>SEVROLL 02288 System 10 II úchytová lišta 2,7m zlatá</t>
  </si>
  <si>
    <t>SEVROLL 04377 Fox II úchytová lišta 2,7m oliva</t>
  </si>
  <si>
    <t>SEVROLL 04383 Fox II úchytová lišta 2,7m zlatá</t>
  </si>
  <si>
    <t>SEVROLL 04376-Y Fox II úchytová lišta 2,7m oliva kartáčovaná</t>
  </si>
  <si>
    <t>SEVROLL 02382 Everest vodící lišta 3m stříbrná</t>
  </si>
  <si>
    <t>SEVROLL 10089 Everest vozík pro šikmé křídlo - 2ks</t>
  </si>
  <si>
    <t>SEVROLL 01714 Exclusive horní vedení 3m stříbrná</t>
  </si>
  <si>
    <t>SEVROLL 02837 Comfort horní vedení 4,05m stříbrná</t>
  </si>
  <si>
    <t>SEVROLL 10203 Comfort horní vozík 18mm - 2ks</t>
  </si>
  <si>
    <t>SEVROLL 02852 Doubler II spodní vedení 4,05m stříbrná</t>
  </si>
  <si>
    <t>SEVROLL 02834 Comfort horní vedení 1,7m stříbrná</t>
  </si>
  <si>
    <t>SEVROLL 02829 Comfort horní vedení 1,7m oliva</t>
  </si>
  <si>
    <t>SEVROLL 02830 Comfort horní vedení 2,35m oliva</t>
  </si>
  <si>
    <t>SEVROLL 02831 Comfort horní vedení 3m oliva</t>
  </si>
  <si>
    <t>SEVROLL 02832 Comfort horní vedení 4,05m oliva</t>
  </si>
  <si>
    <t>SEVROLL 02067 Maxim sada kování pro 3 dveře 2,5m stříbrná</t>
  </si>
  <si>
    <t>SEVROLL 02376 Master úchytová lišta 2,7m stříbrná</t>
  </si>
  <si>
    <t>SEVROLL 02377 Master úchytová lišta 2,7m oliva</t>
  </si>
  <si>
    <t>SEVROLL 02379 Master úchytová lišta 3m stříbrná</t>
  </si>
  <si>
    <t>SEVROLL 02380 Master úchytová lišta 3m oliva</t>
  </si>
  <si>
    <t>SEVROLL 02021 Maxim vodící lišta 1,8m stříbrná</t>
  </si>
  <si>
    <t>SEVROLL 02022 Maxim vodící lišta 2,5m stříbrná</t>
  </si>
  <si>
    <t>SEVROLL 02301 Maxim vodící lišta 3,5m stříbrná</t>
  </si>
  <si>
    <t>SEVROLL 02305 Maxim vodící lišta 4,3m stříbrná</t>
  </si>
  <si>
    <t>SEVROLL 02804 Maxim spodní krycí lišta 1,8m 18mm stříbrná</t>
  </si>
  <si>
    <t>SEVROLL 02809 Maxim spodní krycí lišta 2,5m 18mm stříbrná</t>
  </si>
  <si>
    <t>SEVROLL 02811 Maxim spodní krycí lišta 3,5m 18mm stříbrná</t>
  </si>
  <si>
    <t>SEVROLL 02801 Maxim spodní krycí lišta 4,3m 18mm stříbrná</t>
  </si>
  <si>
    <t>SEVROLL 01884 Maxim spojovací lišta H25 2,5m stříbrná</t>
  </si>
  <si>
    <t>SEVROLL 01881 Maxim spojovací lišta H18 1,8m stříbrná</t>
  </si>
  <si>
    <t>SEVROLL 01882 Maxim spojovací lišta H18 2,5m stříbrná</t>
  </si>
  <si>
    <t>SEVROLL 02023 Maxim horní vedení 1,8m stříbrná</t>
  </si>
  <si>
    <t>SEVROLL 02024 Maxim horní vedení 2,5m stříbrná</t>
  </si>
  <si>
    <t>SEVROLL 02298 Maxim horní vedení 3,5m stříbrná</t>
  </si>
  <si>
    <t>SEVROLL 02306 Maxim horní vedení 4,3m stříbrná</t>
  </si>
  <si>
    <t>SEVROLL 03042-Y Gemini 10 horní vodící lišta 1,7m oliva kartáčovaná</t>
  </si>
  <si>
    <t>SEVROLL 03043-Y horní vodící lišta 2,35m oliva kartáčovaná</t>
  </si>
  <si>
    <t>SEVROLL 03044-Y horní vodící lišta 3m oliva kartáčovaná</t>
  </si>
  <si>
    <t>SEVROLL 02490-Y Gemini 10 spodní krycí lišta 1,7m 10mm oliva kartáčovaná</t>
  </si>
  <si>
    <t>SEVROLL 02491-Y Gemini 10 spodní krycí lišta 2,35m 10mm oliva kartáčovaná</t>
  </si>
  <si>
    <t>SEVROLL 02492-Y Gemini 10 spodní krycí lišta 3m 10mm oliva kartáčovaná</t>
  </si>
  <si>
    <t>SEVROLL 02501-Y Gemini horní vedení 1,7m oliva kartáčovaná</t>
  </si>
  <si>
    <t>SEVROLL 01713 Exclusive horní vedení 3m oliva</t>
  </si>
  <si>
    <t>SEVROLL 02498-Y Gemini horní vedení 2,35m oliva kartáčovaná</t>
  </si>
  <si>
    <t>SEVROLL 02499-Y Gemini horní vedení 3m oliva kartáčovaná</t>
  </si>
  <si>
    <t>SEVROLL 02500-Y Gemini horní vedení 4,05m oliva kartáčovaná</t>
  </si>
  <si>
    <t>SEVROLL 04333-Y Elegant II spodní vedení 1,7m oliva kartáčovaná</t>
  </si>
  <si>
    <t>SEVROLL 04334-Y Elegant II spodní vedení 2,35m oliva kartáčovaná</t>
  </si>
  <si>
    <t>SEVROLL 04335-Y Elegant II spodní vedení 3m oliva kartáčovaná</t>
  </si>
  <si>
    <t>SEVROLL 04336-Y Elegant II spodní vedení 4,05m oliva kartáčovaná</t>
  </si>
  <si>
    <t>SEVROLL 02493-Y spojovací lišta H10 3m oliva kartáčovaná</t>
  </si>
  <si>
    <t>SEVROLL 01971 Exclusive horní vedení 1,2m stříbrná</t>
  </si>
  <si>
    <t>SEVROLL 20144 vrták stupňovitý 6,5/9,5mm</t>
  </si>
  <si>
    <t>SEVROLL 20016 montážní přípravek pro lamino 10mm velký</t>
  </si>
  <si>
    <t>SEVROLL 20173 montážní přípravek pro lamino 10mm malý</t>
  </si>
  <si>
    <t>SEVROLL 01863 Prince 02 úchytová lišta 2,7m stříbrná</t>
  </si>
  <si>
    <t>SEVROLL 00691 spojovací lišta T04 3m stříbrná</t>
  </si>
  <si>
    <t>SEVROLL 00883 Comfort spodní vedení 1,7m stříbrná</t>
  </si>
  <si>
    <t>SEVROLL 20171 těsnění na sklo 10,1/8mm</t>
  </si>
  <si>
    <t>SEVROLL 10093-SV spodní vozík WD10 V Duo 60kg</t>
  </si>
  <si>
    <t>SEVROLL 02293 okrasná lišta S20 3m stříbrná</t>
  </si>
  <si>
    <t>SEVROLL 50244 Ursus horní vedení 1,8m surová</t>
  </si>
  <si>
    <t>SEVROLL 50245 Ursus horní vedení 3m surová</t>
  </si>
  <si>
    <t>SEVROLL 10022-SV Ursus sada kování ZP-18 pro 1 křídlo</t>
  </si>
  <si>
    <t>SEVROLL 01391 Gemini horní vedení 6m stříbrná</t>
  </si>
  <si>
    <t>SEVROLL 01390 Gemini horní vedení 6m oliva</t>
  </si>
  <si>
    <t>SEVROLL 01392 Gemini horní vedení 6m zlatá</t>
  </si>
  <si>
    <t>SEVROLL 01379 Cleft spodní vedení 6m stříbrná</t>
  </si>
  <si>
    <t>SEVROLL 04076 maska Cleft 6m stříbrná</t>
  </si>
  <si>
    <t>SEVROLL 05546 Factor 18 II úchytová lišta 2,7m stříbrná</t>
  </si>
  <si>
    <t>SEVROLL 01877 spojovací lišta H08/18 3m oliva</t>
  </si>
  <si>
    <t>SEVROLL 00199 spojovací lišta H08/18 3m stříbrná</t>
  </si>
  <si>
    <t>SEVROLL 02292 okrasná lišta S20 3m oliva</t>
  </si>
  <si>
    <t>SEVROLL 02336 okrasná lišta S10 3m stříbrná</t>
  </si>
  <si>
    <t>SEVROLL 02337 okrasná lišta S10 3m oliva</t>
  </si>
  <si>
    <t>SEVROLL 20032-SV těsnění na sklo 10/4,5mm</t>
  </si>
  <si>
    <t>SEVROLL 02711 Julia II úchytová lišta 2,7m oliva</t>
  </si>
  <si>
    <t>SEVROLL 02713 Julia II úchytová lišta 2,7m stříbrná</t>
  </si>
  <si>
    <t>SEVROLL 02714 Julia II úchytová lišta 2,7m zlatá</t>
  </si>
  <si>
    <t>SEVROLL 02690 Romeo II úchytová lišta 2,7m oliva</t>
  </si>
  <si>
    <t>SEVROLL 02692 Romeo II úchytová lišta 2,7m stříbrná</t>
  </si>
  <si>
    <t>SEVROLL 02693 Romeo II úchytová lišta 2,7m zlatá</t>
  </si>
  <si>
    <t>SEVROLL 04548 Factor 18 II úchytová lišta 2,7m oliva</t>
  </si>
  <si>
    <t>SEVROLL 02738 Factor 18 II úchytová lišta 2,7m zlatá</t>
  </si>
  <si>
    <t>SEVROLL 04545 Factor 16 II úchytová lišta 2,7m oliva</t>
  </si>
  <si>
    <t>SEVROLL 04546 Factor 16 II úchytová lišta 2,7m stříbrná</t>
  </si>
  <si>
    <t>SEVROLL 05544 Victoria II úchytová lišta 18mm 2,7m stříbrná</t>
  </si>
  <si>
    <t>SEVROLL 04542 Victoria II úchytová lišta 18mm 2,7m oliva</t>
  </si>
  <si>
    <t>SEVROLL 50426 Victoria II úchytová lišta 18mm 2,7m zlatá</t>
  </si>
  <si>
    <t>SEVROLL 02742 Minicomfort II úchytová lišta 2,7m stříbrná</t>
  </si>
  <si>
    <t>SEVROLL 02740 Minicomfort II úchytová lišta 2,7m oliva</t>
  </si>
  <si>
    <t>SEVROLL 02723 Comfort 18 II úchytová lišta 2,7m stříbrná</t>
  </si>
  <si>
    <t>SEVROLL 02721 Comfort 18 II úchytová lišta 2,7m oliva</t>
  </si>
  <si>
    <t>SEVROLL 02728 Unicomfort II úchytová lišta 2,7m stříbrná</t>
  </si>
  <si>
    <t>SEVROLL 02726 Unicomfort II úchytová lišta 2,7m oliva</t>
  </si>
  <si>
    <t>SEVROLL 04551 Faworyt II úchytová lišta 2,7m oliva</t>
  </si>
  <si>
    <t>SEVROLL 02718 Comfort 16 II úchytová lišta 2,7m stříbrná</t>
  </si>
  <si>
    <t>SEVROLL 02717 Comfort 16 II úchytová lišta 2,7m oliva</t>
  </si>
  <si>
    <t>SEVROLL 02777 Ergo úchytová lišta 2,7m stříbrná</t>
  </si>
  <si>
    <t>SEVROLL 02776 Ergo úchytová lišta 2,7m oliva</t>
  </si>
  <si>
    <t>SEVROLL 02290 profil "U" pro lamino 36mm stříbrná 3m</t>
  </si>
  <si>
    <t>SEVROLL 04595 Gemini II spodní vedení 6m stříbrná</t>
  </si>
  <si>
    <t>SEVROLL 00902 First horní/spodní vedení 1,8m oliva</t>
  </si>
  <si>
    <t>SEVROLL 02867 Doubler II maska 4,05m stříbrná</t>
  </si>
  <si>
    <t>SEVROLL 02849 Doubler II spodní vedení 1,7m stříbrná</t>
  </si>
  <si>
    <t>SEVROLL 02850 Doubler II spodní vedení 2,35m stříbrná</t>
  </si>
  <si>
    <t>SEVROLL 02851 Doubler II spodní vedení 3m stříbrná</t>
  </si>
  <si>
    <t>SEVROLL 02853 Doubler II spodní vedení 6m stříbrná</t>
  </si>
  <si>
    <t>SEVROLL 02844 Doubler II spodní vedení 1,7m oliva</t>
  </si>
  <si>
    <t>SEVROLL 02845 Doubler II spodní vedení 2,35m oliva</t>
  </si>
  <si>
    <t>SEVROLL 02846 Doubler II spodní vedení 3m oliva</t>
  </si>
  <si>
    <t>SEVROLL 02847 Doubler II spodní vedení 4,05m oliva</t>
  </si>
  <si>
    <t>SEVROLL 02848 Doubler II spodní vedení 6m oliva</t>
  </si>
  <si>
    <t>SEVROLL 02857 Doubler II spodní vedení 4,05m zlatá</t>
  </si>
  <si>
    <t>SEVROLL 02864 Doubler II maska 1,7m stříbrná</t>
  </si>
  <si>
    <t>SEVROLL 02865 Doubler II maska 2,35m stříbrná</t>
  </si>
  <si>
    <t>SEVROLL 163125 Doubler II maska 3m stříbrná</t>
  </si>
  <si>
    <t>SEVROLL 02868 Doubler II maska 6m stříbrná</t>
  </si>
  <si>
    <t>SEVROLL 02859 Doubler II maska 1,7m oliva</t>
  </si>
  <si>
    <t>SEVROLL 02860 Doubler II maska 2,35m oliva</t>
  </si>
  <si>
    <t>SEVROLL 02861 Doubler II maska 3m oliva</t>
  </si>
  <si>
    <t>SEVROLL 02862 Doubler II maska 4,05m oliva</t>
  </si>
  <si>
    <t>SEVROLL 02863 Doubler II maska 6m oliva</t>
  </si>
  <si>
    <t>SEVROLL 02803 Maxim II maska 4,3m stříbrná</t>
  </si>
  <si>
    <t>SEVROLL 16280 vzorkovník samolepících fólií</t>
  </si>
  <si>
    <t>SEVROLL 04552 Faworyt II úchytová lišta 2,7m stříbrná</t>
  </si>
  <si>
    <t>SEVROLL 03049 Future II úchytová lišta 3,5m stříbrná</t>
  </si>
  <si>
    <t>SEVROLL 03047 Future II úchytová lišta 3,5m oliva</t>
  </si>
  <si>
    <t>SEVROLL 03048 Future II úchytová lišta 2,7m stříbrná</t>
  </si>
  <si>
    <t>SEVROLL 03046 Future II úchytová lišta 2,7m oliva</t>
  </si>
  <si>
    <t>SEVROLL 02557 profil "U" pro lamino 10mm 2m stříbrná</t>
  </si>
  <si>
    <t>SEVROLL 02558 profil "U" pro lamino 10mm 3m stříbrná</t>
  </si>
  <si>
    <t>SEVROLL 02808 Maxim II spodní vedení 3,5m stříbrná</t>
  </si>
  <si>
    <t>SEVROLL 02802 Maxim II spodní vedení 4,3m stříbrná</t>
  </si>
  <si>
    <t>SEVROLL 02815 Maxim II maska 3,5m stříbrná</t>
  </si>
  <si>
    <t>SEVROLL 02805 Maxim II spodní vedení 1,8m stříbrná</t>
  </si>
  <si>
    <t>SEVROLL 02806 Maxim II spodní vedení 2,5m stříbrná</t>
  </si>
  <si>
    <t>SEVROLL 02890 Maxim II spodní vedení 6m stříbrná</t>
  </si>
  <si>
    <t>SEVROLL 02812 Maxim II maska 1,8m stříbrná</t>
  </si>
  <si>
    <t>SEVROLL 02813 Maxim II maska 2,5m stříbrná</t>
  </si>
  <si>
    <t>SEVROLL 02891 Maxim II maska 6m stříbrná</t>
  </si>
  <si>
    <t>SEVROLL 02893 Maxim vodící lišta 6m stříbrná</t>
  </si>
  <si>
    <t>SEVROLL 02889  Maxim spodní krycí lišta 6m 10mm stříbrná</t>
  </si>
  <si>
    <t>SEVROLL 10229-SV Everest sada pro úchytovou lištu Fox II</t>
  </si>
  <si>
    <t>SEVROLL 03145 Prosper II úchytová lišta 2,7m stříbrná</t>
  </si>
  <si>
    <t>SEVROLL 02580 Hide N spodní vedení 2,35m stříbrná</t>
  </si>
  <si>
    <t>SEVROLL 50243 Ursus horní vedení 1,2m surová</t>
  </si>
  <si>
    <t>SEVROLL 00912 First horní/spodní vedení 3m stříbrná</t>
  </si>
  <si>
    <t>SEVROLL 00903 First horní/spodní vedení 3m oliva</t>
  </si>
  <si>
    <t>SEVROLL 20102 těsnění na sklo 18/4mm symetrické</t>
  </si>
  <si>
    <t>SEVROLL 20145 těsnění na sklo 18/8mm symetrické</t>
  </si>
  <si>
    <t>SEVROLL 01114 Micra horní/spodní vedení 1,7m oliva</t>
  </si>
  <si>
    <t>SEVROLL 01115 Micra horní/spodní vedení 2,35m oliva</t>
  </si>
  <si>
    <t>SEVROLL 03074 Top horní vedení jednoduché 3m stříbrná</t>
  </si>
  <si>
    <t>SEVROLL 03072 Top horní vedení jednoduché 3m oliva</t>
  </si>
  <si>
    <t>SEVROLL 03075 Top horní vedení jednoduché 6m stříbrná</t>
  </si>
  <si>
    <t>SEVROLL 03073 Top horní vedení jednoduché 6m oliva</t>
  </si>
  <si>
    <t>SEVROLL 04618-Y Victoria II úchytová lišta 2,7m oliva kartáčovaná</t>
  </si>
  <si>
    <t>SEVROLL 02934-Y úhelník K2 Decor 1,7m oliva kartáčovaná</t>
  </si>
  <si>
    <t>SEVROLL 02935-Y úhelník K2 Decor 2,35m oliva kartáčovaná</t>
  </si>
  <si>
    <t>SEVROLL 02936-Y úhelník K2 Decor 3m oliva kartáčovaná</t>
  </si>
  <si>
    <t>SEVROLL 02937-Y spojovací lišta H18 3m oliva kartáčovaná</t>
  </si>
  <si>
    <t>Sevroll 85615 Lux III úchytová lišta 2,7m oliva</t>
  </si>
  <si>
    <t>Sevroll 85515 Lux III úchytová lišta 2,7m stříbrná</t>
  </si>
  <si>
    <t>SEVROLL 20021-BL dorazový kartáč zásuvný 4,8x6mm šedý</t>
  </si>
  <si>
    <t>SEVROLL 02892 Maxim horní vedení 6m stříbrná</t>
  </si>
  <si>
    <t>SEVROLL 03146 Optima 18 úchytová lišta 2,4m stříbrná</t>
  </si>
  <si>
    <t>SEVROLL 20194 Optima spodní vedení 2m surová</t>
  </si>
  <si>
    <t>SEVROLL 20214 Optima spodní vedení 2,4m surová</t>
  </si>
  <si>
    <t>SEVROLL 03064 Optima horní vedení 2m stříbrná</t>
  </si>
  <si>
    <t>SEVROLL 03182 Optima horní vedení 2,4m stříbrná</t>
  </si>
  <si>
    <t>SEVROLL 10192-SV Optima II sada kování (dvoje dveře)</t>
  </si>
  <si>
    <t>SEVROLL 02581 Hide N spodní vedení 3m stříbrná</t>
  </si>
  <si>
    <t>SEVROLL 02578 Hide N spodní vedení 3m oliva</t>
  </si>
  <si>
    <t>SEVROLL 04378 Fox II úchytová lišta 2,7m oliva tmavá kartáčovaná</t>
  </si>
  <si>
    <t>SEVROLL 04375 Fox II úchytová lišta 2,7m černá kartáčovaná</t>
  </si>
  <si>
    <t>SEVROLL 04344 Elegant II spodní vedení 2,35m oliva tmavá kartáčovaná</t>
  </si>
  <si>
    <t>SEVROLL 04339 Elegant II spodní vedení 2,35m černá kartáčovaná</t>
  </si>
  <si>
    <t>SEVROLL 04346 Elegant II spodní vedení 4,05m oliva tmavá kartáčovaná</t>
  </si>
  <si>
    <t>SEVROLL 04341 Elegant II spodní vedení 4,05m černá kartáčovaná</t>
  </si>
  <si>
    <t>SEVROLL 04343 Elegant II spodní vedení 1,7m oliva tmavá kartáčovaná</t>
  </si>
  <si>
    <t>SEVROLL 04338 Elegant II spodní vedení 1,7m černá kartáčovaná</t>
  </si>
  <si>
    <t>SEVROLL 04345 Elegant II spodní vedení 3m oliva tmavá kartáčovaná</t>
  </si>
  <si>
    <t>SEVROLL 03100 horní vodící lišta 1,7m oliva tmavá kartáčovaná</t>
  </si>
  <si>
    <t>SEVROLL 03097 horní vodící lišta 1,7m černá kartáčovaná</t>
  </si>
  <si>
    <t>SEVROLL 03101 horní vodící lišta 2,35m oliva tmavá kartáčovaná</t>
  </si>
  <si>
    <t>SEVROLL 03098 horní vodící lišta 2,35m černá kartáčovaná</t>
  </si>
  <si>
    <t>SEVROLL 03102 horní vodící lišta 3m oliva tmavá kartáčovaná</t>
  </si>
  <si>
    <t>SEVROLL 03099 horní vodící lišta 3m černá kartáčovaná</t>
  </si>
  <si>
    <t>SEVROLL 03104 spojovací lišta H10 3m oliva tmavá kartáčovaná</t>
  </si>
  <si>
    <t>SEVROLL 03103 spojovací lišta H10 3m černá kartáčovaná</t>
  </si>
  <si>
    <t>SEVROLL 03119 Gemini horní vedení 1,7m oliva tmavá kartáčovaná</t>
  </si>
  <si>
    <t>SEVROLL 03115 Gemini horní vedení 1,7m černá kartáčovaná</t>
  </si>
  <si>
    <t>SEVROLL 03120 Gemini horní vedení 2,35m oliva tmavá kartáčovaná</t>
  </si>
  <si>
    <t>SEVROLL 03116 Gemini horní vedení 2,35m černá kartáčovaná</t>
  </si>
  <si>
    <t>SEVROLL 03121 Gemini horní vedení 3m oliva tmavá kartáčovaná</t>
  </si>
  <si>
    <t>SEVROLL 03117 Gemini horní vedení 3m černá kartáčovaná</t>
  </si>
  <si>
    <t>SEVROLL 03122 Gemini horní vedení 4,05m oliva tmavá kartáčovaná</t>
  </si>
  <si>
    <t>SEVROLL 03118 Gemini horní vedení 4,05m černá kartáčovaná</t>
  </si>
  <si>
    <t>SEVROLL 03094 Gemini 10 spodní krycí lišta 1,7m 10mm oliva tmavá kartáčovaná</t>
  </si>
  <si>
    <t>SEVROLL 03091 Gemini 10 spodní krycí lišta 1,7m 10mm černá kartáčovaná</t>
  </si>
  <si>
    <t>SEVROLL 03095 Gemini 10 spodní krycí lišta 2,35m oliva tmavá kartáčovaná</t>
  </si>
  <si>
    <t>SEVROLL 03092 Gemini 10 spodní krycí lišta 2,35m 10mm černá kartáčovaná</t>
  </si>
  <si>
    <t>SEVROLL 03096 Gemini 10 spodní krycí lišta 3m 10mm oliva tmavá kartáčovaná</t>
  </si>
  <si>
    <t>SEVROLL 03093 Gemini 10 spodní krycí lišta 3m 10mm černá kartáčovaná</t>
  </si>
  <si>
    <t>SEVROLL 04340 Elegant II spodní vedení 3m černá kartáčovaná</t>
  </si>
  <si>
    <t>SEVROLL 01969 Exclusive horní vedení 1,2m oliva</t>
  </si>
  <si>
    <t>SEVROLL 03210 Star úchytová lišta 2,7m stříbrná</t>
  </si>
  <si>
    <t>SEVROLL 03209 Star úchytová lišta 2,7m oliva</t>
  </si>
  <si>
    <t>SEVROLL 20098-SV těsnění na sklo 10/6,4mm</t>
  </si>
  <si>
    <t>SEVROLL 20208 koncovka k liště Hide N stříbrná</t>
  </si>
  <si>
    <t>SEVROLL 20208 brzda k liště Hide N a M</t>
  </si>
  <si>
    <t>SEVROLL 02550 Secret Line II rámová lišta 2,7m stříbrná</t>
  </si>
  <si>
    <t>SEVROLL 01598 Slim Line II rámová lišta 2,7m stříbrná</t>
  </si>
  <si>
    <t>SEVROLL 214-517 Line horní vedení 2m alu surová</t>
  </si>
  <si>
    <t>SEVROLL 214-523 Line spodní vedení 2m alu surová</t>
  </si>
  <si>
    <t>SEVROLL 10082-SV Line sada kování pro 2 křídla levá</t>
  </si>
  <si>
    <t>SEVROLL 10081-SV Line sada kování pro 2 křídla pravá</t>
  </si>
  <si>
    <t>SEVROLL 20029 oboustranná lepící páska 50mm 10m</t>
  </si>
  <si>
    <t>SEVROLL 213-370 Herkules Glass sada kování 100kg + 2m</t>
  </si>
  <si>
    <t>SEVROLL 219-032 Herkules tlumič 40 - 80kg</t>
  </si>
  <si>
    <t>SEVROLL 01980 Hide M spodní vedení 3m stříbrná</t>
  </si>
  <si>
    <t>SEVROLL 02334 profil "U" Mini pro lamino 18mm 3m stříbrná</t>
  </si>
  <si>
    <t>SEVROLL 20229-SV dorazový kartáč samolepící 6,7x4mm šedý</t>
  </si>
  <si>
    <t>SEVROLL 04611 Beta 18 úchytová lišta 2,70m stříbrná</t>
  </si>
  <si>
    <t>SEVROLL 04610 Beta 18 úchytová lišta 2,70m oliva</t>
  </si>
  <si>
    <t>SEVROLL 01617 spojovací lišta H10 Decor 3m stříbrná</t>
  </si>
  <si>
    <t>SEVROLL 10083-SV Exclusive sada kování ZPE-18</t>
  </si>
  <si>
    <t>SEVROLL 03446 Libra úchytová lišta 18mm 2,70m stříbrná</t>
  </si>
  <si>
    <t>SEVROLL 03434 Fala úchytová lišta 10mm 2,70m stříbrná</t>
  </si>
  <si>
    <t>SEVROLL 03433 Polo úchytová lišta 10mm 2,70m stříbrná</t>
  </si>
  <si>
    <t>SEVROLL 03469 Simple horní vedení 6m stříbrná</t>
  </si>
  <si>
    <t>SEVROLL 03470 Simple spodní vedení 6m stříbrná</t>
  </si>
  <si>
    <t>SEVROLL 10136 horní vozík Simple (10mm Fala) asymetrický L+P</t>
  </si>
  <si>
    <t>SEVROLL 10137 horní vozík Simple (10mm Polo) symetrický L+P</t>
  </si>
  <si>
    <t>SEVROLL 10156 horní vozík Simple (pro lamino 18mm) rámový L+P</t>
  </si>
  <si>
    <t>SEVROLL 10135 horní vozík Simple (pro lamino 18mm) bezrámový L+P</t>
  </si>
  <si>
    <t>SEVROLL 20234 upevňovací klín Simple 40ks (sklo 4mm)</t>
  </si>
  <si>
    <t>SEVROLL 20233 záslepka spodního vedení Simple/Blue průsvitná, guma</t>
  </si>
  <si>
    <t>SEVROLL 20356 zámek na posuvné dveře 10/18mm</t>
  </si>
  <si>
    <t>SEVROLL 04619 Victoria II 2,7m úchytová lišta oliva tmavá kartáčovaná</t>
  </si>
  <si>
    <t>SEVROLL 04617 Victoria II úchytová lišta 2,7m černá kartáčovaná</t>
  </si>
  <si>
    <t>SEVROLL 00873 Comfort spodní vedení 1,7m oliva</t>
  </si>
  <si>
    <t>SEVROLL 214-866 U profil ocelový 2m stříbrný</t>
  </si>
  <si>
    <t>SEVROLL 229-028 sada Herkules plus 40kg pro 2 křídla</t>
  </si>
  <si>
    <t>SEVROLL 219-489 vodítko pro skládací dveře Herkules</t>
  </si>
  <si>
    <t>SEVROLL 134-126 středový závěs pružinový stříbrný</t>
  </si>
  <si>
    <t>SEVROLL 214-371 Herkules plus horní vedení 1,5m</t>
  </si>
  <si>
    <t>SEVROLL 222151 vodící trn</t>
  </si>
  <si>
    <t>SEVROLL 00876 Comfort spodní vedení 3m oliva</t>
  </si>
  <si>
    <t>SEVROLL 04463 horní vodící lišta Simple/Blue 3m (pro lamino 18mm) stříbrná</t>
  </si>
  <si>
    <t>SEVROLL 04455 spodní krycí lišta Simple/Blue 3m (pro lamino 18mm) stříbrná</t>
  </si>
  <si>
    <t>SEVROLL 03580 horní vodící lišta Simple/Blue 3m (pro lamino 10mm) stříbrná</t>
  </si>
  <si>
    <t>SEVROLL 03582 spodní krycí lišta Simple/Blue 3m (pro lamino 10mm) stříbrná</t>
  </si>
  <si>
    <t>SEVROLL 20191 šablona pro vozíky pro lamino 18mm</t>
  </si>
  <si>
    <t>SEVROLL 04530 Alfa II úchytová lišta 18mm 2,70m stříbrná</t>
  </si>
  <si>
    <t>SEVROLL 04529 Alfa II úchytová lišta 18mm 2,70m oliva</t>
  </si>
  <si>
    <t>SEVROLL 10096-SV ZR-18 Unicomfort sada pro rozevírací dveře</t>
  </si>
  <si>
    <t>SEVROLL 03459 úhelník K2 1,7m oliva tmavá kartáčovaná</t>
  </si>
  <si>
    <t>SEVROLL 03460 úhelník K2 2,35m oliva tmavá kartáčovaná</t>
  </si>
  <si>
    <t>SEVROLL 03461 úhelník K2 3m oliva tmavá kartáčovaná</t>
  </si>
  <si>
    <t>SEVROLL 03465 spojovací lišta H18 3m oliva tmavá kartáčovaná</t>
  </si>
  <si>
    <t>SEVROLL 03180-Y profil "U" 18mm 3m oliva kartáčovaná</t>
  </si>
  <si>
    <t>SEVROLL 03471 profil "U" 18mm 3m oliva tmavá kartáčovaná</t>
  </si>
  <si>
    <t>SEVROLL 03472 profil "U" 18mm 3m černá kartáčovaná</t>
  </si>
  <si>
    <t>SEVROLL 03466 spojovací lišta H18 3m černá kartáčovaná</t>
  </si>
  <si>
    <t>SEVROLL 03462 úhelník K2 1,7m černá kartáčovaná</t>
  </si>
  <si>
    <t>SEVROLL 03463 úhelník K2 2,35m černá kartáčovaná</t>
  </si>
  <si>
    <t>SEVROLL 03464 úhelník K2 3m černá kartáčovaná</t>
  </si>
  <si>
    <t>SEVROLL 01992 Hide M spodní vedení 3m oliva</t>
  </si>
  <si>
    <t>SEVROLL 214-420 Herkules 2 horní vedení 1,2m alu</t>
  </si>
  <si>
    <t>SEVROLL 214-422 Herkules 2 horní vedení 1,5m alu</t>
  </si>
  <si>
    <t>SEVROLL 214-424 Herkules 2 horní vedení 1,8m alu</t>
  </si>
  <si>
    <t>SEVROLL 214-425 Herkules 2 horní vedení 2m alu</t>
  </si>
  <si>
    <t>SEVROLL 214-428 Herkules 2 horní vedení 4m alu</t>
  </si>
  <si>
    <t>SEVROLL 214-430 Herkules 2 horní vedení 6m alu</t>
  </si>
  <si>
    <t>SEVROLL 213-350 Herkules sada kování 60kg 1,2m</t>
  </si>
  <si>
    <t>SEVROLL 213-360 Herkules sada kování 120kg 1,2m</t>
  </si>
  <si>
    <t>SEVROLL 213-351 Herkules sada kování 60kg 1,5m</t>
  </si>
  <si>
    <t>SEVROLL 213-361 Herkules sada kování 120kg 1,5m</t>
  </si>
  <si>
    <t>SEVROLL 213-352 Herkules sada kování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</si>
  <si>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</si>
  <si>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</si>
  <si>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</si>
  <si>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213-354 Herkules sada kování 60kg 2,4m</t>
  </si>
  <si>
    <t>SEVROLL 213-364 Herkules sada kování 120kg 2,4m</t>
  </si>
  <si>
    <t>SEVROLL 213-355 Herkules sada kování 60kg 3m</t>
  </si>
  <si>
    <t>SEVROLL 213-365 Herkules sada kování 120kg 3m</t>
  </si>
  <si>
    <t>SEVROLL 219-310 Herkules sada kování 60kg</t>
  </si>
  <si>
    <t>SEVROLL 219-311 Herkules sada kování 120kg</t>
  </si>
  <si>
    <t>SEVROLL 03506 Libra úchytová lišta 18mm 2,70m oliva</t>
  </si>
  <si>
    <t>SEVROLL 03578 Fala úchytová lišta 10mm 2,70m oliva</t>
  </si>
  <si>
    <t>SEVROLL 03579 Polo úchytová lišta 10mm 2,70m oliva</t>
  </si>
  <si>
    <t>SEVROLL 03584 Simple horní vedení 6m oliva</t>
  </si>
  <si>
    <t>SEVROLL 03589 Simple spodní vedení 6m oliva</t>
  </si>
  <si>
    <t>SEVROLL 04444 spojovací lišta Simple/Blue H28 3m (pro lamino 18mm) oliva</t>
  </si>
  <si>
    <t>SEVROLL 04459 horní vodící lišta Simple/Blue 3m (pro lamino 18mm) oliva</t>
  </si>
  <si>
    <t>SEVROLL 04451 spodní krycí lišta Simple/Blue 3m (pro lamino 18mm) oliva</t>
  </si>
  <si>
    <t>SEVROLL 03581 horní vodící lišta Simple/Blue 3m (pro lamino 10mm) oliva</t>
  </si>
  <si>
    <t>SEVROLL 03583 spodní krycí lišta Simple/Blue 3m (pro lamino 10mm) oliva</t>
  </si>
  <si>
    <t>SEVROLL 20223 spona dorazového kartáčku</t>
  </si>
  <si>
    <t>SEVROLL 03173 Karat úchytová lišta 2,7m stříbrná</t>
  </si>
  <si>
    <t>SEVROLL 03172 Karat úchytová lišta 2,7m oliva</t>
  </si>
  <si>
    <t>SEVROLL 03715 Simple horní vedení 1,5m stříbrná</t>
  </si>
  <si>
    <t>SEVROLL 03714 Simple horní vedení 2m stříbrná</t>
  </si>
  <si>
    <t>SEVROLL 03726 Simple horní vedení 2,5m stříbrná</t>
  </si>
  <si>
    <t>SEVROLL 03400 Simple horní vedení 3m stříbrná</t>
  </si>
  <si>
    <t>SEVROLL 03727 Simple horní vedení 4m stříbrná</t>
  </si>
  <si>
    <t>SEVROLL 03712 Simple spodní vedení 1,5m stříbrná</t>
  </si>
  <si>
    <t>SEVROLL 03710 Simple spodní vedení 2m stříbrná</t>
  </si>
  <si>
    <t>SEVROLL 03728 Simple spodní vedení 2,5m stříbrná</t>
  </si>
  <si>
    <t>SEVROLL 03427 Simple spodní vedení 3m stříbrná</t>
  </si>
  <si>
    <t>SEVROLL 03729 Simple spodní vedení 4m stříbrná</t>
  </si>
  <si>
    <t>SEVROLL 03716 Simple horní vedení 1,5m oliva</t>
  </si>
  <si>
    <t>SEVROLL 03713 Simple horní vedení 2m oliva</t>
  </si>
  <si>
    <t>SEVROLL 03723 Simple horní vedení 2,5m oliva</t>
  </si>
  <si>
    <t>SEVROLL 03718 Simple horní vedení 3m oliva</t>
  </si>
  <si>
    <t>SEVROLL 03724 Simple horní vedení 4m oliva</t>
  </si>
  <si>
    <t>SEVROLL 03711 Simple spodní vedení 1,5m oliva</t>
  </si>
  <si>
    <t>SEVROLL 03709 Simple spodní vedení 2m oliva</t>
  </si>
  <si>
    <t>SEVROLL 03722 Simple spodní vedení 2,5m oliva</t>
  </si>
  <si>
    <t>SEVROLL 03717 Simple spodní vedení 3m oliva</t>
  </si>
  <si>
    <t>SEVROLL 03725 Simple spodní vedení 4m oliva</t>
  </si>
  <si>
    <t>SEVROLL 04460 horní vodící lišta Simple/Blue 1,5m (pro lamino 18mm) stříbrná</t>
  </si>
  <si>
    <t>SEVROLL 04461 horní vodící lišta Simple/Blue 2m (pro lamino 18mm) stříbrná</t>
  </si>
  <si>
    <t>SEVROLL 04462 horní vodící lišta Simple/Blue 2,5m (pro lamino 18mm) stříbrná</t>
  </si>
  <si>
    <t>SEVROLL 04457 horní vodící lišta Simple/Blue 2m (pro lamino 18mm) oliva</t>
  </si>
  <si>
    <t>SEVROLL 04458 horní vodící lišta Simple/Blue 2,5m (pro lamino 18mm) oliva</t>
  </si>
  <si>
    <t>SEVROLL 04452 spodní krycí lišta Simple/Blue 1,5m (pro lamino 18mm) stříbrná</t>
  </si>
  <si>
    <t>SEVROLL 04453 spodní krycí lišta Simple/Blue 2m (pro lamino 18mm) stříbrná</t>
  </si>
  <si>
    <t>SEVROLL 04454 spodní krycí lišta Simple/Blue 2,5m (pro lamino 18mm) stříbrná</t>
  </si>
  <si>
    <t>SEVROLL 04449 spodní krycí lišta Simple/Blue 2m (pro lamino 18mm) oliva</t>
  </si>
  <si>
    <t>SEVROLL 04450 spodní krycí lišta Simple/Blue 2,5m (pro lamino 18mm) oliva</t>
  </si>
  <si>
    <t>SEVROLL 03755 horní vodící lišta Simple/Blue 1,5m (pro lamino 10mm) stříbrná</t>
  </si>
  <si>
    <t>SEVROLL 03756 horní vodící lišta Simple/Blue 2m (pro lamino 10mm) stříbrná</t>
  </si>
  <si>
    <t>SEVROLL 03757 horní vodící lišta Simple/Blue 2,5m (pro lamino 10mm) stříbrná</t>
  </si>
  <si>
    <t>SEVROLL 03758 horní vodící lišta Simple/Blue 1,5m (pro lamino 10mm) oliva</t>
  </si>
  <si>
    <t>SEVROLL 03759 horní vodící lišta Simple/Blue 2m (pro lamino 10mm) oliva</t>
  </si>
  <si>
    <t>SEVROLL 03760 horní vodící lišta Simple/Blue 2,5m (pro lamino 10mm) oliva</t>
  </si>
  <si>
    <t>SEVROLL 03746 spodní krycí lišta Simple/Blue 1,5m (pro lamino 10mm) stříbrná</t>
  </si>
  <si>
    <t>SEVROLL 03747 spodní krycí lišta Simple/Blue 2m (pro lamino 10mm) stříbrná</t>
  </si>
  <si>
    <t>SEVROLL 03748 spodní krycí lišta Simple/Blue 2,5m (pro lamino 10mm) stříbrná</t>
  </si>
  <si>
    <t>SEVROLL 03751 spodní krycí lišta Simple/Blue 1,5m (pro lamino 10mm) oliva</t>
  </si>
  <si>
    <t>SEVROLL 03752 spodní krycí lišta Simple/Blue 2m (pro lamino 10mm) oliva</t>
  </si>
  <si>
    <t>SEVROLL 03753 spodní krycí lišta Simple/Blue 2,5m (pro lamino 10mm) oliva</t>
  </si>
  <si>
    <t>SEVROLL 04446 spojovací lišta Simple/Blue H21 3m (pro lamino 18mm) oliva</t>
  </si>
  <si>
    <t>SEVROLL 219-070 Symetric sada kování pro 2 křídla</t>
  </si>
  <si>
    <t>SEVROLL 20240 Simple/Blue pozicionér pro horní vozík</t>
  </si>
  <si>
    <t>SEVROLL 01970 Exclusive horní vedení 1,8m oliva</t>
  </si>
  <si>
    <t>SEVROLL 04337-Y Elegant II spodní vedení 6m oliva kartáčovaná</t>
  </si>
  <si>
    <t>SEVROLL 04347 Elegant II spodní vedení 6m oliva tmavá kartáčovaná</t>
  </si>
  <si>
    <t>SEVROLL 04342 Elegant II spodní vedení 6m černá kartáčovaná</t>
  </si>
  <si>
    <t>SEVROLL 03424-Y Gemini horní vedení 6m oliva kartáčovaná</t>
  </si>
  <si>
    <t>SEVROLL 03524 Gemini horní vedení 6m oliva tmavá kartáčovaná</t>
  </si>
  <si>
    <t>SEVROLL 03222 Gemini horní vedení 6m černá kartáčovaná</t>
  </si>
  <si>
    <t>SEVROLL 20138-SV tlumič dorazu Sevromatic 10/18mm 14-25kg levý</t>
  </si>
  <si>
    <t>SEVROLL 20137-SV tlumič dorazu Sevromatic 10/18mm 14-25kg pravý</t>
  </si>
  <si>
    <t>SEVROLL 20196-SV tlumič dorazu Sevromatic 10/18mm 25-50kg levý</t>
  </si>
  <si>
    <t>SEVROLL 20197-SV tlumič dorazu Sevromatic 10/18mm 25-50kg pravý</t>
  </si>
  <si>
    <t>K-SEVROLL tlumič dorazu Sevromatic 10/18mm 14-25kg L+P</t>
  </si>
  <si>
    <t>K-SEVROLL tlumič dorazu Sevromatic 10/18mm 25-50kg L+P</t>
  </si>
  <si>
    <t>SEVROLL 01616 spojovací lišta H10 Decor 3m oliva</t>
  </si>
  <si>
    <t>SEVROLL 02838 Comfort horní vedení 6m stříbrná</t>
  </si>
  <si>
    <t>SEVROLL 02833 Comfort horní vedení 6m oliva</t>
  </si>
  <si>
    <t>SEVROLL 02835 Comfort horní vedení 2,35m stříbrná</t>
  </si>
  <si>
    <t>SEVROLL 02836 Comfort horní vedení 3m stříbrná</t>
  </si>
  <si>
    <t>SEVROLL 10204 horní vozík Gemini symetrický 10mm - 2ks</t>
  </si>
  <si>
    <t>SEVROLL 10196 Focus horní vozík 18mm 2ks</t>
  </si>
  <si>
    <t>SEVROLL 02033 profil "U" pro lamino 16mm 3m stříbrný</t>
  </si>
  <si>
    <t>SEVROLL 04607 Beta 16 úchytová lišta 2,70m stříbrná</t>
  </si>
  <si>
    <t>SEVROLL 02780 Ergo 16 úchytová lišta 2,7m stříbrná</t>
  </si>
  <si>
    <t>SEVROLL 04560 Fiesta 16 úchytová lišta 2,7m stříbrná</t>
  </si>
  <si>
    <t>SEVROLL 04539 Universal 16 úchytová lišta 2,7m stříbrná</t>
  </si>
  <si>
    <t>SEVROLL dorazový kartáč zásuvný 4,8x4mm šedý</t>
  </si>
  <si>
    <t>SEVROLL 10197 spodní vozík WD18V (2x vozík+pozicionér) s pružinou</t>
  </si>
  <si>
    <t>SEVROLL 10208 Maxim horní vozík 18mm - 2ks</t>
  </si>
  <si>
    <t>SEVROLL 10198 spodní vozík WD 18C HI-TEC - 2ks</t>
  </si>
  <si>
    <t>SEVROLL 10200 spodní vozík WD 10C HI-TEC - 2ks</t>
  </si>
  <si>
    <t>SEVROLL 10205 Master horní vozík 10mm - 2ks</t>
  </si>
  <si>
    <t>SEVROLL 10206 Maxim board horní vozík 18mm - 2ks</t>
  </si>
  <si>
    <t>SEVROLL 10223 spodní vozík Simple/Blue V (rámový systém) - 2ks</t>
  </si>
  <si>
    <t>SEVROLL 05197 spodní vozík Simple (bezrámový 18mm) - 2ks</t>
  </si>
  <si>
    <t>SEVROLL 10163 Simple/Blue pozicionér pro spodní vozík</t>
  </si>
  <si>
    <t>SEVROLL 214-605 krycí lišta Herkules Glass 2m stříbrná</t>
  </si>
  <si>
    <t>SEVROLL 219-030 boční krytka krycí profil Herkules Glas</t>
  </si>
  <si>
    <t>SEVROLL 20195 Optima sada tlumičů L+P</t>
  </si>
  <si>
    <t>Sevroll 85003 Fiona II úchytová lišta 2,7m stříbrná</t>
  </si>
  <si>
    <t>SEVROLL 02126 Exclusive horní vedení 3,6m stříbrná</t>
  </si>
  <si>
    <t>SEVROLL 03937 spojovací lišta H16 3m stříbrná</t>
  </si>
  <si>
    <t>SEVROLL 03936 spojovací lišta H16 3m oliva</t>
  </si>
  <si>
    <t>SEVROLL 03935 spojovací lišta H08/16 3m stříbrná</t>
  </si>
  <si>
    <t>SEVROLL 03934 spojovací lišta H08/16 3m oliva</t>
  </si>
  <si>
    <t>SEVROLL 02994 Maxim horní vedení 4,3m oliva</t>
  </si>
  <si>
    <t>SEVROLL 02989 Maxim II spodní vedení 4,3m oliva</t>
  </si>
  <si>
    <t>SEVROLL 02999 Maxim II maska 4,3m oliva</t>
  </si>
  <si>
    <t>SEVROLL 03144 Prosper II úchytová lišta 2,7m oliva</t>
  </si>
  <si>
    <t>SEVROLL 02978 Maxim vodící lišta 4,3m oliva</t>
  </si>
  <si>
    <t>SEVROLL 02973 Maxim spodní krycí lišta 4,3m 18mm oliva</t>
  </si>
  <si>
    <t>SEVROLL 02980 Maxim spojovací lišta H18 1,8m oliva</t>
  </si>
  <si>
    <t>SEVROLL 02981 Maxim spojovací lišta H18 2,5m oliva</t>
  </si>
  <si>
    <t>SEVROLL 02983 Maxim spojovací lišta H25 1,8m oliva</t>
  </si>
  <si>
    <t>SEVROLL 02984 Maxim spojovací lišta H25 2,5m oliva</t>
  </si>
  <si>
    <t>SEVROLL 16385 vzorkovník profilů Simple (krabička)</t>
  </si>
  <si>
    <t>SEVROLL 20224-SV dorazový kartáč zásuvný 14x4mm, 50m, šedý</t>
  </si>
  <si>
    <t>SEVROLL 04569 Focus II 16mm úchytová lišta 2,7m stříbrná</t>
  </si>
  <si>
    <t>SEVROLL 04572 Focus II 18mm úchytová lišta 2,7m stříbrná</t>
  </si>
  <si>
    <t>SEVROLL 04571 Focus II 18mm úchytová lišta 2,7m oliva</t>
  </si>
  <si>
    <t>SEVROLL 03917 Oaza II úchytová lišta 2,7m stříbrná</t>
  </si>
  <si>
    <t>SEVROLL 03916 Oaza II úchytová lišta 2,7m oliva</t>
  </si>
  <si>
    <t>SEVROLL 03918 Oaza II úchytová lišta 2,7m zlatá</t>
  </si>
  <si>
    <t>SEVROLL 02681 Hide N spodní vedení 6m stříbrné</t>
  </si>
  <si>
    <t>SEVROLL 02579 Hide N spodní vedení 1,7m stříbrná</t>
  </si>
  <si>
    <t>SEVROLL 20179 boční krytka profilu Single + pozicionér</t>
  </si>
  <si>
    <t>SEVROLL 20213 stěnová příchytka profilu Single</t>
  </si>
  <si>
    <t>SEVROLL 04016 Gemini horní vedení 3m bílá lesk</t>
  </si>
  <si>
    <t>SEVROLL 04051 spojovací lišta H18 3m bílá lesk</t>
  </si>
  <si>
    <t>SEVROLL 04292 Elegant II spodní vedení 3m bílá lesk</t>
  </si>
  <si>
    <t>SEVROLL 04554 Faworyt II úchytová lišta 2,7m bílá lesk</t>
  </si>
  <si>
    <t>SEVROLL 20238 Simple/Blue montážní přípravek pro lamino 10/18mm</t>
  </si>
  <si>
    <t>SEVROLL 20183 montážní přípravek pro systém Maxim malý</t>
  </si>
  <si>
    <t>SEVROLL 02452 úhelník 18x18mm 3m stříbrná</t>
  </si>
  <si>
    <t>SEVROLL 50510 Optima spodní vedení 6m surová</t>
  </si>
  <si>
    <t>SEVROLL 04699 Optima horní vedení 6m stříbrná</t>
  </si>
  <si>
    <t>SEVROLL 04379 Fox II úchytová lišta 2,7m bílá lesk</t>
  </si>
  <si>
    <t>SEVROLL 00169 horní vodící lišta 3m bílá lesk</t>
  </si>
  <si>
    <t>SEVROLL 00145 Gemini 10 spodní krycí lišta 3m 10mm bílá lesk</t>
  </si>
  <si>
    <t>SEVROLL 04060 Gemini horní vedení 2,35m bílá lesk</t>
  </si>
  <si>
    <t>SEVROLL 04065 horní vodící lišta 2,35m bílá lesk</t>
  </si>
  <si>
    <t>SEVROLL 04063 Gemini 10 spodní krycí lišta 2,35m 10mm bílá lesk</t>
  </si>
  <si>
    <t>SEVROLL 02458 úhelník 22x22mm 3m stříbrná</t>
  </si>
  <si>
    <t>SEVROLL 02446 úhelník 10x10mm 3m stříbrná</t>
  </si>
  <si>
    <t>SEVROLL 02449 úhelník 10x18mm 3m stříbrná</t>
  </si>
  <si>
    <t>SEVROLL 04532 Alfa II úchytová lišta 18mm 2,7m bílá lesk</t>
  </si>
  <si>
    <t>SEVROLL 04062 Gemini 10 spodní krycí lišta 1,7m 10mm bílá lesk</t>
  </si>
  <si>
    <t>SEVROLL 04064 horní vodící lišta 1,7m bílá lesk</t>
  </si>
  <si>
    <t>SEVROLL 03890 spojovací lišta H08/18 3m bílá mat</t>
  </si>
  <si>
    <t>SEVROLL 04050 spojovací lišta H10 3m bílá lesk</t>
  </si>
  <si>
    <t>SEVROLL 04556 Faworyt II úchytová lišta 2,7m bílá mat</t>
  </si>
  <si>
    <t>SEVROLL 04437 Elegant II spodní vedení 3m bílá mat</t>
  </si>
  <si>
    <t>SEVROLL 04290 Elegant II spodní vedení 1,7m bílá lesk</t>
  </si>
  <si>
    <t>SEVROLL 04291 Elegant II spodní vedení 2,35m bílá lesk</t>
  </si>
  <si>
    <t>SEVROLL 04293 Elegant II spodní vedení 4,05m bílá lesk</t>
  </si>
  <si>
    <t>SEVROLL 04061 Gemini horní vedení 4,05m bílá lesk</t>
  </si>
  <si>
    <t>SEVROLL 04059 Gemini horní vedení 1,7m bílá lesk</t>
  </si>
  <si>
    <t>SEVROLL 04094 Pax úchytová lišta 2,7m stříbrná</t>
  </si>
  <si>
    <t>SEVROLL 04102 Pax úchytová lišta 3m stříbrná</t>
  </si>
  <si>
    <t>SEVROLL 04096 Pax horní vodící lišta 3m stříbrná</t>
  </si>
  <si>
    <t>SEVROLL 04095 Gemini 4 Pax spodní krycí lišta 3m 4mm stříbrná</t>
  </si>
  <si>
    <t>SEVROLL 20298 Pax záslepka profilu (4 ks) stříbrná</t>
  </si>
  <si>
    <t>SEVROLL 01507 Single horní vedení 6m stříbrná</t>
  </si>
  <si>
    <t>SEVROLL 02680 Hide N spodní vedení 6m oliva</t>
  </si>
  <si>
    <t>SEVROLL 50461 vedení INTER S 35kg do stropu 2m</t>
  </si>
  <si>
    <t>SEVROLL 50463 vedení INTER S 35kg do stropu 3m</t>
  </si>
  <si>
    <t>SEVROLL 50465 vedení INTER S 35kg do stropu 6m</t>
  </si>
  <si>
    <t>SEVROLL 50455 vedení INTER B 35kg na stěnu 2m</t>
  </si>
  <si>
    <t>SEVROLL 50457 vedení INTER B 35kg na stěnu 3m</t>
  </si>
  <si>
    <t>SEVROLL 50459 vedení INTER B 35kg na stěnu 6m</t>
  </si>
  <si>
    <t>SEVROLL 50472 vedení Galaxy S 50kg do stropu 2m</t>
  </si>
  <si>
    <t>SEVROLL 50449 vedení Galaxy S 50kg do stropu 3m</t>
  </si>
  <si>
    <t>SEVROLL 50450 vedení Galaxy S 50kg do stropu 6m</t>
  </si>
  <si>
    <t>SEVROLL 50468 vedení Galaxy B 50kg na stěnu 2m</t>
  </si>
  <si>
    <t>SEVROLL 50451 vedení Galaxy B 50kg na stěnu 3m</t>
  </si>
  <si>
    <t>SEVROLL 50452 vedení Galaxy B 50kg na stěnu 6m</t>
  </si>
  <si>
    <t>SEVROLL 03979 krycí profil Galaxy 2m</t>
  </si>
  <si>
    <t>SEVROLL 03981 krycí profil Galaxy 3m</t>
  </si>
  <si>
    <t>SEVROLL 03983 krycí profil Galaxy 6m</t>
  </si>
  <si>
    <t>SEVROLL 04318 Pax výztuha 3m stříbrná</t>
  </si>
  <si>
    <t>SEVROLL 20319-SV tlumič Central 10/18mm oboustranný 25-40kg</t>
  </si>
  <si>
    <t>SEVROLL 04098 Pax úchytová lišta 2,7m bílá lesk</t>
  </si>
  <si>
    <t>SEVROLL 04101 Pax úchytová lišta 3m bílá lesk</t>
  </si>
  <si>
    <t>SEVROLL 04100 Pax horní vodící lišta 3m bílá lesk</t>
  </si>
  <si>
    <t>SEVROLL 04099 Gemini 4 Pax spodní krycí lišta 3m 4mm bílá lesk</t>
  </si>
  <si>
    <t>SEVROLL 20299 Pax záslepka profilu (4 ks) bílá lesk</t>
  </si>
  <si>
    <t>SEVROLL 04044 Rex úchytová lišta 2,7m stříbrná</t>
  </si>
  <si>
    <t>SEVROLL 10207 Maxim horní vozík 18mm asymetrický - 2ks</t>
  </si>
  <si>
    <t>SEVROLL 50460 vedení INTER S 35kg do stropu 1,5m</t>
  </si>
  <si>
    <t>SEVROLL 50454 vedení INTER B 35kg na stěnu 1,5m</t>
  </si>
  <si>
    <t>SEVROLL 04043 Rex úchytová lišta 2,7m oliva</t>
  </si>
  <si>
    <t>SEVROLL 04570 Focus II 16mm úchytová lišta 2,7m zlatá</t>
  </si>
  <si>
    <t>SEVROLL 04573 Focus II 18mm úchytová lišta 2,7m zlatá</t>
  </si>
  <si>
    <t>SEVROLL 04163 Uno úchytová lišta 18mm 2,70m stříbrná</t>
  </si>
  <si>
    <t>SEVROLL 04162 Uno úchytová lišta 18mm 2,70m oliva</t>
  </si>
  <si>
    <t>SEVROLL 10184 horní vozík Simple 18mm symetrický L+P</t>
  </si>
  <si>
    <t>SEVROLL 02976 Maxim vodící lišta 2,5m oliva</t>
  </si>
  <si>
    <t>SEVROLL 02971 Maxim spodní krycí lišta 2,5m 18mm oliva</t>
  </si>
  <si>
    <t>SEVROLL 02977 Maxim vodící lišta 3,5m oliva</t>
  </si>
  <si>
    <t>SEVROLL 02972 Maxim spodní krycí lišta 3,5m 18mm oliva</t>
  </si>
  <si>
    <t>SEVROLL 02992 Maxim horní vedení 2,5m oliva</t>
  </si>
  <si>
    <t>SEVROLL 02993 Maxim horní vedení 3,5m oliva</t>
  </si>
  <si>
    <t>SEVROLL 02987 Maxim II spodní vedení 2,5m oliva</t>
  </si>
  <si>
    <t>SEVROLL 02988 Maxim II spodní vedení 3,5m oliva</t>
  </si>
  <si>
    <t>SEVROLL 02997 Maxim II maska 2,5m oliva</t>
  </si>
  <si>
    <t>SEVROLL 02998 Maxim II maska 3,5m oliva</t>
  </si>
  <si>
    <t>SEVROLL 20329 Pax nalepovací úchytka bílá lesk</t>
  </si>
  <si>
    <t>SEVROLL 20328 Pax nalepovací úchytka stříbrná</t>
  </si>
  <si>
    <t>SEVROLL 222829 Linea spojovací element rohový</t>
  </si>
  <si>
    <t>SEVROLL 20259-SV tlumič dorazu Top SV60 - 2ks</t>
  </si>
  <si>
    <t>SEVROLL 03167 Porto úchytová lišta 2,7m stříbrná</t>
  </si>
  <si>
    <t>SEVROLL 40373 reklamní šablona pro vozíky pro lamino 18mm</t>
  </si>
  <si>
    <t>SEVROLL 20296-BL tlumič dorazu Simple/Blue 10/18, 25 - 40kg, L+P</t>
  </si>
  <si>
    <t>SEVROLL 20326 Fix pozicionér pro horní vozík transparentní</t>
  </si>
  <si>
    <t>SEVROLL 02455 úhelník 18x36mm 3m stříbrná</t>
  </si>
  <si>
    <t>SEVROLL 04190 Idea horní/spodní vedení 2m stříbrná</t>
  </si>
  <si>
    <t>SEVROLL 04097 Idea horní/spodní vedení 3m stříbrná</t>
  </si>
  <si>
    <t>SEVROLL 04191 Idea horní/spodní vedení 6m stříbrná</t>
  </si>
  <si>
    <t>SEVROLL 10194-SV Idea sada kování pro dvoje dveře 50kg</t>
  </si>
  <si>
    <t>SEVROLL 10195-SV Idea sada kování pro vnitřní dveře 50kg</t>
  </si>
  <si>
    <t>SEVROLL 10174 pozicionér Simple Start</t>
  </si>
  <si>
    <t>SEVROLL 10178 úchytka Push 90mm broušený nikl</t>
  </si>
  <si>
    <t>SEVROLL 20292 bezpečnostní fólie 300mm/50m transparentní</t>
  </si>
  <si>
    <t>SEVROLL 20072 bezpečnostní fólie 500mm/50m transparentní</t>
  </si>
  <si>
    <t>SEVROLL 20287-SV dorazový kartáč zásuvný 4,8x4mm bílý</t>
  </si>
  <si>
    <t>SEVROLL 20082-BL protiprachový kartáč zásuvný 4,8x9mm šedý</t>
  </si>
  <si>
    <t>SEVROLL 20267-SV tlumič dorazu Top SV80 - 2ks</t>
  </si>
  <si>
    <t>SEVROLL 20288-SV dorazový kartáč zásuvný 14x4mm bílý</t>
  </si>
  <si>
    <t>SEVROLL 02383 Everest vodící lišta 3m oliva</t>
  </si>
  <si>
    <t>SEVROLL 02289 profil "U" pro lamino 36mm 3m oliva</t>
  </si>
  <si>
    <t>SEVROLL 02333 profil "U" Mini pro lamino 18mm 3m oliva</t>
  </si>
  <si>
    <t>SEVROLL 03212 spojovací lišta H30 3m bílá lesk</t>
  </si>
  <si>
    <t>SEVROLL 02456 úhelník 18x36mm 3m oliva</t>
  </si>
  <si>
    <t>SEVROLL 02462 úhelník 36x36mm 3m oliva</t>
  </si>
  <si>
    <t>SEVROLL 02461 úhelník 36x36mm 3m stříbrná</t>
  </si>
  <si>
    <t>SEVROLL 20252 klínek pro lamino tloušťka 2mm (100 ks)</t>
  </si>
  <si>
    <t>SEVROLL 03166 Porto úchytová lišta 2,7m oliva</t>
  </si>
  <si>
    <t>SEVROLL 20264-SV tlumič dorazu Mini SV-60 (40 - 60kg)</t>
  </si>
  <si>
    <t>SEVROLL 03900 okrasná lišta S18 s lepidlem 3m stříbrná</t>
  </si>
  <si>
    <t>SEVROLL 03899 okrasná lišta S18 s lepidlem 3m oliva</t>
  </si>
  <si>
    <t>SEVROLL 04295 Elegant II spodní vedení 6m bílá lesk</t>
  </si>
  <si>
    <t>SEVROLL 04586 Gemini II spodní vedení 1,7m oliva</t>
  </si>
  <si>
    <t>SEVROLL 04587 Gemini II spodní vedení 2,35m oliva</t>
  </si>
  <si>
    <t>SEVROLL 04588 Gemini II spodní vedení 3m oliva</t>
  </si>
  <si>
    <t>SEVROLL 04589 Gemini II spodní vedení 4,05m oliva</t>
  </si>
  <si>
    <t>SEVROLL 04590 Gemini II spodní vedení 6m oliva</t>
  </si>
  <si>
    <t>SEVROLL 01978 Hide M spodní vedení 1,7m stříbrná</t>
  </si>
  <si>
    <t>SEVROLL 01979 Hide M spodní vedení 2,35m stříbrná</t>
  </si>
  <si>
    <t>SEVROLL 02676 Hide M spodní vedení 6m stříbrná</t>
  </si>
  <si>
    <t>SEVROLL 03978 krycí profil Galaxy 1,5m stříbrný</t>
  </si>
  <si>
    <t>SEVROLL 03806 Fala úchytová lišta 10mm 2,5m stříbrná</t>
  </si>
  <si>
    <t>SEVROLL 03810 Polo úchytová lišta 10mm 2,5m stříbrná</t>
  </si>
  <si>
    <t>SEVROLL 50467 vedení Galaxy B 50kg na stěnu 1,5m</t>
  </si>
  <si>
    <t>SEVROLL 50469 vedení Galaxy B 50kg na stěnu 2,5m</t>
  </si>
  <si>
    <t>SEVROLL 50470 vedení Galaxy B 50kg na stěnu 4m</t>
  </si>
  <si>
    <t>SEVROLL 50471 vedení Galaxy S 50kg do stropu 1,5m</t>
  </si>
  <si>
    <t>SEVROLL 50473 vedení Galaxy S 50kg do stropu 2,5m</t>
  </si>
  <si>
    <t>SEVROLL 50474 vedení Galaxy S 50kg do stropu 4m</t>
  </si>
  <si>
    <t>SEVROLL 03206 Gemini horní vedení 6m bílá lesk</t>
  </si>
  <si>
    <t>SEVROLL 219-313 Herkules Glass sada kování 100kg</t>
  </si>
  <si>
    <t>SEVROLL 222650 držák půdy skříně u šikmých stropů</t>
  </si>
  <si>
    <t>SEVROLL 04308 maska Elegant II 1,7m zlatá</t>
  </si>
  <si>
    <t>SEVROLL 04309 maska Elegant II 2,35m zlatá</t>
  </si>
  <si>
    <t>SEVROLL 04310 maska Elegant II 3m zlatá</t>
  </si>
  <si>
    <t>SEVROLL 04311 maska Elegant II 4,05m zlatá</t>
  </si>
  <si>
    <t>SEVROLL 04312 maska Elegant II 6m zlatá</t>
  </si>
  <si>
    <t>SEVROLL 04296 maska Elegant II 1,7m oliva</t>
  </si>
  <si>
    <t>SEVROLL 04313 maska Elegant II 1,7m bílá lesk</t>
  </si>
  <si>
    <t>SEVROLL 04302 maska Elegant II 1,7m stříbrná</t>
  </si>
  <si>
    <t>SEVROLL 04297 maska Elegant II 2,35m oliva</t>
  </si>
  <si>
    <t>SEVROLL 04314 maska Elegant II 2,35m bílá lesk</t>
  </si>
  <si>
    <t>SEVROLL 04303 maska Elegant II 2,35m stříbrná</t>
  </si>
  <si>
    <t>SEVROLL 20363-SV tlumič Central 10/18mm oboustranný 25kg</t>
  </si>
  <si>
    <t>SEVROLL 04273 Elegant II spodní vedení 1,7m oliva</t>
  </si>
  <si>
    <t>SEVROLL 10238 spodní vozík WD10 V 2ks bez pozicionéru</t>
  </si>
  <si>
    <t>SEVROLL 04445 spojovací lišta Simple/Blue H28 3m (pro lamino 18mm) stříbrná</t>
  </si>
  <si>
    <t>SEVROLL 04289 Elegant II spodní vedení 6m zlatá</t>
  </si>
  <si>
    <t>SEVROLL 04419 Gemini 4 Pax XL spodní krycí lišta 3m 4mm stříbrná</t>
  </si>
  <si>
    <t>SEVROLL 04447 spojovací lišta Simple/Blue H21 3m (pro lamino 18mm) stříbrná</t>
  </si>
  <si>
    <t>SEVROLL 04748 Rekord úchytová lišta 18mm 2,70m stříbrná</t>
  </si>
  <si>
    <t>SEVROLL 04747 Rekord úchytová lišta 18mm 2,70m oliva</t>
  </si>
  <si>
    <t>SEVROLL 10231 Micra brzda (2ks v balení)</t>
  </si>
  <si>
    <t>SEVROLL 04687 Eden horizontální lišta 3m bílá lesk</t>
  </si>
  <si>
    <t>SEVROLL 04749 Eden horní krytka 1,1m stříbrná</t>
  </si>
  <si>
    <t>SEVROLL 20340 montážní přípravek pro Eden/Pax</t>
  </si>
  <si>
    <t>SEVROLL 04319 PAX distanční profil 04 3m stříbrná</t>
  </si>
  <si>
    <t>SEVROLL 04320 distanční profil 04 3m bílá lesk</t>
  </si>
  <si>
    <t>SEVROLL 04348-Y maska Elegant II 1,7m oliva kartáčovaná</t>
  </si>
  <si>
    <t>SEVROLL 04358 maska Elegant II 1,7m oliva tmavá kartáčovaná</t>
  </si>
  <si>
    <t>SEVROLL 04353 maska Elegant II 1,7m černá kartáčovaná</t>
  </si>
  <si>
    <t>SEVROLL 04349-Y maska Elegant II 2,35m oliva kartáčovaná</t>
  </si>
  <si>
    <t>SEVROLL 04359 maska Elegant II 2,35m oliva tmavá kartáčovaná</t>
  </si>
  <si>
    <t>SEVROLL 04354 maska Elegant II 2,35m černá kartáčovaná</t>
  </si>
  <si>
    <t>SEVROLL 04304 maska Elegant II 3m stříbrná</t>
  </si>
  <si>
    <t>SEVROLL 04298 maska Elegant II 3m oliva</t>
  </si>
  <si>
    <t>SEVROLL 04350-Y maska Elegant II 3m oliva kartáčovaná</t>
  </si>
  <si>
    <t>SEVROLL 04360 maska Elegant II 3m oliva tmavá kartáčovaná</t>
  </si>
  <si>
    <t>SEVROLL 04355 maska Elegant II 3m černá kartáčovaná</t>
  </si>
  <si>
    <t>SEVROLL 04315 maska Elegant II 3m bílá lesk</t>
  </si>
  <si>
    <t>SEVROLL 04305 maska Elegant II 4,05m stříbrná</t>
  </si>
  <si>
    <t>SEVROLL 04299 maska Elegant II 4,05m oliva</t>
  </si>
  <si>
    <t>SEVROLL 04351-Y maska Elegant II 4,05m oliva kartáčovaná</t>
  </si>
  <si>
    <t>SEVROLL 04361 maska Elegant II 4,05m oliva tmavá kartáčovaná</t>
  </si>
  <si>
    <t>SEVROLL 04356 maska Elegant II 4,05m černá kartáčovaná</t>
  </si>
  <si>
    <t>SEVROLL 04316 maska Elegant II 4,05m bílá lesk</t>
  </si>
  <si>
    <t>SEVROLL 04307 maska Elegant II 6m stříbrná</t>
  </si>
  <si>
    <t>SEVROLL 04301 maska Elegant II 6m oliva</t>
  </si>
  <si>
    <t>SEVROLL 04352-Y maska Elegant II 6m oliva kartáčovaná</t>
  </si>
  <si>
    <t>SEVROLL 04362 maska Elegant II 6m oliva tmavá kartáčovaná</t>
  </si>
  <si>
    <t>SEVROLL 04357 maska Elegant II 6m černá kartáčovaná</t>
  </si>
  <si>
    <t>SEVROLL 04317 maska Elegant II 6m bílá lesk</t>
  </si>
  <si>
    <t>SEVROLL 214-378 Herkules plus horní vedení 4m alu</t>
  </si>
  <si>
    <t>SEVROLL 214-379 Herkules plus horní vedení 6m alu</t>
  </si>
  <si>
    <t>SEVROLL 20371 šroubovrut Blue 6,3x45</t>
  </si>
  <si>
    <t>SEVROLL 04512 Era úchytová lišta 18mm 2,70m stříbrná</t>
  </si>
  <si>
    <t>SEVROLL 04472 Blue horní vedení 2m stříbrná</t>
  </si>
  <si>
    <t>SEVROLL 04496 Blue-V spodní vedení 2m stříbrná</t>
  </si>
  <si>
    <t>SEVROLL 04484 Blue-C spodní vedení 2m stříbrná</t>
  </si>
  <si>
    <t>SEVROLL 10218 horní vozík Blue (pro lamino 18mm) rámový L+P</t>
  </si>
  <si>
    <t>SEVROLL 10221 spodní vozík Blue C rámový systém - 2ks</t>
  </si>
  <si>
    <t>SEVROLL 10217 horní vozík Blue (pro lamino 18mm) bezrámový L+P</t>
  </si>
  <si>
    <t>SEVROLL 10219 spodní vozík Blue V bezrámový pro 18mm - 2ks</t>
  </si>
  <si>
    <t>SEVROLL 10220 spodní vozík Blue C bezrámový pro 18mm - 2ks</t>
  </si>
  <si>
    <t>SEVROLL 04511 Era úchytová lišta 18mm 2,70m oliva</t>
  </si>
  <si>
    <t>SEVROLL 04471 Blue horní vedení 1,5m stříbrná</t>
  </si>
  <si>
    <t>SEVROLL 04465 Blue horní vedení 1,5m oliva</t>
  </si>
  <si>
    <t>SEVROLL 04466 Blue horní vedení 2m oliva</t>
  </si>
  <si>
    <t>SEVROLL 04473 Blue horní vedení 2,5m stříbrná</t>
  </si>
  <si>
    <t>SEVROLL 04467 Blue horní vedení 2,5m oliva</t>
  </si>
  <si>
    <t>SEVROLL 04468 Blue horní vedení 3m oliva</t>
  </si>
  <si>
    <t>SEVROLL 04474 Blue horní vedení 3m stříbrná</t>
  </si>
  <si>
    <t>SEVROLL 04475 Blue horní vedení 4m stříbrná</t>
  </si>
  <si>
    <t>SEVROLL 04469 Blue horní vedení 4m oliva</t>
  </si>
  <si>
    <t>SEVROLL 04470 Blue horní vedení 6m oliva</t>
  </si>
  <si>
    <t>SEVROLL 04476 Blue horní vedení 6m stříbrná</t>
  </si>
  <si>
    <t>SEVROLL 04490 Blue-V spodní vedení 2m oliva</t>
  </si>
  <si>
    <t>SEVROLL 04495 Blue-V spodní vedení 1,5m stříbrná</t>
  </si>
  <si>
    <t>SEVROLL 04491 Blue-V spodní vedení 2,5m oliva</t>
  </si>
  <si>
    <t>SEVROLL 04489 Blue-V spodní vedení 1,5m oliva</t>
  </si>
  <si>
    <t>SEVROLL 04497 Blue-V spodní vedení 2,5m stříbrná</t>
  </si>
  <si>
    <t>SEVROLL 04498 Blue-V spodní vedení 3m stříbrná</t>
  </si>
  <si>
    <t>SEVROLL 04492 Blue-V spodní vedení 3m oliva</t>
  </si>
  <si>
    <t>SEVROLL 04493 Blue-V spodní vedení 4m oliva</t>
  </si>
  <si>
    <t>SEVROLL 04494 Blue-V spodní vedení 6m oliva</t>
  </si>
  <si>
    <t>SEVROLL 04500 Blue-V spodní vedení 6m stříbrná</t>
  </si>
  <si>
    <t>SEVROLL 04499 Blue-V spodní vedení 4m stříbrná</t>
  </si>
  <si>
    <t>SEVROLL 20361 upevňovací klín Blue 40ks (sklo 4mm)</t>
  </si>
  <si>
    <t>SEVROLL 04483 Blue-C spodní vedení 1,5m stříbrná</t>
  </si>
  <si>
    <t>SEVROLL 04477 Blue-C spodní vedení 1,5m oliva</t>
  </si>
  <si>
    <t>SEVROLL 04478 Blue-C spodní vedení 2m oliva</t>
  </si>
  <si>
    <t>SEVROLL 04485 Blue-C spodní vedení 2,5m stříbrná</t>
  </si>
  <si>
    <t>SEVROLL 04479 Blue-C spodní vedení 2,5m oliva</t>
  </si>
  <si>
    <t>SEVROLL 04486 Blue-C spodní vedení 3m stříbrná</t>
  </si>
  <si>
    <t>SEVROLL 04480 Blue-C spodní vedení 3m oliva</t>
  </si>
  <si>
    <t>SEVROLL 04487 Blue-C spodní vedení 4m stříbrná</t>
  </si>
  <si>
    <t>SEVROLL 04481 Blue-C spodní vedení 4m oliva</t>
  </si>
  <si>
    <t>SEVROLL 04488 Blue-C spodní vedení 6m stříbrná</t>
  </si>
  <si>
    <t>SEVROLL 04482 Blue-C spodní vedení 6m oliva</t>
  </si>
  <si>
    <t>SEVROLL 10239 horní vozík Blue 10mm asymetrický L+P</t>
  </si>
  <si>
    <t>SEVROLL 10240 horní vozík Blue 10mm symetrický L+P</t>
  </si>
  <si>
    <t>SEVROLL 20375-BL tlumič dorazu Simple/Blue 10/18 25kg L+P</t>
  </si>
  <si>
    <t>SEVROLL 04284 Elegant II spodní vedení 6m stříbrná</t>
  </si>
  <si>
    <t>SEVROLL 04278 Elegant II spodní vedení 6m oliva</t>
  </si>
  <si>
    <t>SEVROLL 20396 zámek pro posuvné dveře 18 mm (stejný klíč)</t>
  </si>
  <si>
    <t>SEVROLL 04760 Gemini II spodní vedení 1,7m bílá lesk</t>
  </si>
  <si>
    <t>SEVROLL 04761 Gemini II spodní vedení 2,35m bílá lesk</t>
  </si>
  <si>
    <t>SEVROLL 04762 Gemini II spodní vedení 3m bílá lesk</t>
  </si>
  <si>
    <t>SEVROLL 04763 Gemini II spodní vedení 4,05m bílá lesk</t>
  </si>
  <si>
    <t>SEVROLL 04764 Gemini II spodní vedení 6m bílá lesk</t>
  </si>
  <si>
    <t>SEVROLL 20384 Micra šablona pro vozíky - 1 pár = 1 ks</t>
  </si>
  <si>
    <t>SEVROLL 50246 Ursus horní vedení 3,6m surová</t>
  </si>
  <si>
    <t>SEVROLL 20327 Pax nalepovací úchytka transparentní</t>
  </si>
  <si>
    <t>SEVROLL 04153 profil "U" pro lamino 18mm 3m bílá lesk</t>
  </si>
  <si>
    <t>SEVROLL 10236 2x spodní vozík WD18V bez pozicionéru s pružinou</t>
  </si>
  <si>
    <t>SEVROLL 10237 2x spodní vozík pro lamino 18mm bez pozicionéru bez pružiny</t>
  </si>
  <si>
    <t>SEVROLL 20369 zámek na posuvné dveře pro madlo Karat a Prosper</t>
  </si>
  <si>
    <t>SEVROLL 04184 okrasná lišta S18 s lepidlem 3m bílá lesk</t>
  </si>
  <si>
    <t>SEVROLL 05144 Gemini 10 spodní krycí lišta 1,7m 10mm černá lesk</t>
  </si>
  <si>
    <t>SEVROLL 05145 Gemini 10 spodní krycí lišta 2,35m 10mm černá lesk</t>
  </si>
  <si>
    <t>SEVROLL 05183 Gemini 10 spodní krycí lišta 3m 10mm černá lesk</t>
  </si>
  <si>
    <t>SEVROLL 05299 Gemini 10 spodní krycí lišta 1,7m 10mm černá mat</t>
  </si>
  <si>
    <t>SEVROLL 05300 Gemini 10 spodní krycí lišta 2,35m 10mm černá mat</t>
  </si>
  <si>
    <t>SEVROLL 03604 Gemini 10 spodní krycí lišta 3m 10mm černá mat</t>
  </si>
  <si>
    <t>SEVROLL 05323 Gemini 4 Pax spodní krycí lišta 3m 4mm černá mat</t>
  </si>
  <si>
    <t>SEVROLL 04418 Gemini 4 Pax XL spodní krycí lišta 3m 4mm bílá lesk</t>
  </si>
  <si>
    <t>SEVROLL 04833 Gemini 4 Pax XL spodní krycí lišta 3m 4mm černá mat</t>
  </si>
  <si>
    <t>SEVROLL Victoria II úchytová lišta 18mm 2,7m RAL7015 mat</t>
  </si>
  <si>
    <t>SEVROLL Gemini horní vedení 3m RAL7015 mat</t>
  </si>
  <si>
    <t>SEVROLL Elegant II spodní vedení 3m RAL7015 mat</t>
  </si>
  <si>
    <t>SEVROLL spojovací lišta H18 3m RAL7015 mat</t>
  </si>
  <si>
    <t>SEVROLL 20006 bezpečnostní fólie 500mm/400m černá</t>
  </si>
  <si>
    <t>SEVROLL 20258-SV tlumič dorazu Mini SV40 (25 - 40kg) - 2ks (akce)</t>
  </si>
  <si>
    <t>SEVROLL 10236 2x spodní vozík WD18V bez pozicionéru s pružinou (akce)</t>
  </si>
  <si>
    <t>SEVROLL 05747 spodní krycí lišta Simple/Blue 2m (pro lamino 18mm) černá mat</t>
  </si>
  <si>
    <t>SEVROLL 05748 spodní krycí lišta Simple/Blue 3m (pro lamino 18mm) černá mat</t>
  </si>
  <si>
    <t>SEVROLL 05749 horní vodící lišta Simple/Blue 2m (pro lamino 18mm) černá mat</t>
  </si>
  <si>
    <t>SEVROLL 05750 horní vodící lišta Simple/Blue 3m (pro lamino 18mm) černá mat</t>
  </si>
  <si>
    <t>SEVROLL 05746 spojovací lišta Simple/Blue H21 3m (pro lamino 18mm) černá mat</t>
  </si>
  <si>
    <t>SEVROLL 05745 Era úchytová lišta 18mm 2,70m černá mat</t>
  </si>
  <si>
    <t>SEVROLL 05909 Rekord úchytová lišta 18mm 2,70m černá mat</t>
  </si>
  <si>
    <t>SEVROLL 05751 Blue-V spodní vedení 2m černá mat</t>
  </si>
  <si>
    <t>SEVROLL 05752 Blue-V spodní vedení 3m černá mat</t>
  </si>
  <si>
    <t>SEVROLL 05753 Blue-V spodní vedení 6m černá mat</t>
  </si>
  <si>
    <t>SEVROLL 05754 Blue horní vedení 2m černá mat</t>
  </si>
  <si>
    <t>SEVROLL 05755 Blue horní vedení 3m černá mat</t>
  </si>
  <si>
    <t>SEVROLL 05756 Blue horní vedení 6m černá mat</t>
  </si>
  <si>
    <t>SEVROLL 05808 Concordia sada kování pro dvoje dveře,1150-1750mm,15-22mm, 20 kg</t>
  </si>
  <si>
    <t>SEVROLL 05809 Concordia sada kování pro dvoje dveře,1750-2350mm,15-22mm, 20 kg</t>
  </si>
  <si>
    <t>K-SEVROLL Alfa II úchyt. lišta 18 mm, 2,70m, stříbrná + 5xhorní+5xspodní vozík</t>
  </si>
  <si>
    <t>K-SEVROLL Focus II úchyt. lišta 18 mm, 2,70m, stříbrná + 5xhorní+5xspodní vozík</t>
  </si>
  <si>
    <t>K-SEVROLL Alfa II úchyt. lišta 18 mm, 2,70m, stříbrná +horní/spodní vozík+vedení</t>
  </si>
  <si>
    <t>K-SEVROLL Focus II úchyt. lišta 18 mm, 2,70m, stříbrná+horní/spodní vozík+vedení</t>
  </si>
  <si>
    <t>SEVROLL 05903 Focus II 18mm úchytová lišta 2,7m černá mat</t>
  </si>
  <si>
    <t>SEVROLL 02549 Secret Line II rámová lišta 2,7m oliva</t>
  </si>
  <si>
    <t>SEVROLL 05744 Secret Line II rámová lišta 2,7m černá mat</t>
  </si>
  <si>
    <t>SEVROLL 05982 Vitara úchytová lišta 2,7m černá mat</t>
  </si>
  <si>
    <t>Sevroll 05000 Lux III úchytová lišta 2,7m zlatá</t>
  </si>
  <si>
    <t>Sevroll 81002 Lux III úchytová lišta 3m stříbrná</t>
  </si>
  <si>
    <t>SEVROLL 02782 Beta 16 úchytová lišta 2,70m oliva</t>
  </si>
  <si>
    <t>SEVROLL 04417 Pax XL úchytová lišta 3m bílá lesk</t>
  </si>
  <si>
    <t>Sevroll 05001 Lux III úchytová lišta 3m zlatá</t>
  </si>
  <si>
    <t>SEVROLL 02336 okrasná lišta S10 3m černá mat</t>
  </si>
  <si>
    <t>SEVROLL 04534 Universal 18 úchytová lišta 2,7m oliva</t>
  </si>
  <si>
    <t>spojovací H21 profil Simple (18mm)</t>
  </si>
  <si>
    <t>spojovací H28 profil Simple (18mm)</t>
  </si>
  <si>
    <t>Összekötő H28 profil Simple (18mm)</t>
  </si>
  <si>
    <t>Összekötő H21 profil Simple (18mm)</t>
  </si>
  <si>
    <t>profil łączący H21 Simple (18mm)</t>
  </si>
  <si>
    <t>profil łączący H28 Simple (18mm)</t>
  </si>
  <si>
    <t>SEVROLL 06033 profil "U" pro lamino 18mm 3m grafit</t>
  </si>
  <si>
    <t>SEVROLL 06034 úhelník Mini 17x11mm 1,7m grafit</t>
  </si>
  <si>
    <t>SEVROLL 06035 úhelník Mini 17x11mm 2,35m grafit</t>
  </si>
  <si>
    <t>SEVROLL 06036 úhelník Mini 17x11mm 3m grafit</t>
  </si>
  <si>
    <t>SEVROLL 06037 Gemini 10 spodní krycí lišta 1,7m 10mm grafit</t>
  </si>
  <si>
    <t>SEVROLL 06038 Gemini 10 spodní krycí lišta 2,35m 10mm grafit</t>
  </si>
  <si>
    <t>SEVROLL 05967 Gemini 10 spodní krycí lišta 3m 10mm grafit</t>
  </si>
  <si>
    <t>SEVROLL 06039 horní vodící lišta 1,7m grafit</t>
  </si>
  <si>
    <t>SEVROLL 06040 horní vodící lišta 2,35m grafit</t>
  </si>
  <si>
    <t>SEVROLL 05966 horní vodící lišta 3m grafit</t>
  </si>
  <si>
    <t>SEVROLL 05971 spojovací lišta H10 3m grafit</t>
  </si>
  <si>
    <t>SEVROLL 06041 spojovací lišta H18 3m grafit</t>
  </si>
  <si>
    <t>SEVROLL 06053 Alfa II úchytová lišta 18mm 2,7m grafit</t>
  </si>
  <si>
    <t>SEVROLL 06019 Fox II úchytová lišta 2,7m grafit</t>
  </si>
  <si>
    <t>SEVROLL 06042 Elegant II spodní vedení 1,7m grafit</t>
  </si>
  <si>
    <t>SEVROLL 06043 Elegant II spodní vedení 2,35m grafit</t>
  </si>
  <si>
    <t>SEVROLL 06020 Elegant II spodní vedení 3m grafit</t>
  </si>
  <si>
    <t>SEVROLL 06021 Elegant II spodní vedení 4,05m grafit</t>
  </si>
  <si>
    <t>SEVROLL 06044 Elegant II spodní vedení 6m grafit</t>
  </si>
  <si>
    <t>SEVROLL 06045 Gemini horní vedení 1,7m grafit</t>
  </si>
  <si>
    <t>SEVROLL 06046 Gemini horní vedení 2,35m grafit</t>
  </si>
  <si>
    <t>SEVROLL 06022 Gemini horní vedení 3m grafit</t>
  </si>
  <si>
    <t>SEVROLL 06023 Gemini horní vedení 4,05m grafit</t>
  </si>
  <si>
    <t>SEVROLL 06047 Gemini horní vedení 6m grafit</t>
  </si>
  <si>
    <t>SEVROLL 06048 maska Elegant II 1,7m grafit</t>
  </si>
  <si>
    <t>SEVROLL 06049 maska Elegant II 2,35m grafit</t>
  </si>
  <si>
    <t>SEVROLL 06050 maska Elegant II 3m grafit</t>
  </si>
  <si>
    <t>SEVROLL 06051 maska Elegant II 4,05m grafit</t>
  </si>
  <si>
    <t>SEVROLL 06052 maska Elegant II 6m grafit</t>
  </si>
  <si>
    <t>grafit</t>
  </si>
  <si>
    <t>SEVROLL 05801 GM 18 spodní krycí lišta 1,7m 18mm oliva</t>
  </si>
  <si>
    <t>SEVROLL 05803 GM 18 spodní krycí lišta 3m 18mm oliva</t>
  </si>
  <si>
    <t>SEVROLL 05913 GM 18 spodní krycí lišta 2,35m 18mm černá mat</t>
  </si>
  <si>
    <t>SEVROLL 05803 GM 18 spodní krycí lišta 3m 18mm černá mat</t>
  </si>
  <si>
    <t>SEVROLL 05795 GM 18 horní vodící lišta 1,7m oliva</t>
  </si>
  <si>
    <t>SEVROLL 05796 GM 18 horní vodící lišta 2,35m oliva</t>
  </si>
  <si>
    <t>SEVROLL 05918 GM 18 horní vodící lišta 1,7m černá mat</t>
  </si>
  <si>
    <t>SEVROLL 05919 GM 18 horní vodící lišta 2,35m černá mat</t>
  </si>
  <si>
    <t>SEVROLL 05920 GM 18 horní vodící lišta 3m černá mat</t>
  </si>
  <si>
    <t>SEVROLL 05805 GM 18 spojovací lišta H18 3m oliva</t>
  </si>
  <si>
    <t>SEVROLL 05924 GM 18 spojovací lišta H18 3m černá mat</t>
  </si>
  <si>
    <t>SEVROLL 05804 GM 18 spojovací lišta H18 3m stříbrná</t>
  </si>
  <si>
    <t>SEVROLL 05807 GM 18 spojovací lišta H25 3m oliva</t>
  </si>
  <si>
    <t>SEVROLL 05926 GM 18 spojovací lišta H25 3m černá mat</t>
  </si>
  <si>
    <t>SEVROLL 05806 GM 18 spojovací lišta H25 3m stříbrná</t>
  </si>
  <si>
    <t>SEVROLL 05689 GM 18 horní vozík bezrámový symetrický - 2ks</t>
  </si>
  <si>
    <t>SEVROLL 05689 GM 18 horní vozík bezrámový asymetrický - 2ks</t>
  </si>
  <si>
    <t>SEVROLL 05691 GM 18 horní vozík rámový asymetrický - 2ks</t>
  </si>
  <si>
    <t>Old</t>
  </si>
  <si>
    <t>New</t>
  </si>
  <si>
    <t>upravit</t>
  </si>
  <si>
    <t>Prosper GM</t>
  </si>
  <si>
    <t>Összekötő profil H18-3méter</t>
  </si>
  <si>
    <t>spojovací profil H25-3metry</t>
  </si>
  <si>
    <t>Összekötő profil H25-3méter</t>
  </si>
  <si>
    <t>spojovací profil H25-3metre</t>
  </si>
  <si>
    <t>profil łączący H25-3metry</t>
  </si>
  <si>
    <t>Arte GM</t>
  </si>
  <si>
    <t>Systémy:      (vzorkovník profilů objednávejte pod kódem 494207)</t>
  </si>
  <si>
    <t>Rendszerek:        A profil minta dobozokat a következő kódon rendelheti: 494207</t>
  </si>
  <si>
    <t>Systémy:    Vzorkovník profilov objednávajte pod kódom 494207</t>
  </si>
  <si>
    <t>Systemy:       Wzornik profili można zamówić pod kodem 494207</t>
  </si>
  <si>
    <t>SEVROLL 05942 horní vodící lišta 1,7m bílá mat</t>
  </si>
  <si>
    <t>SEVROLL 05943 horní vodící lišta 2,35m bílá mat</t>
  </si>
  <si>
    <t>SEVROLL 00169 horní vodící lišta 3m bílá mat</t>
  </si>
  <si>
    <t>SEVROLL 04418 Gemini 4 Pax XL spodná krycia lišta 3m 4mm biela lesk</t>
  </si>
  <si>
    <t>SEVROLL 05939 Gemini 10 spodní krycí lišta 1,7m 10mm bílá mat</t>
  </si>
  <si>
    <t>SEVROLL 05939 alsó takaró profil 1,7m 10mm matt fehér</t>
  </si>
  <si>
    <t>SEVROLL 05939 Gemini 10 dolna maskownica 1,7 m 10 mm, biały mat</t>
  </si>
  <si>
    <t>SEVROLL 05939 Gemini 10 spodná krycia lišta 1,7m 10mm biela mat</t>
  </si>
  <si>
    <t>SEVROLL 05940 Gemini 10 spodní krycí lišta 2,35m 10mm bílá mat</t>
  </si>
  <si>
    <t>SEVROLL 05940 alsó takaró profil 2,35m 10mm matt fehér</t>
  </si>
  <si>
    <t>SEVROLL 05940 Gemini 10 dolna maskownica 2,35 m 10 mm, biały mat</t>
  </si>
  <si>
    <t>SEVROLL 05940 Gemini 10 spodná krycia lišta 2,35m 10mm biela mat</t>
  </si>
  <si>
    <t>SEVROLL 05941 Gemini 10 spodní krycí lišta 3m 10mm bílá mat</t>
  </si>
  <si>
    <t>SEVROLL 05941 alsó takaró profil 3m 10mm matt fehér</t>
  </si>
  <si>
    <t>SEVROLL 05941 listwa pozioma dolna 3 m 10 mm, biały mat</t>
  </si>
  <si>
    <t>SEVROLL 05941 Gemini 10 spodná krycia lišta 3m 10mm biela mat</t>
  </si>
  <si>
    <t>SEVROLL 05181 spojovací lišta H10 3m bílá mat</t>
  </si>
  <si>
    <t>SEVROLL 00108 úhelník Mini 17x11mm 1,7m zlatá</t>
  </si>
  <si>
    <t>SEVROLL szögletvas Mini 17x11mm 1,7m arany</t>
  </si>
  <si>
    <t>SEVROLL uholník Mini 17x11mm 1,7m zlatá</t>
  </si>
  <si>
    <t>SEVROLL kątownik Mini 17x11mm 1,7m złoty</t>
  </si>
  <si>
    <t>SEVROLL 10218  felső görgő Blue (18 mm-es rétegeltlemez) keretes J+B</t>
  </si>
  <si>
    <t>SEVROLL 10218 horný vozík Blue (pro lamino 18mm) rámový L+P</t>
  </si>
  <si>
    <t>SEVROLL wózek górny Blue (do płyty laminowanej 18mm) ramowy L+P</t>
  </si>
  <si>
    <t>SEVROLL 00093 úhelník Mini 17x11mm 1,7m oliva</t>
  </si>
  <si>
    <t>SEVROLL 00093 szögletvas Mini 17x11mm 1,7m oliva</t>
  </si>
  <si>
    <t>SEVROLL 00903 uholník Mini 17x11mm 1,7m oliva</t>
  </si>
  <si>
    <t>SEVROLL50235  Micra felső/alsó vezetés 2,35m nyers</t>
  </si>
  <si>
    <t>SEVROLL 50235 Micra horné/spodné vedenie 2,35m surová</t>
  </si>
  <si>
    <t>SEVROLL Micra tor górny / dolny 2,35 m, surowy</t>
  </si>
  <si>
    <t>SEVROLL "U" profil rétegelt lemezhez 10mm 2m ezüst</t>
  </si>
  <si>
    <t>SEVROLL 02557 profil "U" pro lamino 10mm 2m strieborná</t>
  </si>
  <si>
    <t>SEVROLL profil "U" do płyty laminowanej 10mm 2m srebrny</t>
  </si>
  <si>
    <t>SEVROLL 00103 úhelník Mini 17x11mm 2,35m stříbrná</t>
  </si>
  <si>
    <t>SEVROLL 00103 szögletvas Mini 17x11mm 2,35m ezüst</t>
  </si>
  <si>
    <t>SEVROLL 00103 úhelník Mini 17x11mm 2,35m strieborný</t>
  </si>
  <si>
    <t>SEVROLL kątownik 17x11mm 2,35m srebrny</t>
  </si>
  <si>
    <t>SEVROLL 10239  felső görgő Blue 10mm aszimmetrikus J+B</t>
  </si>
  <si>
    <t>SEVROLL 10239 horný vozík Blue 10mm asymetrický L+P</t>
  </si>
  <si>
    <t>SEVROLL wózek górny Blue 10mm asymetryczny L+P</t>
  </si>
  <si>
    <t>SEVROLL 10217 felső görgő Blue (18 mm-es rétegeltlemez) keret nélküli J+B</t>
  </si>
  <si>
    <t>SEVROLL 10217 horný vozík Blue (pro lamino 18mm) bezrámový L+P</t>
  </si>
  <si>
    <t>SEVROLL wózek górny Blue (do płyty laminowanej 18mm) bezramowy L+P</t>
  </si>
  <si>
    <t>SEVROLL 04053 úhelník Mini 17x11mm 1,7m bílá lesk</t>
  </si>
  <si>
    <t>SEVROLL 04053 szögletvas Mini 17x11mm 1,7m fényes fehér</t>
  </si>
  <si>
    <t>SEVROLL 04053 uholník Mini 17x11mm 1,7m biela lesk</t>
  </si>
  <si>
    <t>SEVROLL kątownik Mini 17x11 mm 1,7 m, biały połysk</t>
  </si>
  <si>
    <t>SEVROLL "U" Mini profil 18 mm-es rétegeltlemezre 3m ezüst</t>
  </si>
  <si>
    <t>SEVROLL profil "U" Mini na DTD 18mm 3m strieborná</t>
  </si>
  <si>
    <t>SEVROLL Profil "U" mini do płyty laminowanej 18 mm, 3 m, srebrny</t>
  </si>
  <si>
    <t>SEVROLL szögletvas K2 Decor 1,7m oliva</t>
  </si>
  <si>
    <t>SEVROLL 278 UHOLNÍK K2 1,70M OLIVOVÁ</t>
  </si>
  <si>
    <t>SEVROLL kątownik K2 Decor 1,7m jasny brąz</t>
  </si>
  <si>
    <t>SEVROLL 04313 takaró profil Elegant II 1,7m fényes fehér</t>
  </si>
  <si>
    <t>SEVROLL 04313 maska Elegant II 1,7m biela lesk</t>
  </si>
  <si>
    <t>SEVROLL maska do toru Elegant II 1,7m biały połysk</t>
  </si>
  <si>
    <t>SEVROLL Micra felső/alsó vezetés 1,7m oliva</t>
  </si>
  <si>
    <t>SEVROLL 01114 Micra horné/spodné vedenie 1,7m oliva</t>
  </si>
  <si>
    <t>SEVROLL Micra tor górny / dolny 1,7 m oliwka</t>
  </si>
  <si>
    <t>SEVROLL PAX távtartó profil 04 3m ezüst</t>
  </si>
  <si>
    <t>SEVROLL 04319 PAX dištančný profil 04 3m strieborná</t>
  </si>
  <si>
    <t>SEVROLL  01135 Smart alsó vezetés 1,7m ezüst</t>
  </si>
  <si>
    <t>SEVROLL SMART SPODNÉ VEDENIE 1,7M STRIE.</t>
  </si>
  <si>
    <t>SEVROLL 01135 Smart tor dolny 1,7 m, srebrny</t>
  </si>
  <si>
    <t>SEVROLL 02306  dísz profil S10 3m ezüst</t>
  </si>
  <si>
    <t>SEVROLL 02336 Szpros S10 3m oliwka</t>
  </si>
  <si>
    <t>SEVROLL 00078 szögletvas K2 Decor 1,7m ezüst</t>
  </si>
  <si>
    <t>SEVROLL 278 UHOLNÍK K2 1,70M STRIEBORNÁ</t>
  </si>
  <si>
    <t>SEVROLL 01117 Micra felső/alsó vezetés 1,7m ezüst elox</t>
  </si>
  <si>
    <t>SEVROLL Micra tor górny / dolny 1,7 m, srebrny anodowany</t>
  </si>
  <si>
    <t>SEVROLL 05197 alsó görgő Simple (keret nélküli 18mm) - 2db</t>
  </si>
  <si>
    <t>SEVROLL 05197 spodný vozík Simple (bezrámový 18mm) - 2ks</t>
  </si>
  <si>
    <t>SEVROLL wózek dolny Simple (bezramowy 18mm) - 2szt</t>
  </si>
  <si>
    <t>SEVROLL 50236 Micra felső/alsó vezetés 3m nyers</t>
  </si>
  <si>
    <t>SEVROLL 50236 Micra horné/spodné vedenie 3m surová</t>
  </si>
  <si>
    <t>SEVROLL Micra tor górny / dolny 3 m, surowy</t>
  </si>
  <si>
    <t>SEVROLL 00094 úhelník Mini 17x11mm 2,35m oliva</t>
  </si>
  <si>
    <t>SEVROLL  00094 szögletvas Mini 17x11mm 2,35m oliva</t>
  </si>
  <si>
    <t>SEVROLL 00904 uholník Mini 17x11mm 2,35m oliva</t>
  </si>
  <si>
    <t>SEVROLL 00109 úhelník Mini 17x11mm 2,35m zlatá</t>
  </si>
  <si>
    <t>SEVROLL szögletvas Mini 17x11mm 2,35m arany</t>
  </si>
  <si>
    <t>SEVROLL uholník Mini 17x11mm 2,35m zlatá</t>
  </si>
  <si>
    <t>SEVROLL kątownik Mini 17x11mm 2,35m złoty</t>
  </si>
  <si>
    <t>SEVROLL 00104 úhelník Mini 17x11mm 3m stříbrná</t>
  </si>
  <si>
    <t>SEVROLL 00104 szögletvas Mini 17x11mm 3m ezüst</t>
  </si>
  <si>
    <t>SEVROLL 00104 úhelník Mini 17x11mm 3m strieborný</t>
  </si>
  <si>
    <t>SEVROLL kątownik 17x11mm 3m srebrny</t>
  </si>
  <si>
    <t>SEVROLL "U" Mini profil 18 mm-es rétegeltlemezre 3m oliva</t>
  </si>
  <si>
    <t>SEVROLL profil "U" Mini do płyty laminowanej 18mm 3m jasny brąz</t>
  </si>
  <si>
    <t>SEVROLL 04353 takaró profil Elegant II 1,7m fekete szálcsiszolt</t>
  </si>
  <si>
    <t>SEVROLL 04353 maska Elegant II 1,7m čierna  kartáčovaná</t>
  </si>
  <si>
    <t>SEVROLL maska do toru Elegant II 1,7 m czarny szczotkowany</t>
  </si>
  <si>
    <t>SEVROLL 04348-Y takaró profil Elegant II 1,7m oliva szálcsiszolt</t>
  </si>
  <si>
    <t>SEVROLL maska do toru Elegant II 1,7m jasny brąz szczotkowany</t>
  </si>
  <si>
    <t>SEVROLL takaró profil Elegant II 1,7m oliva sötét szálcsiszolt</t>
  </si>
  <si>
    <t>SEVROLL zaślepka do toru Elegant II 1,7m koniak szczotkowany</t>
  </si>
  <si>
    <t>SEVROLL szögletvas K2 1,7m fekete szálcsiszolt</t>
  </si>
  <si>
    <t>SEVROLL uholník K2 1,7m čierna kartáčovaná</t>
  </si>
  <si>
    <t>SEVROLL kątownik K2 1,7 m czarny szczotkowany</t>
  </si>
  <si>
    <t>SEVROLL alsó görgő Blue C keret nélküli 18mm-hez - 2db</t>
  </si>
  <si>
    <t>SEVROLL 10220 spodný vozík Blue C bezrámový pre 18mm - 2ks</t>
  </si>
  <si>
    <t>SEVROLL wózek dolny Blue C bezramowy do 18mm - 2 szt.</t>
  </si>
  <si>
    <t>SEVROLL Exclusive fék gumi felső</t>
  </si>
  <si>
    <t>SEVROLL 20337 Exclusive brzda gumová horná</t>
  </si>
  <si>
    <t>SEVROLL Exclusive odbojnik gumowy górny</t>
  </si>
  <si>
    <t>SEVROLL 02337 dísz profil S10 3m oliva</t>
  </si>
  <si>
    <t>SEVROLL Szpros S10 3m oliwka</t>
  </si>
  <si>
    <t>SEVROLL szögletvas 10x10mm 3m ezüst</t>
  </si>
  <si>
    <t>SEVROLL uholník 10x10mm 3m strieborná</t>
  </si>
  <si>
    <t>SEVROLL kątownik 10x10mm 3m srebrny</t>
  </si>
  <si>
    <t>SEVROLL 04054 úhelník Mini 17x11mm 2,35m bílá lesk</t>
  </si>
  <si>
    <t>SEVROLL 04054 szögletvas Mini 17x11mm 2,35m fényes fehér</t>
  </si>
  <si>
    <t>SEVROLL 04054 uholník Mini 17x11mm 2,35m biela lesk</t>
  </si>
  <si>
    <t>SEVROLL kątownik Mini 17x11 mm 2,35 m, biały połysk</t>
  </si>
  <si>
    <t>SEVROLL Blue-C alsó vezetés 1,5m ezüst</t>
  </si>
  <si>
    <t>SEVROLL 04483 Blue-C spodné vedenie 1,5m strieborná</t>
  </si>
  <si>
    <t>SEVROLL Blue-C tor dolny 1,5m srebrny</t>
  </si>
  <si>
    <t>SEVROLL 00031  "U" profil rétegelt lemezhez 18mm 3m ezüst</t>
  </si>
  <si>
    <t>SEVROLL profil "U" do płyty laminowanej 18mm 3m srebrny</t>
  </si>
  <si>
    <t>SEVROLL szögletvas K2 1,7m oliva sötét szálcsiszolt</t>
  </si>
  <si>
    <t>SEVROLL úholník K2 1,7m oliva tmavá kartáčovaná</t>
  </si>
  <si>
    <t>SEVROLL kątownik K2 1,7 m  oliwka ciemna szczotkowana</t>
  </si>
  <si>
    <t>SEVROLL 02934-Y  szögletvas K2 Decor 1,7m oliva szálcsiszolt</t>
  </si>
  <si>
    <t>SEVROLL kątownik K2 Decor 1,7 m jasny brąz szczotkowany</t>
  </si>
  <si>
    <t>SEVROLL 10219 alsó görgő Blue V keret nélküli 18mm-hez - 2db</t>
  </si>
  <si>
    <t>SEVROLL 10219 spodný vozík Blue V bezrámový pre 18mm - 2ks</t>
  </si>
  <si>
    <t>SEVROLL wózek dolny Blue V system bezramowy do 18mm - 2szt</t>
  </si>
  <si>
    <t>SEVROLL First felső/alsó vezetés 1,2m oliva</t>
  </si>
  <si>
    <t>SEVROLL 00901 First horné/spodné vedenie 1,2m oliva</t>
  </si>
  <si>
    <t>SEVROLL First tor górny / dolny 1,2m jasny brąz</t>
  </si>
  <si>
    <t>SEVROLL First felső/alsó vezetés 1,2m ezüst</t>
  </si>
  <si>
    <t>SEVROLL 00910 First horné/spodné vedenie 1,2m strieborná</t>
  </si>
  <si>
    <t>SEVROLL First tor górny / dolny 1,2m srebrny</t>
  </si>
  <si>
    <t>SEVROLL távtartó profil 04 3m fényes fehér</t>
  </si>
  <si>
    <t>SEVROLL 04320 dištančný profil 04 3m biela lesk</t>
  </si>
  <si>
    <t>SEVROLL 10237 2x alsó görgő 18 mm-es rétegeltlemez finomállító nélkül rugó nélkü</t>
  </si>
  <si>
    <t>SEVROLL 10237 2x spodný vozík pre lamino 18mm bez pozicionéru bez pružiny</t>
  </si>
  <si>
    <t>SEVROLL 2x wózek dolny do płyty laminowanej 18mm bez pozycjonera bez sprężyny</t>
  </si>
  <si>
    <t>SEVROLL "U" profil rétegelt lemezhez 10mm 3m ezüst</t>
  </si>
  <si>
    <t>SEVROLL 02558 profil "U" pro lamino 10mm 3m strieborná</t>
  </si>
  <si>
    <t>SEVROLL profil "U" do płyty laminowanej 10mm 3m srebrny</t>
  </si>
  <si>
    <t>SEVROLL  04314  takaró profil Elegant II 2,35m fényes fehér</t>
  </si>
  <si>
    <t>SEVROLL 04314 maska Elegant II 2,35m biela lesk</t>
  </si>
  <si>
    <t>SEVROLL maska do toru Elegant II 2,35m biały połysk</t>
  </si>
  <si>
    <t>SEVROLL szögletvas K2 Decor 2,35m arany</t>
  </si>
  <si>
    <t>SEVROLL kątownik K2 Decor 2,35m złoty</t>
  </si>
  <si>
    <t>SEVROLL Hide M alsó vezetés 1,7m ezüst</t>
  </si>
  <si>
    <t>SEVROLL Hide M spodné vedenie 1,7m strieborná</t>
  </si>
  <si>
    <t>SEVROLL Hide M tor dolny 1,7m srebrny</t>
  </si>
  <si>
    <t>SEVROLL oldalsó végzáró Herkules Glas takaró profilhoz</t>
  </si>
  <si>
    <t>SEVROLL bočná krytka krycí profil Herkules Glas</t>
  </si>
  <si>
    <t>SEVROLL zaślepka maskownicy toru Herkules Glas</t>
  </si>
  <si>
    <t>SEVROLL Micra felső/alsó vezetés 2,35m oliva</t>
  </si>
  <si>
    <t>SEVROLL 01115 Micra horné/spodné vedenie 2,35m oliva</t>
  </si>
  <si>
    <t>SEVROLL Micra tor górny / dolny 2,35 m oliwka</t>
  </si>
  <si>
    <t>SEVROLL Blue-C alsó vezetés 1,5m oliva</t>
  </si>
  <si>
    <t>SEVROLL 04477 Blue-C spodné vedenie 1,5m oliva</t>
  </si>
  <si>
    <t>SEVROLL Blue-C tor dolny 1,5m jasny brąz</t>
  </si>
  <si>
    <t>SEVROLL 01136 Smart alsó vezetés 2,35m ezüst</t>
  </si>
  <si>
    <t>SEVROLL SMART SPODNÉ VEDENIE 2,35M STRIE</t>
  </si>
  <si>
    <t>SEVROLL Smart tor dolny 2,35m srebrny</t>
  </si>
  <si>
    <t>SEVROLL Doubler II takaró profil 1,7m ezüst</t>
  </si>
  <si>
    <t>SEVROLL 02864 Doubler II maska 1,7m strieborná</t>
  </si>
  <si>
    <t>SEVROLL Doubler II maskownica 1,7m srebrna</t>
  </si>
  <si>
    <t>SEVROLL 00095 úhelník Mini 17x11mm 3m oliva</t>
  </si>
  <si>
    <t>SEVROLL 00095 szögletvas Mini 17x11mm 3m oliva</t>
  </si>
  <si>
    <t>SEVROLL 00905 uholník Mini 17x11mm 3m oliva</t>
  </si>
  <si>
    <t>SEVROLL kątownik 17x11mm 3m jasny brąz</t>
  </si>
  <si>
    <t>SEVROLL 00110 úhelník Mini 17x11mm 3m zlatá</t>
  </si>
  <si>
    <t>SEVROLL szögletvas Mini 17x11mm 3m arany</t>
  </si>
  <si>
    <t>SEVROLL uholník Mini 17x11mm 3m zlatá</t>
  </si>
  <si>
    <t>SEVROLL kątownik Mini 17x11mm 3m złoty</t>
  </si>
  <si>
    <t>SEVROLL  00070 szögletvas K2 Decor 2,35m oliva</t>
  </si>
  <si>
    <t>SEVROLL 00070 uholník K2 Decor 2,35m oliva</t>
  </si>
  <si>
    <t>SEVROLL 00079 szögletvas K2 Decor 2,35m ezüst</t>
  </si>
  <si>
    <t>SEVROLL 00079 uholník K2 Decor 2,35m strieborná</t>
  </si>
  <si>
    <t>SEVROLL Maxim II takaró profil 1,8m ezüst</t>
  </si>
  <si>
    <t>SEVROLL 02812 Maxim II maska 1,8m strieborná</t>
  </si>
  <si>
    <t>SEVROLL Maxim II maskownica 1,8m srebrny</t>
  </si>
  <si>
    <t>SEVROLL 01119 Micra felső/alsó vezetés 2,35m ezüst elox</t>
  </si>
  <si>
    <t>SEVROLL Micra tor górny / dolny 2,35 m, srebrny anodowany</t>
  </si>
  <si>
    <t>SEVROLL kétoldalú ragasztśzalag 50mm 10m</t>
  </si>
  <si>
    <t>SEVROLL taśma klejąca dwustronna 50mm 10m</t>
  </si>
  <si>
    <t>SEVROLL Doubler II takaró profil 1,7m oliva</t>
  </si>
  <si>
    <t>SEVROLL Doubler II maskownica 1,7m jasny brąz</t>
  </si>
  <si>
    <t>SEVROLL Simple alsó vezetés 1,5m ezüst</t>
  </si>
  <si>
    <t>SEVROLL Simple tor dolny 1,5 m srebrny</t>
  </si>
  <si>
    <t>SEVROLL "U" profil rétegelt lemezhez 16mm 3m ezüst</t>
  </si>
  <si>
    <t>SEVROLL profil "U" do płyty laminowanej 16mm 3m srebrny</t>
  </si>
  <si>
    <t>SEVROLL 04066 úhelník Mini 17x11mm 3m bílá mat</t>
  </si>
  <si>
    <t>SEVROLL 04066 szögletvas Mini 17x11mm 3m matt fehér</t>
  </si>
  <si>
    <t>SEVROLL 04066 uholník Mini 17x11mm 3m biela mat</t>
  </si>
  <si>
    <t>SEVROLL kątownik Mini 17x11 mm 3 m, biały matowy</t>
  </si>
  <si>
    <t>SEVROLL takaró profil Elegant II 2,35m oliva sötét szálcsiszolt</t>
  </si>
  <si>
    <t>SEVROLL 04359 maska Elegant II 2,35 oliva tmavá kartáčovaná</t>
  </si>
  <si>
    <t>SEVROLL zaślepka do toru Elegant II 2,35m koniak szczotkowany</t>
  </si>
  <si>
    <t>SEVROLL 10198 alsó görgő WD 18C HI-TEC - 2db</t>
  </si>
  <si>
    <t>SEVROLL 10198 spodný vozík WD 18C HI-TEC - 2ks</t>
  </si>
  <si>
    <t>SEVROLL wózek dolny WD 18C HI-TEC - 2szt</t>
  </si>
  <si>
    <t>SEVROLL 00029 "U" profil rétegelt lemezhez 18mm 3m oliva</t>
  </si>
  <si>
    <t>SEVROLL 161 U PROFna DTD 18mm-3m, OLIVA</t>
  </si>
  <si>
    <t>SEVROLL profil "U" do płyty laminowanej 18mm 3m jasny brąz</t>
  </si>
  <si>
    <t>SEVROLL "U" profil rétegelt lemezhez 18mm 3m arany</t>
  </si>
  <si>
    <t>SEVROLL profil "U" pre lamino 18mm 3m zlatá</t>
  </si>
  <si>
    <t>SEVROLL profil "U" do płyty laminowanej 18mm 3m złoty</t>
  </si>
  <si>
    <t>SEVROLL Focus 16mm fogantyú profil 2,7m ezüst</t>
  </si>
  <si>
    <t>SEVROLL 00483 Focus 16mm úchytová lišta 2,7m strieborná</t>
  </si>
  <si>
    <t>SEVROLL Focus 16mm rączka 2,7m srebrny</t>
  </si>
  <si>
    <t>SEVROLL 04354 takaró profil Elegant II 2,35m fekete szálcsiszolt</t>
  </si>
  <si>
    <t>SEVROLL 04354 maska Elegant II 2,35m čierna  kartáčovaná</t>
  </si>
  <si>
    <t>SEVROLL zaślepka do toru Elegant II 2,35 m czarny szczotkowany</t>
  </si>
  <si>
    <t>SEVROLL  04349-Y  takaró profil Elegant II 2,35m oliva szálcsiszolt</t>
  </si>
  <si>
    <t>SEVROLL maska do toru Elegant II 2,35 m jasny brąz szczotkowany</t>
  </si>
  <si>
    <t>SEVROLL 20208 végzáró Hide N profilhoz ezüst</t>
  </si>
  <si>
    <t>SEVROLL 20208 koncovka k lište Hide N strieborná</t>
  </si>
  <si>
    <t>SEVROLL zaślepka do toru Hide N srebrna</t>
  </si>
  <si>
    <t>SEVROLL 03755 felső vezető profil Simple/Blue 1,5m (10 mm-es rétegeltlemez) ezüs</t>
  </si>
  <si>
    <t>SEVROLL horná vodiaca lišta Simple/Blue 1,5m( pre lamino 10mm)strieborná</t>
  </si>
  <si>
    <t>SEVROLL tor dolny Simple/Blue 1,5m (do płyty laminowanej 10mm) srebrny</t>
  </si>
  <si>
    <t>SEVROLL Simple alsó vezetés 1,5m oliva</t>
  </si>
  <si>
    <t>SEVROLL Simple spodné vedenie 1,5m oliva</t>
  </si>
  <si>
    <t>SEVROLL Simple tor dolny 1,5 m oliwka</t>
  </si>
  <si>
    <t>SEVROLL szögletvas 10x18mm 3m ezüst</t>
  </si>
  <si>
    <t>SEVROLL uholník 10x18mm 3m strieborná</t>
  </si>
  <si>
    <t>SEVROLL kątownik 10x18mm 3m srebrny</t>
  </si>
  <si>
    <t>SEVROLL Blue-C alsó vezetés 2m ezüst</t>
  </si>
  <si>
    <t>SEVROLL 04484 Blue-C spodné vedenie 2m strieborná</t>
  </si>
  <si>
    <t>SEVROLL Blue-C tor dolny 2m, srebrny</t>
  </si>
  <si>
    <t>SEVROLL Blue-V alsó vezetés 1,5m ezüst</t>
  </si>
  <si>
    <t>SEVROLL 04495 Blue-V spodné vedenie 1,5m strieborná</t>
  </si>
  <si>
    <t>SEVROLL Blue-V tor dolny 1,5m srebrny</t>
  </si>
  <si>
    <t>SEVROLL  00490 Focus 18mm fogantyú profil 2,7m ezüst</t>
  </si>
  <si>
    <t>SEVROLL Focus 18 mm rączka 2,7 m, srebrna</t>
  </si>
  <si>
    <t>SEVROLL szögletvas K2 2,35m fekete szálcsiszolt</t>
  </si>
  <si>
    <t>SEVROLL uholník K2 2,35m čierna kartáčovaná</t>
  </si>
  <si>
    <t>SEVROLL kątownik K2 2,35 m czarny szczotkowany</t>
  </si>
  <si>
    <t>SEVROLL szögletvas K2 2,35m oliva sötét szálcsiszolt</t>
  </si>
  <si>
    <t>SEVROLL uholník K2 2,35m oliva tmavá kartáčovaná</t>
  </si>
  <si>
    <t>SEVROLL kątownik K2 2,35 m  oliwka ciemna szczotkowana</t>
  </si>
  <si>
    <t>SEVROLL "U" profil rétegelt lemezhez 18mm 3m fényes fehér</t>
  </si>
  <si>
    <t>SEVROLL 04153 profil "U" pre lamino 18mm 3m biela lesk</t>
  </si>
  <si>
    <t>SEVROLL profil "U" do płyty laminowanej 18mm 3m biały połysk</t>
  </si>
  <si>
    <t>SEVROLL Beta 16 fogantyú profil 2,70m ezüst</t>
  </si>
  <si>
    <t>SEVROLL Beta 16 rączka 2,70 m srebrny</t>
  </si>
  <si>
    <t>SEVROLL Focus II 16mm fogantyú profil 2,7m ezüst</t>
  </si>
  <si>
    <t>SEVROLL 045690Focus II 16 mm rączka 2,7 m, srebrna</t>
  </si>
  <si>
    <t>SEVROLL 04315  takaró profil Elegant II 3m fényes fehér</t>
  </si>
  <si>
    <t>SEVROLL 04315 maska Elegant II 3m biela lesk</t>
  </si>
  <si>
    <t>SEVROLL maska do toru Elegant II 3 m biały połysk</t>
  </si>
  <si>
    <t>SEVROLL Blue-V alsó vezetés 1,5m oliva</t>
  </si>
  <si>
    <t>SEVROLL 04489 Blue-V spodné vedenie 1,5m oliva</t>
  </si>
  <si>
    <t>SEVROLL Blue-V tor dolny 1,5m jasny brąz</t>
  </si>
  <si>
    <t>SEVROLL 02935-Y szögletvas K2 Decor 2,35m oliva szálcsiszolt</t>
  </si>
  <si>
    <t>SEVROLL kątownik K2 Decor 2,35 m jasny brąz szczotkowany</t>
  </si>
  <si>
    <t>SEVROLL összekötő profil T04 3m ezüst</t>
  </si>
  <si>
    <t>SEVROLL 00691 spojovacia lišta T04 3m strieborná</t>
  </si>
  <si>
    <t>SEVROLL listwa łącząca T04 3m srebrny</t>
  </si>
  <si>
    <t>SEVROLL Blue-C alsó vezetés 2m oliva</t>
  </si>
  <si>
    <t>SEVROLL 04478 Blue-C spodné vedenie 2m oliva</t>
  </si>
  <si>
    <t>SEVROLL Blue-C tor dolny 2m jasny brąz</t>
  </si>
  <si>
    <t>SEVROLL 04611 Beta 18 fogantyú profil 2,70m ezüst</t>
  </si>
  <si>
    <t>SEVROLL 04611 Beta 18 úchytová lišta 2,70m strieborná</t>
  </si>
  <si>
    <t>SEVROLL Beta 18 rączka 2,70m srebrny</t>
  </si>
  <si>
    <t>SEVROLL  00071 szögletvas K2 Decor 3m oliva</t>
  </si>
  <si>
    <t>SEVROLL 00071 uholník K2 Decor 3m oliva</t>
  </si>
  <si>
    <t>SEVROLL 00080 szögletvas K2 Decor 3m ezüst</t>
  </si>
  <si>
    <t>SEVROLL 00080 uholník K2 Decor 3m strieborná</t>
  </si>
  <si>
    <t>SEVROLL 04572 Focus II 18mm fogantyú profil 2,7m ezüst</t>
  </si>
  <si>
    <t>SEVROLL 04572 Focus II 18mm úchytová lišta 2,7m strieborná</t>
  </si>
  <si>
    <t>SEVROLL Focus II 18mm rączka 2,7m srebrny</t>
  </si>
  <si>
    <t>SEVROLL 01120  Micra felső/alsó vezetés 3m ezüst elox</t>
  </si>
  <si>
    <t>SEVROLL 01120 Micra tor górny / dolny 3 m, srebrny anodowany</t>
  </si>
  <si>
    <t>SEVROLL profil "U" Decor 16 mm-es rétegelt lemezhez 3m ezüst</t>
  </si>
  <si>
    <t>SEVROLL 00024 profil "U" Decor pre lamino 16mm 3m strieborný</t>
  </si>
  <si>
    <t>SEVROLL profil "U" Decor do płyty laminowanej 16mm 3m srebrny</t>
  </si>
  <si>
    <t>SEVROLL 02293 dísz profil S20 3m ezüst</t>
  </si>
  <si>
    <t>SEVROLL Szpros S20 3m srebrny</t>
  </si>
  <si>
    <t>SEVROLL Hide N alsó vezetés 1,7m ezüst</t>
  </si>
  <si>
    <t>SEVROLL Hide N spodné vedenie 1,7m strieborná</t>
  </si>
  <si>
    <t>SEVROLL Hide N tor dolny 1,7 m, srebrny</t>
  </si>
  <si>
    <t>SEVROLL Hide M alsó vezetés 2,35m ezüst</t>
  </si>
  <si>
    <t>SEVROLL 01979 Hide M spodné vedenie 2,35m strieborná</t>
  </si>
  <si>
    <t>SEVROLL Hide M tor dolny 2,35m srebrny</t>
  </si>
  <si>
    <t>SEVROLL Focus 16mm fogantyú profil 2,7m oliva</t>
  </si>
  <si>
    <t>SEVROLL Focus 16mm rączka 2,7m jasny brąz</t>
  </si>
  <si>
    <t>SEVROLL 02865 Doubler II takaró profil 2,35m ezüst</t>
  </si>
  <si>
    <t>SEVROLL 02865 Doubler II maskownica 2,35m srebrna</t>
  </si>
  <si>
    <t>SEVROLL  00036 profil "U" Decor 18mm 3m ezüst</t>
  </si>
  <si>
    <t>SEVROL 00036L profil "U" Decor 18mm 3m strieborná</t>
  </si>
  <si>
    <t>SEVROLL 10200 alsó görgő WD 10C HI-TEC - 2db</t>
  </si>
  <si>
    <t>SEVROLL 10200 spodný vozík WD 10C HI-TEC - 2ks</t>
  </si>
  <si>
    <t>SEVROLL wózek dolny WD 10C HI-TEC - 2szt</t>
  </si>
  <si>
    <t>SEVROLL First felső/alsó vezetés 1,8m oliva</t>
  </si>
  <si>
    <t>SEVROLL 00902 First horné/spodné vedenie 1,8m oliva</t>
  </si>
  <si>
    <t>SEVROLL First tor górny / dolny 1,8m jasny brąz</t>
  </si>
  <si>
    <t>SEVROLL First felső/alsó sín 1,8m ezüst</t>
  </si>
  <si>
    <t>SEVROLL 00911 First horné/spodné vedenie 1,8m strieborná</t>
  </si>
  <si>
    <t>SEVROLL First tor górny / dolny 1,8m srebrny</t>
  </si>
  <si>
    <t>SEVROLL Simple alsó vezetés 2m ezüst</t>
  </si>
  <si>
    <t>SEVROLL Simple spodné vedenie 2m strieborná</t>
  </si>
  <si>
    <t>SEVROLL Simple tor dolny 2 m srebrny</t>
  </si>
  <si>
    <t>SEVROLL10203  Comfort felső görgő 18mm - 2db</t>
  </si>
  <si>
    <t>SEVROLL 10203 Comfort horný vozík 18mm - 2ks</t>
  </si>
  <si>
    <t>SEVROLL Comfort wózek górny 18mm - 2szt</t>
  </si>
  <si>
    <t>SEVROLL Doubler II takaró profil 2,35m oliva</t>
  </si>
  <si>
    <t>SEVROLL Doubler II maskownica 2,35m jasny brąz</t>
  </si>
  <si>
    <t>SEVROLL 10209 Future felső görgő 10mm J+B</t>
  </si>
  <si>
    <t>SEVROLL 10209 Future horný vozík 10mm L+P</t>
  </si>
  <si>
    <t>SEVROLL Future wózek górny 10mm L+P</t>
  </si>
  <si>
    <t>SEVROLL felső vezető profile 1,7m arany</t>
  </si>
  <si>
    <t>SEVROLL - horná vodiaca lišta 1,7m zlatá</t>
  </si>
  <si>
    <t>SEVROLL - listwa pozioma górna 1,7 m złota</t>
  </si>
  <si>
    <t>SEVROLL Blue-C alsó vezetés 2,5m ezüst</t>
  </si>
  <si>
    <t>SEVROLL 04485 Blue-C spodné vedenie 2,5m strieborná</t>
  </si>
  <si>
    <t>SEVROLL Blue-C tor dolny 2,5m srebrny</t>
  </si>
  <si>
    <t>SEVROLL 01881 Maxim összekötő profil H18 1,8m ezüst</t>
  </si>
  <si>
    <t>SEVROLL 01881 Maxim spojovacia lišta H18 1,8m strieborná</t>
  </si>
  <si>
    <t>SEVROLL Maxim listwa łącząca H18 1,8 m srebrna</t>
  </si>
  <si>
    <t>SEVROLL 02292 dísz profil S20 3m oliva</t>
  </si>
  <si>
    <t>SEVROLL 02292 Szpros S20 3m jasny brąz</t>
  </si>
  <si>
    <t>SEVROLL "U" profil rétegelt lemezhez 16mm 3m oliva</t>
  </si>
  <si>
    <t>SEVROLL 02032 profil "U" pre lamino 16mm 3m oliva</t>
  </si>
  <si>
    <t>SEVROLL profil "U" do płyty laminowanej 16mm 3m jasny brąz</t>
  </si>
  <si>
    <t>SEVROLL  04355 takaró profil Elegant II 3m fekete szálcsiszolt</t>
  </si>
  <si>
    <t>SEVROLL 04355 maska Elegant II 3m čierna  kartáčovaná</t>
  </si>
  <si>
    <t>SEVROLL maska do toru Elegant II 3 m czarny szczotkowany</t>
  </si>
  <si>
    <t>SEVROLL 04350-Y  takaró profil Elegant II 3m oliva szálcsiszolt</t>
  </si>
  <si>
    <t>SEVROLL maska do toru Elegant II 3 m jasny brąz szczotkowany</t>
  </si>
  <si>
    <t>SEVROLL takaró profil Elegant II 3m oliva sötét szálcsiszolt</t>
  </si>
  <si>
    <t>SEVROLL zaślepka do toru Elegant II 3m koniak szczotkowany</t>
  </si>
  <si>
    <t>SEVROLL Beta 18 fogantyú profil 2,70m oliva</t>
  </si>
  <si>
    <t>SEVROLL Beta 18 rączka 2,70 m oliwka</t>
  </si>
  <si>
    <t>SEVROLL 02813 Maxim II takaró profil 2,5m ezüst</t>
  </si>
  <si>
    <t>SEVROLL 02813 Maxim II maska 2,5m strieborná</t>
  </si>
  <si>
    <t>SEVROLL Maxim II maskownica do toru 2,5m srebrna</t>
  </si>
  <si>
    <t>SEVROLL takaró profil Galaxy 1,5m ezüst</t>
  </si>
  <si>
    <t>SEVROLL krycí profil Galaxy 1,5 m</t>
  </si>
  <si>
    <t>SEVROLL maskownica Galaxy 1,5m srebrny</t>
  </si>
  <si>
    <t>SEVROLL profil "U" Decor 18mm 3m jasny brąz</t>
  </si>
  <si>
    <t>SEVROLL Secret Line II keret profil 2,7m ezüst</t>
  </si>
  <si>
    <t>SEVROLL Secret Line II rámová lišta 2,7m strieborná</t>
  </si>
  <si>
    <t>SEVROLL Secret Line II profil ramkowy 2,7 m srebrny</t>
  </si>
  <si>
    <t>SEVROLL Ergo 16 fogantyú profil 2,7m ezüst</t>
  </si>
  <si>
    <t>SEVROLL Ergo 16 rączka 2,7 m srebrna</t>
  </si>
  <si>
    <t>SEVROLL 02777 Ergo fogantyú profil 2,7m ezüst</t>
  </si>
  <si>
    <t>SEVROLL ERGO 18 UCH.LIŠTA.2,70m STR.</t>
  </si>
  <si>
    <t>SEVROLL 02777 Ergo rączka 2,7m srebrna</t>
  </si>
  <si>
    <t>SEVROLL Focus II 18mm fogantyú profil 2,7m arany</t>
  </si>
  <si>
    <t>SEVROLL Focus II 18 mm rączka 2,7 m, złota</t>
  </si>
  <si>
    <t>SEVROLL 01221 Factor 16 - úchytová lišta 2,7m stříbrná</t>
  </si>
  <si>
    <t>SEVROLL Factor 16 - fog.profile ezüst 2,7m</t>
  </si>
  <si>
    <t>SEVROLL Factor 16-úchytová lišta strieborná</t>
  </si>
  <si>
    <t>SEVROLL Factor 16 rączka srebrny 2,70 m</t>
  </si>
  <si>
    <t>SEVROLL elem Single profil falra rögzítéséhez</t>
  </si>
  <si>
    <t>SEVROLL wspornik ścienny do toru Single</t>
  </si>
  <si>
    <t>SEVROLL 03756 felső vezető profil Simple/Blue 2m (10 mm-es rétegeltlemez) ezüst</t>
  </si>
  <si>
    <t>SEVROLL horná vodiaca lišta Simple/Blue 2m(pre lamino 10mm)strieborná</t>
  </si>
  <si>
    <t>SEVROLL tor dolny Simple/Blue 2m (do płyty laminowanej 10mm) srebrny</t>
  </si>
  <si>
    <t>SEVROLL Simple alsó vezetés 2m oliva</t>
  </si>
  <si>
    <t>SEVROLL Simple spodné vedenie 2m oliva</t>
  </si>
  <si>
    <t>SEVROLL Simple tor dolny 2 m oliwka</t>
  </si>
  <si>
    <t>SEVROLL  04496  Blue-V alsó vezetés 2m ezüst</t>
  </si>
  <si>
    <t>SEVROLL 04496 Blue-V spodné vedenie  2m strieborná</t>
  </si>
  <si>
    <t>SEVROLL Blue-V tor dolny 2m srebrny</t>
  </si>
  <si>
    <t>SEVROLL 10207 Maxim felső görgő 18mm aszimmetrikus - 2db</t>
  </si>
  <si>
    <t>SEVROLL 10207 Maxim horný vozík 18mm asymetrický - 2ks</t>
  </si>
  <si>
    <t>SEVROLL Maxim wózek górny 18mm asymetryczny - 2szt</t>
  </si>
  <si>
    <t>SEVROLL MDF betét takaró profilhoz 2,8m</t>
  </si>
  <si>
    <t>SEVROLL MDF VLOŽKA PRE KRYCIU LIŠ. 2,7 m</t>
  </si>
  <si>
    <t>SEVROLL MDF profil wkładka 2,8m</t>
  </si>
  <si>
    <t>SEVROLL 04571 Focus II 18mm fogantyú profil 2,7m oliva</t>
  </si>
  <si>
    <t>SEVROLL Focus II 18mm rączka 2,7m jasny brąz</t>
  </si>
  <si>
    <t>SEVROLL Blue-C alsó vezetés 2,5m oliva</t>
  </si>
  <si>
    <t>SEVROLL 04479 Blue-C spodné vedenie 2,5m oliva</t>
  </si>
  <si>
    <t>SEVROLL Blue-C tor dolny 2,5m jasny brąz</t>
  </si>
  <si>
    <t>SEVROLL Optima alsó vezetés 2m nyers</t>
  </si>
  <si>
    <t>SEVROLL 20194 Optima spodné vedenie 2m surová</t>
  </si>
  <si>
    <t>SEVROLL Optima tor dolny 2m surowy</t>
  </si>
  <si>
    <t>SEVROLL sín Galaxy B 50kg a falra 1,5m</t>
  </si>
  <si>
    <t>SEVROLL tor górny Galaxy B 50kg do ściany 1,5m</t>
  </si>
  <si>
    <t>SEVROLL 20298  Pax végzáró profilhoz (4 db) ezüst</t>
  </si>
  <si>
    <t>SEVROLL 20298 Pax záslepka profilu (4 ks) strieborná</t>
  </si>
  <si>
    <t>SEVROLL Pax záslepka do rączki (4 szt) srebrny</t>
  </si>
  <si>
    <t>SEVROLL 20328  Pax fogantyú ragasztható ezüst</t>
  </si>
  <si>
    <t>SEVROLL 20328 Pax nalepovacia úchytka strieborná</t>
  </si>
  <si>
    <t>SEVROLL Pax uchwyt przyklejany srebrny</t>
  </si>
  <si>
    <t>SEVROLL Pax fogantyú ragasztható transzparens</t>
  </si>
  <si>
    <t>SEVROLL 20327 Pax nalepovacia úchytka transparentná</t>
  </si>
  <si>
    <t>SEVROLL Pax uchwyt przyklejany przeźroczysty</t>
  </si>
  <si>
    <t>SEVROLL Maxim II takaró profil 2,5m oliva</t>
  </si>
  <si>
    <t>SEVROLL Maxim II maskownica 2,5m, jasny brąz</t>
  </si>
  <si>
    <t>SEVROLL Gemini II alsó vezetés 1,7m ezüst</t>
  </si>
  <si>
    <t>SEVROLL Gemini II spodné vedenie 1,7m strieborná</t>
  </si>
  <si>
    <t>SEVROLL Gemini II tor dolny 1,7m srebrny</t>
  </si>
  <si>
    <t>SEVROLL összekötő profil H08/16 3m ezüst</t>
  </si>
  <si>
    <t>SEVROLL spojovacia lišta H08 16 3m strie</t>
  </si>
  <si>
    <t>SEVROLL Łącznik H08/16 srebrny-3m</t>
  </si>
  <si>
    <t>SEVROLL 04316 takaró profil Elegant II 4,05m fényes fehér</t>
  </si>
  <si>
    <t>SEVROLL 04316 maska Elegant II 4,05m biela lesk</t>
  </si>
  <si>
    <t>SEVROLL maska do toru Elegant II 4,05 m biały połysk</t>
  </si>
  <si>
    <t>SEVROLL 10208 Maxim felső görgő 18mm - 2db</t>
  </si>
  <si>
    <t>SEVROLL 10208 Maxim horný vozík 18mm - 2ks</t>
  </si>
  <si>
    <t>SEVROLL Maxim wózek górny 18mm - 2szt</t>
  </si>
  <si>
    <t>SEVROLL 10206 Maxim board felső görgő 18mm - 2db</t>
  </si>
  <si>
    <t>SEVROLL 10206 Maxim board horný vozík 18mm - 2ks</t>
  </si>
  <si>
    <t>SEVROLL Maxim wózek górny 18mm - 2 szt.</t>
  </si>
  <si>
    <t>SEVROLL Factor 16 II fogantyú profil 2,7m ezüst</t>
  </si>
  <si>
    <t>SEVROLL 04546 Factor 16 II úchytová lišta 2,7m strieborná</t>
  </si>
  <si>
    <t>SEVROLL Factor 16 II rączka 2,7m srebrny</t>
  </si>
  <si>
    <t>SEVROLL Maxim összekötő profil H18 1,8m oliva</t>
  </si>
  <si>
    <t>SEVROLL Maxim listwa łącząca H18 1,8m jasny brąz</t>
  </si>
  <si>
    <t>SEVROLL szögletvas K2 3m oliva sötét szálcsiszolt</t>
  </si>
  <si>
    <t>SEVROLL kątownik K2 3 m  oliwka ciemna szczotkowana</t>
  </si>
  <si>
    <t>SEVROLL Slim Line II keret profil 2,7m ezüst</t>
  </si>
  <si>
    <t>SEVROLL Slim Line II rámová lišta 2,7m strieborná</t>
  </si>
  <si>
    <t>SEVROLL Slim Line II profil ramowy 2,7 m srebrny</t>
  </si>
  <si>
    <t>SEVROLL összek.profile H08/16 3m oliva</t>
  </si>
  <si>
    <t>SEVROLL spojovacia lišta H08/16 3m oliva</t>
  </si>
  <si>
    <t>SEVROLL Łącznik H08/16 oliwka-3m</t>
  </si>
  <si>
    <t>SEVROLL összekötő profil H08/18 3m oliva</t>
  </si>
  <si>
    <t>SEVROLL 01877 spojovacia lišta H08/18 3m oliva</t>
  </si>
  <si>
    <t>SEVROLL listwa łącząca H08/18 3m jasny brąz</t>
  </si>
  <si>
    <t>SEVROLL  04490 Blue-V alsó vezetés 2m oliva</t>
  </si>
  <si>
    <t>SEVROLL 04490 Blue-V spodné vedenie  2m oliva</t>
  </si>
  <si>
    <t>SEVROLL Blue-V tor dolny 2 m, jasny brąz</t>
  </si>
  <si>
    <t>SEVROLL 01373összekötő profil T Decor 3m ezüst</t>
  </si>
  <si>
    <t>SEVROLL 01373 spojovacia lišta T Decor 3m strieborná</t>
  </si>
  <si>
    <t>SEVROLL Blue-C alsó vezetés 3m ezüst</t>
  </si>
  <si>
    <t>SEVROLL 04486 Blue-C spodné vedenie 3m strieborná</t>
  </si>
  <si>
    <t>SEVROLL Blue-C tor dolny 3m srebrny</t>
  </si>
  <si>
    <t>SEVROLL 10205 Master felső görgő 10mm - 2db</t>
  </si>
  <si>
    <t>SEVROLL 10205 Master horný vozík 10mm - 2ks</t>
  </si>
  <si>
    <t>SEVROLL Master wózek górny 10mm - 2szt</t>
  </si>
  <si>
    <t>SEVROLL 02776 Ergo fogantyú profil 2,7m oliva</t>
  </si>
  <si>
    <t>SEVROLL ERGO UCH.LIŠTA.2,70m OLIVOVÁ</t>
  </si>
  <si>
    <t>SEVROLL 02776 Ergo rączka 2,7m jasny brąz</t>
  </si>
  <si>
    <t>SEVROLL 01710 spojovací lišta H04/18 3m stříbrná</t>
  </si>
  <si>
    <t>SEVROLL 01710 összekötő profil H04/18 3m ezüst</t>
  </si>
  <si>
    <t>SEVROLL 01710 SPOJOVACIA LIŠTA H04/18 3M STRIEBN</t>
  </si>
  <si>
    <t>SEVROLL 01710 listwa łącząca H04/18 3m srebrna</t>
  </si>
  <si>
    <t>SEVROLL 00199 összekötő profil H08/18 3m ezüst</t>
  </si>
  <si>
    <t>SEVROLL listwa łącząca H08/18 3m srebrna</t>
  </si>
  <si>
    <t>SEVROLL 163125 Doubler II takaró profil 3m ezüst</t>
  </si>
  <si>
    <t>SEVROLL 163125 Doubler II maska 3m strieborná</t>
  </si>
  <si>
    <t>SEVROLL Doubler II maskownica 3m srebrny</t>
  </si>
  <si>
    <t>SEVROLL 05546 Factor 18 II fogantyú profil 2,7m ezüst</t>
  </si>
  <si>
    <t>SEVROLL 05546 Factor 18 II úchytová lišta 2,7m strieborná</t>
  </si>
  <si>
    <t>SEVROLL Factor 18 II rączka 2,7m srebrny</t>
  </si>
  <si>
    <t>SEVROLL Simple alsó vezetés 2,5m ezüst</t>
  </si>
  <si>
    <t>SEVROLL Simple spodné vedenie 2,5m strieborná</t>
  </si>
  <si>
    <t>SEVROLL Simple tor dolny 2,5 m srebrny</t>
  </si>
  <si>
    <t>SEVROLL 03464 szögletvas K2 3m fekete szálcsiszolt</t>
  </si>
  <si>
    <t>SEVROLL kątownik K2 3 m czarny szczotkowany</t>
  </si>
  <si>
    <t>SEVROLL 02936-Y  szögletvas K2 Decor 3m oliva szálcsiszolt</t>
  </si>
  <si>
    <t>SEVROLL kątownik K2 Decor 3 m jasny brąz szczotkowany</t>
  </si>
  <si>
    <t>SEVROLL 01980 Hide M alsó vezetés 3m ezüst</t>
  </si>
  <si>
    <t>SEVROLL Hide M tor dolny 3m srebrny</t>
  </si>
  <si>
    <t>SEVROLL Hide N alsó vezetés 2,35m ezüst</t>
  </si>
  <si>
    <t>SEVROLL 02580 Hide N spodné vedenie 2,35m strieborná</t>
  </si>
  <si>
    <t>SEVROLL Hide N tor dolny 2,35 m srebrny</t>
  </si>
  <si>
    <t>SEVROLL felső vezető profil Simple/Blue 2,5m (10 mm-es rétegeltlemez) ezüst</t>
  </si>
  <si>
    <t>SEVROLL 03757 horná vodiaca lišta Simple/Blue 2,5m (pre lamino 10mm) strieborná</t>
  </si>
  <si>
    <t>SEVROLL tor górny Simple/Blue 2,5 m (do płyty laminowanej 10 mm) srebrny</t>
  </si>
  <si>
    <t>SEVROLL 03746 alsó takaró profil Simple/Blue 1,5m (10 mm-es rétegeltlemez) ezüst</t>
  </si>
  <si>
    <t>SEVROLL spodná krycia lišta Simple/Blue 1,5m (pre lamino 10mm) strieborná</t>
  </si>
  <si>
    <t>SEVROLL maskownica dolna Simple/Blue 1,5m (do płyty laminowanej 10mm) srebrny</t>
  </si>
  <si>
    <t>SEVROLL Doubler II takaró profil 3m oliva</t>
  </si>
  <si>
    <t>SEVROLL Doubler II maskownica 3m jasny brąz</t>
  </si>
  <si>
    <t>SEVROLL Blue-V alsó vezetés 2,5m ezüst</t>
  </si>
  <si>
    <t>SEVROLL 04497 Blue-V spodné vedenie 2,5m strieborná</t>
  </si>
  <si>
    <t>SEVROLL Blue-V tor dolny 2,5m srebrny</t>
  </si>
  <si>
    <t>SEVROLL ütközés csillapító Mini SV-60 (40 - 60kg)</t>
  </si>
  <si>
    <t>SEVROLL tlmič dorazu Mini SV-60 (40-60kg)</t>
  </si>
  <si>
    <t>SEVROLL tłumienie Mini SV-60 (40 - 60kg)</t>
  </si>
  <si>
    <t>SEVROLL Fiesta 16 fogantyú profil 2,7m ezüst</t>
  </si>
  <si>
    <t>SEVROLL Fiesta 16 úchytová lišta 2,70m strieborná</t>
  </si>
  <si>
    <t>SEVROLL Fiesta 16 rączka 2,7 m srebrna</t>
  </si>
  <si>
    <t>SEVROLL Hide M alsó vezetés 3m oliva</t>
  </si>
  <si>
    <t>SEVROLL Hide M spodné vedenie 3m oliva</t>
  </si>
  <si>
    <t>SEVROLL Hide M tor dolny 3 m oliwka</t>
  </si>
  <si>
    <t>SEVROLL Blue-C alsó vezetés 3m oliva</t>
  </si>
  <si>
    <t>SEVROLL 04480 Blue-C spodné vedenie 3m oliva</t>
  </si>
  <si>
    <t>SEVROLL Blue-C tor dolny 3m jasny brąz</t>
  </si>
  <si>
    <t>SEVROLL takaró profil Elegant II 4,05m oliva sötét szálcsiszolt</t>
  </si>
  <si>
    <t>SEVROLL zaślepka do toru Elegant II 4,05m koniak szczotkowany</t>
  </si>
  <si>
    <t>SEVROLL Fala fogantyú profil 10mm 2,5m ezüst</t>
  </si>
  <si>
    <t>SEVROLL Fala rączka 10mm 2,5m srebrny</t>
  </si>
  <si>
    <t>SEVROLL 20252  ék rétegelt lemezhez vastagság 2mm (100 db)</t>
  </si>
  <si>
    <t>SEVROLL 20252 klin pre lamino hrúbka 2mm (100 ks)</t>
  </si>
  <si>
    <t>SEVROLL klin do płyty laminowanej grubość 2 mm (100 szt.)</t>
  </si>
  <si>
    <t>SEVROLL dísz profil S18 ragasztóval 3m ezüst</t>
  </si>
  <si>
    <t>SEVROLL okrasná lišta S18 s lepidlom 3m strieborná</t>
  </si>
  <si>
    <t>SEVROLL Szpros S18 z klejem 3m srebrny</t>
  </si>
  <si>
    <t>SEVROLL Optima alsó vezetés 2,4m nyers</t>
  </si>
  <si>
    <t>SEVROLL 20214 Optima spodné vedenie 2,4m surová</t>
  </si>
  <si>
    <t>SEVROLL Optima tor dolny 2,4m surowy</t>
  </si>
  <si>
    <t>SEVROLL 01711 spojovací lišta H04/18 3m oliva</t>
  </si>
  <si>
    <t>SEVROLL 01711 összekötő profil H04/18 3m oliva</t>
  </si>
  <si>
    <t>SEVROLL 01711 SPOJOVACia LIŠTA H04/18 3M OLIVA</t>
  </si>
  <si>
    <t>SEVROLL 01711 Listwa łącząca H04/18 3m, jasny brąz</t>
  </si>
  <si>
    <t>SEVROLL alsó takaró profil Simple/Blue 1,5m (10 mm-es rétegeltlemez) oliva</t>
  </si>
  <si>
    <t>SEVROLL 03751 spodná krycia lišta Simple/Blue 1,5m (pre lamino 10mm) oliva</t>
  </si>
  <si>
    <t>SEVROLL maskownica dolna Simple/Blue 1,5 m (do płyty laminowanej 10 mm) oliwka</t>
  </si>
  <si>
    <t>SEVROLL Pax végzáró profilhoz (4 db) fényes fehér</t>
  </si>
  <si>
    <t>SEVROLL 20299 Pax záslepka profilu (4 ks) biela lesk</t>
  </si>
  <si>
    <t>SEVROLL Pax zaślepka do rączki (4 szt), biały połysk</t>
  </si>
  <si>
    <t>SEVROLL alsó görgő WD10 V Duo 60kg</t>
  </si>
  <si>
    <t>SEVROLL SP.VOZÍK WD10 V DUO 60 KG</t>
  </si>
  <si>
    <t>SEVROLL wózek dolny WD10 V Duo 60kg</t>
  </si>
  <si>
    <t>SEVROLL Factor 16 II fogantyú profil 2,7m oliva</t>
  </si>
  <si>
    <t>SEVROLL Factor 16 II rączka 2,7m jasny brąz</t>
  </si>
  <si>
    <t>SEVROLL Factor 18 II fogantyú profil 2,7m arany</t>
  </si>
  <si>
    <t>SEVROLL Factor 18 II rączka 2,7m złoty</t>
  </si>
  <si>
    <t>SEVROLL Simple felső vezetés 1,5m ezüst</t>
  </si>
  <si>
    <t>SEVROLL Simple tor górny 1,5 m srebrny</t>
  </si>
  <si>
    <t>SEVROLL 04586 Gemini II alsó vezetés 1,7m oliva</t>
  </si>
  <si>
    <t>SEVROLL 04586 Gemini II spodné vedenie  1,7m oliva</t>
  </si>
  <si>
    <t>SEVROLL Gemini II tor dolny 1,7m jasny brąz</t>
  </si>
  <si>
    <t>SEVROLL 04356  takaró profil Elegant II 4,05m fekete szálcsiszolt</t>
  </si>
  <si>
    <t>SEVROLL 04356 maska Elegant II 4,05m čierna  kartáčovaná</t>
  </si>
  <si>
    <t>SEVROLL maska do toru Elegant II 4,05 m czarny szczotkowany</t>
  </si>
  <si>
    <t>SEVROLL 04351-Y takaró profil Elegant II 4,05m oliva szálcsiszolt</t>
  </si>
  <si>
    <t>SEVROLL maska do toru Elegant II 4,05 m jasny brąz szczotkowany</t>
  </si>
  <si>
    <t>SEVROLL 039790 takaró profil Galaxy 2m</t>
  </si>
  <si>
    <t>SEVROLL maskownica Galaxy 2m</t>
  </si>
  <si>
    <t>SEVROLL 20329 Pax fogantyú ragasztható fehér</t>
  </si>
  <si>
    <t>SEVROLL 20329 Pax nalepovacia úchytka biela lesk</t>
  </si>
  <si>
    <t>SEVROLL Pax uchwyt przyklejany biały</t>
  </si>
  <si>
    <t>SEVROLL Blue-V alsó vezetés 2,5m oliva</t>
  </si>
  <si>
    <t>SEVROLL 04491 Blue-V spodné vedenie 2,5m oliva</t>
  </si>
  <si>
    <t>SEVROLL Blue-V tor dolny 2,5m jasny brąz</t>
  </si>
  <si>
    <t>SEVROLL Polo fogantyú profil 10mm 2,5m ezüst</t>
  </si>
  <si>
    <t>SEVROLL Polo rączka 10mm 2,5m srebrny</t>
  </si>
  <si>
    <t>SEVROLL Simple alsó vezetés 2,5m oliva</t>
  </si>
  <si>
    <t>SEVROLL Simple spodné vedenie 2,5m oliva</t>
  </si>
  <si>
    <t>SEVROLL Simple tor dolny 2,5 m oliwka</t>
  </si>
  <si>
    <t>SEVROLL 007060 összekötő profil "T" 3m ezüst</t>
  </si>
  <si>
    <t>SEVROLL listwa łącząca "T" 3m srebrna</t>
  </si>
  <si>
    <t>SEVROLL  04548 Factor 18 II fogantyú profil 2,7m oliva</t>
  </si>
  <si>
    <t>SEVROLL Factor 18 II rączka 2,7m jasny brąz</t>
  </si>
  <si>
    <t>SEVROLL Simple alsó vezetés 3m ezüst</t>
  </si>
  <si>
    <t>SEVROLL Simple spodné vedenie 3m strieborná</t>
  </si>
  <si>
    <t>SEVROLL Simple tor dolny 3 m srebrny</t>
  </si>
  <si>
    <t>SEVROLL 02815 Maxim II takaró profil 3,5m ezüst</t>
  </si>
  <si>
    <t>SEVROLL 02815 MAXIM II MASKA 3,5 M strieborná</t>
  </si>
  <si>
    <t>SEVROLL 02815 Maxim II zaślepka do toru 3,5m srebrna</t>
  </si>
  <si>
    <t>SEVROLL szögletvas 18x18mm 3m ezüst</t>
  </si>
  <si>
    <t>SEVROLL uhol. vedenie strieb.</t>
  </si>
  <si>
    <t>SEVROLL kątownik 18x18mm 3m srebrny</t>
  </si>
  <si>
    <t>SEVROLL szögletvas 22x22mm 3m ezüst</t>
  </si>
  <si>
    <t>SEVROLL uholník 22x22mm 3m stieborná</t>
  </si>
  <si>
    <t>SEVROLL kątownik 22x22mm 3m srebrny</t>
  </si>
  <si>
    <t>SEVROLL Uno fogantyú profil 18mm 2,70m ezüst</t>
  </si>
  <si>
    <t>SEVROLL Uno úchytová lišta 18mm 2,70m stieborná</t>
  </si>
  <si>
    <t>SEVROLL Uno rączka 18 mm 2,70 m, srebrna</t>
  </si>
  <si>
    <t>SEVROLL 01882 Maxim összekötő profil H18 2,5m ezüst</t>
  </si>
  <si>
    <t>SEVROLL SPOJ.LIŠTA H18 2,5M str.</t>
  </si>
  <si>
    <t>SEVROLL 01882 Maxim listwa łącząca H18 2,5 m, srebrna</t>
  </si>
  <si>
    <t>SEVROLL 00703  összekötő profil "T" 3m oliva</t>
  </si>
  <si>
    <t>SEVROLL listwa łącząca "T" 3m jasny brąz</t>
  </si>
  <si>
    <t>SEVROLL 01370 összekötő profil T Decor 3m oliva</t>
  </si>
  <si>
    <t>SEVROLL 01373 spojovacia lišta T Decor 3m oliva</t>
  </si>
  <si>
    <t>SEVROLL dísz profil S18 ragasztóval 3m oliva</t>
  </si>
  <si>
    <t>SEVROLL okrasná lišta S18 s lepidlom 3m oliva</t>
  </si>
  <si>
    <t>SEVROLL profil "U" 18mm 3m oliva szálcsiszolt</t>
  </si>
  <si>
    <t>SEVROLL profil "U" 18 mm 3 m oliwka szczotkowana</t>
  </si>
  <si>
    <t>SEVROLL profil "U" 18mm 3m oliva sötét szálcsiszolt</t>
  </si>
  <si>
    <t>SEVROLL profil "U" 18 mm 3 m  oliwka ciemna szczotkowana</t>
  </si>
  <si>
    <t>SEVROLL Simple felső vezetés 1,5m oliva</t>
  </si>
  <si>
    <t>SEVROLL Simple horné vedenie 1,5m oliva</t>
  </si>
  <si>
    <t>SEVROLL Simple tor górny 1,5 m jasny brąz</t>
  </si>
  <si>
    <t>SEVROLL profil "U" 18mm 3m fekete szálcsiszolt</t>
  </si>
  <si>
    <t>SEVROLL profil "U" 18mm 3m čierna kartáčovaná</t>
  </si>
  <si>
    <t>SEVROLL profil "U" 18 mm 3 m czarny szczotkowany</t>
  </si>
  <si>
    <t>SEVROLL 02867 Doubler II takaró profil 4,05m ezüst</t>
  </si>
  <si>
    <t>SEVROLL MASKA DOUBLER II 4,05 M striebor</t>
  </si>
  <si>
    <t>SEVROLL 02867 Doubler II maskownica 4,05m srebrna</t>
  </si>
  <si>
    <t>SEVROLL Blue felső vezetés 1,5m ezüst</t>
  </si>
  <si>
    <t>SEVROLL 04471 Blue horné vedenie 1,5m strieborná</t>
  </si>
  <si>
    <t>SEVROLL Blue tor górny 1,5m srebrny</t>
  </si>
  <si>
    <t>SEVROLL 03433 Polo fogantyú profil 10mm 2,70m ezüst</t>
  </si>
  <si>
    <t>SEVROLL Polo rączka 10mm 2,70m srebrny</t>
  </si>
  <si>
    <t>SEVROLL Simple alsó vezetés 3m oliva</t>
  </si>
  <si>
    <t>SEVROLL Simple spodné vedenie 3m oliva</t>
  </si>
  <si>
    <t>SEVROLL Simple tor dolny 3 m oliwka</t>
  </si>
  <si>
    <t>SEVROLL Gemini II alsó vezetés 1,7m fényes fehér</t>
  </si>
  <si>
    <t>SEVROLL 04760 Gemini II spodné vedenie 1,7m biela lesk</t>
  </si>
  <si>
    <t>SEVROLL Gemini II tor dolny 1,7m biały połysk</t>
  </si>
  <si>
    <t>SEVROLL Maxim II alsó vezetés 1,8m ezüst</t>
  </si>
  <si>
    <t>SEVROLL 02805 Maxim II spodné vedenie 1,8m strieborná</t>
  </si>
  <si>
    <t>SEVROLL Maxim II tor dolny 1,8m srebrny</t>
  </si>
  <si>
    <t>SEVROLL  04498 Blue-V alsó vezetés 3m ezüst</t>
  </si>
  <si>
    <t>SEVROLL 04498 Blue-V spodné vedenie  3m strieborná</t>
  </si>
  <si>
    <t>SEVROLL Blue-V tor dolny 3m srebrny</t>
  </si>
  <si>
    <t>SEVROLL 04592 Gemini II alsó vezetés 2,35m ezüst</t>
  </si>
  <si>
    <t>SEVROLL 04592 Gemini II spodné vedenie  2,35m strieborná</t>
  </si>
  <si>
    <t>SEVROLL Gemini II tor dolny 2,35m srebrny</t>
  </si>
  <si>
    <t>SEVROLL Blue-C alsó vezetés 4m ezüst</t>
  </si>
  <si>
    <t>SEVROLL 04487 Blue-C spodné vedenie 4m strieborná</t>
  </si>
  <si>
    <t>SEVROLL Blue-C tor dolny 4m srebrny</t>
  </si>
  <si>
    <t>SEVROLL Libra fogantyú profil 18mm 2,70m ezüst</t>
  </si>
  <si>
    <t>SEVROLL Libra úchytová lišta 18mm 2,70m strieborná</t>
  </si>
  <si>
    <t>SEVROLL Libra rączka 18 mm 2,70 m srebrna</t>
  </si>
  <si>
    <t>SEVROLL First felső/alsó vezetés 3m oliva</t>
  </si>
  <si>
    <t>SEVROLL 00903 First hornéspodné vedenie 3m oliva</t>
  </si>
  <si>
    <t>SEVROLL First tor górny / dolny 3m jasny brąz</t>
  </si>
  <si>
    <t>SEVROLL First felső/alsó vezetés 3m ezüst</t>
  </si>
  <si>
    <t>SEVROLL 00912 First horné/spodné vedenie 3m strieborná</t>
  </si>
  <si>
    <t>SEVROLL First tor górny / dolny 3 m srebrny</t>
  </si>
  <si>
    <t>SEVROLL 02455 szögletvas 18x36mm 3m ezüst</t>
  </si>
  <si>
    <t>SEVROLL 02455 uholník 18x36mm 3m strieborná</t>
  </si>
  <si>
    <t>SEVROLL kątownik 18x36mm 3 m srebrny</t>
  </si>
  <si>
    <t>SEVROLL takaró profil Elegant II 6m fényes fehér</t>
  </si>
  <si>
    <t>SEVROLL 04317 maska Elegant II 6m biela lesk</t>
  </si>
  <si>
    <t>SEVROLL zaślepka do toru Elegant II 6m biały połysk</t>
  </si>
  <si>
    <t>SEVROLL rögzítő ék Simple 40db (üveg 4mm)</t>
  </si>
  <si>
    <t>SEVROLL klin mocujący Simple 40 szt. (szkło 4 mm)</t>
  </si>
  <si>
    <t>SEVROLL 04447  összekötő profil Simple/Blue H21 3m (18 mm-es rétegeltlemez) ezüs</t>
  </si>
  <si>
    <t>SEVROLL 04447 spojovacia lišta Simple/Blue H21 3m (pre lamino 18mm) strieborná</t>
  </si>
  <si>
    <t>SEVROLL listwa łącząca Simple/Blue H21 3m (do płyty laminowanej 18mm) srebrny</t>
  </si>
  <si>
    <t>Sevroll 85003 Fiona II fogantyú profil 2,7m ezüst</t>
  </si>
  <si>
    <t>Sevroll 85003 Fiona II úchytová lišta 2,7m strieborná</t>
  </si>
  <si>
    <t>Sevroll Fiona II rączka 2,7m srebrna</t>
  </si>
  <si>
    <t>SEVROLL fogantyú Push 90mm csiszolt nikkel</t>
  </si>
  <si>
    <t>SEVROLL uchwyt Push 90mm nikiel szlifowany</t>
  </si>
  <si>
    <t>SEVROLL  04512 Era fogantyú profil 18mm 2,70m ezüst</t>
  </si>
  <si>
    <t>SEVROLL 04512 Era úchytová lišta 18mm 2,70m strieborná</t>
  </si>
  <si>
    <t>SEVROLL Era rączka 18 mm 2,70 m, srebrna</t>
  </si>
  <si>
    <t>SEVROLL Ursus felső vezetés 1,2m nyers</t>
  </si>
  <si>
    <t>SEVROLL 50243 Ursus horné vedenie 1,2m surová</t>
  </si>
  <si>
    <t>SEVROLL Ursus tor górny 1,2m surowy</t>
  </si>
  <si>
    <t>SEVROLL dísz profil S18 ragasztóval 3m fényes fehér</t>
  </si>
  <si>
    <t>SEVROLL 04184 okrasná lišta S18 s lepidlom 3m biela lesk</t>
  </si>
  <si>
    <t>SEVROLL Szpros S18 z klejem 3m biały połysk</t>
  </si>
  <si>
    <t>SEVROLL Maxim II takaró profil 3,5m oliva</t>
  </si>
  <si>
    <t>SEVROLL Maxim II maskownica 3,5m, jasny brąz</t>
  </si>
  <si>
    <t>SEVROLL összekötő profil H08/18 3m matt fehér</t>
  </si>
  <si>
    <t>SEVROLL 03890 spojovacia lišta H08/18 3m biela mat</t>
  </si>
  <si>
    <t>SEVROLL listwa łącząca H08/18, 3 m, biała matowa</t>
  </si>
  <si>
    <t>SEVROLL Blue felső vezetés 1,5m oliva</t>
  </si>
  <si>
    <t>SEVROLL 04465 Blue horné vedenie 1,5m oliva</t>
  </si>
  <si>
    <t>SEVROLL Blue tor górny 1,5m jasny brąz</t>
  </si>
  <si>
    <t>SEVROLL Exclusive felső vezetés 1,2m ezüst</t>
  </si>
  <si>
    <t>SEVROLL 01971 Exclusive horné vedenie 1,2m strieborná</t>
  </si>
  <si>
    <t>SEVROLL Exclusive tor górny 1,2m srebrny</t>
  </si>
  <si>
    <t>SEVROLL 03747 alsó takaró profil Simple/Blue 2m (10 mm-es rétegeltlemez) ezüst</t>
  </si>
  <si>
    <t>SEVROLL spodná krycia lišta Simple/Blue 2m(pre lamino 10mm) strieborná</t>
  </si>
  <si>
    <t>SEVROLL maskownica dolna Simple/Blue 2m (do płyty laminowanej 10mm) srebrny</t>
  </si>
  <si>
    <t>SEVROLL Uno fogantyú profil 18mm 2,70m oliva</t>
  </si>
  <si>
    <t>SEVROLL Uno rączka 18mm 2,70m, jasny brąz</t>
  </si>
  <si>
    <t>SEVROLL  04530 Alfa II fogantyú profil 18mm 2,70m ezüst</t>
  </si>
  <si>
    <t>SEVROLL 04530 Alfa II úchytová lišta 18mm 2,70m strieborná</t>
  </si>
  <si>
    <t>SEVROLL Alfa II rączka 18mm 2,70m srebrny</t>
  </si>
  <si>
    <t>SEVROLL Maxim összekötő profil H18 2,5m oliva</t>
  </si>
  <si>
    <t>SEVROLL Maxim listwa łącząca H18 2,5m jasny brąz</t>
  </si>
  <si>
    <t>SEVROLL 20361  rögzítő ék Blue 40db (üveg 4mm)</t>
  </si>
  <si>
    <t>SEVROLL 20361 upevňovací klin Blue 40ks (sklo 4mm)</t>
  </si>
  <si>
    <t>SEVROLL klin mocujący Blue 40szt(szkło 4mm)</t>
  </si>
  <si>
    <t>SEVROLL02581  Hide N alsó vezetés 3m ezüst</t>
  </si>
  <si>
    <t>SEVROLL Hide N tor dolny 3m srebrny</t>
  </si>
  <si>
    <t>SEVROLL összekötő profil H16 3m ezüst</t>
  </si>
  <si>
    <t>SEVROLL spojovacia lišta H16 3m strie</t>
  </si>
  <si>
    <t>SEVROLL Łącznik H16-Decor srebrny-3 m</t>
  </si>
  <si>
    <t>SEVROLL 04748 Rekord fogantyú profil 18mm 2,70m ezüst</t>
  </si>
  <si>
    <t>SEVROLL 04748 Rekord úchytová lišta 18mm 2,70m strieborná</t>
  </si>
  <si>
    <t>SEVROLL Rekord rączka 18 mm 2,70 m, srebrna</t>
  </si>
  <si>
    <t>SEVROLL Doubler II takaró profil 4,05m oliva</t>
  </si>
  <si>
    <t>SEVROLL Doubler II maskownica 4,05m jasny brąz</t>
  </si>
  <si>
    <t>SEVROLL Blue-C alsó vezetés 4m oliva</t>
  </si>
  <si>
    <t>SEVROLL 04481 Blue-C spodné vedenie 4m oliva</t>
  </si>
  <si>
    <t>SEVROLL Blue-C tor dolny 4m jasny brąz</t>
  </si>
  <si>
    <t>SEVROLL  04492 Blue-V alsó vezetés 3m oliva</t>
  </si>
  <si>
    <t>SEVROLL 04492 Blue-V spodné vedenie  3m oliva</t>
  </si>
  <si>
    <t>SEVROLL Blue-V tor dolny 3 m, jasny brąz</t>
  </si>
  <si>
    <t>SEVROLL Libra fogantyú profil 18mm 2,70m oliva</t>
  </si>
  <si>
    <t>SEVROLL Libra úchytová lišta 18mm 2,7m oliva</t>
  </si>
  <si>
    <t>SEVROLL Libra rączka 18 mm 2,70 m oliwka</t>
  </si>
  <si>
    <t>SEVROLL 01023 Gemini felső vezetés 1,7m ezüst</t>
  </si>
  <si>
    <t>SEVROLL 01023 Gemini horné vedenie 1,7m strieborná</t>
  </si>
  <si>
    <t>SEVROLL alsó takaró profil Simple/Blue 2m (10 mm-es rétegeltlemez) oliva</t>
  </si>
  <si>
    <t>SEVROLL 03752 spodná krycia lišta Simple/Blue 2m (pre lamino 10mm) oliva</t>
  </si>
  <si>
    <t>SEVROLL maskownica dolna Simple/Blue 2 m (do płyty laminowanej 10 mm) oliwka</t>
  </si>
  <si>
    <t>SEVROLL Elegant II alsó vezetés 2,35m arany</t>
  </si>
  <si>
    <t>SEVROLL Elegant II spodné vedenie 2,35m zlatá</t>
  </si>
  <si>
    <t>SEVROLL Elegant II tor dolny 2,35m złoty</t>
  </si>
  <si>
    <t>SEVROLL 02803 Maxim II takaró profil 4,3m ezüst</t>
  </si>
  <si>
    <t>SEVROLL 02803 Maxim II maska 4,3m strieborná</t>
  </si>
  <si>
    <t>SEVROLL 02803 Maxim II maskownica 4,3m srebrna</t>
  </si>
  <si>
    <t>SEVROLL szögletvas 18x36mm 3m oliva</t>
  </si>
  <si>
    <t>SEVROLL 02456 uholník 18x36mm 3m oliva</t>
  </si>
  <si>
    <t>SEVROLL kątownik 18x36mm 3m jasny brąz</t>
  </si>
  <si>
    <t>SEVROLL Hide N alsó sín 3m oliva</t>
  </si>
  <si>
    <t>SEVROLL 02578 Hide N spodné vedenie 3m oliva</t>
  </si>
  <si>
    <t>SEVROLL Hide N tor dolny 3 m oliwka</t>
  </si>
  <si>
    <t>SEVROLL 04274 Elegant II alsó vezetés 2,35m oliva</t>
  </si>
  <si>
    <t>SEVROLL 04274 Elegant II spodné vedenie  2,35m oliva</t>
  </si>
  <si>
    <t>SEVROLL Elegant II tor dolny 2,35m jasny brąz</t>
  </si>
  <si>
    <t>SEVROLL 04511  Era fogantyú profil 18mm 2,70m oliva</t>
  </si>
  <si>
    <t>SEVROLL Era rączka 18mm 2,70m, jasny brąz</t>
  </si>
  <si>
    <t>SEVROLL 03176 Optima 16 úchytová lišta 2,4m stříbrná</t>
  </si>
  <si>
    <t>SEVROLL Optima 16 fogantyú profil 2,4m ezüst</t>
  </si>
  <si>
    <t>SEVROLL 03176 Optima 16 úchytová lišta 2,4m strieborná</t>
  </si>
  <si>
    <t>SEVROLL Optima 16 rączka 2,4 m srebrna</t>
  </si>
  <si>
    <t>SEVROLL Optima 18 fogantyú profil 2,4m ezüst</t>
  </si>
  <si>
    <t>SEVROLL 03146 Optima 18 úchytová lišta 2,4m strieborná</t>
  </si>
  <si>
    <t>SEVROLL Optima 18 rączka 2,4 m srebrna</t>
  </si>
  <si>
    <t>SEVROLL 20138-SV ütközés csillapító 10/18mm 14-25kg balos</t>
  </si>
  <si>
    <t>SEVROLL 20138-SV tĺmič dorazu Sevromatic 10/18mm 14-25kg ľavý</t>
  </si>
  <si>
    <t>SEVROLL tłumienie 10/18mm 14-25kg lewe</t>
  </si>
  <si>
    <t>SEVROLL 20137-SV ütközés csillapító 10/18mm 14-25kg jobbos</t>
  </si>
  <si>
    <t>SEVROLL 20137-SV tĺmič dorazu Sevromatic 10/18mm 14-25kg pravý</t>
  </si>
  <si>
    <t>SEVROLL tłumienie 10/18mm 14-25kg prawe</t>
  </si>
  <si>
    <t>SEVROLL 20196-SV ütközés csillapító 10/18mm 25-50kg balos</t>
  </si>
  <si>
    <t>SEVROLL 20196-SV tlmič dorazu Sevromatic 10/18mm 25-50kg ľavý</t>
  </si>
  <si>
    <t>SEVROLL tłumienie 10/18mm 25-50kg lewe</t>
  </si>
  <si>
    <t>SEVROLL 20197-SV ütközés csillapító 10/18mm 25-50kg jobbos</t>
  </si>
  <si>
    <t>SEVROLL 20197-SV tlmič dorazu Sevromatic 10/18mm 25-50kg pravý</t>
  </si>
  <si>
    <t>SEVROLL tłumienie Sevromatic 10/18mm 25-50kg prawe</t>
  </si>
  <si>
    <t>SEVROLL Simple felső vezetés 2m ezüst</t>
  </si>
  <si>
    <t>SEVROLL Simple tor górny 2 m srebrny</t>
  </si>
  <si>
    <t>SEVROLL Exclusive felső vezetés 1,2m oliva</t>
  </si>
  <si>
    <t>SEVROLL Exclusive tor górny 1,2m jasny brąz</t>
  </si>
  <si>
    <t>SEVROLL Comfort alsó vezetés 1,7m oliva</t>
  </si>
  <si>
    <t>SEVROLL Comfort tor dolny 1,7m jasny brąz</t>
  </si>
  <si>
    <t>SEVROLL Comfort alsó vezetés 1,7m ezüst</t>
  </si>
  <si>
    <t>SEVROLL 00883 Comfort spodné vedenie 1,7m strieborná</t>
  </si>
  <si>
    <t>SEVROLL Comfort tor dolny 1,7m srebrny</t>
  </si>
  <si>
    <t>SEVROLL 04529 Alfa II fogantyú profil 18mm 2,70m oliva</t>
  </si>
  <si>
    <t>SEVROLL Alfa II rączka 18mm 2,70m jasny brąz</t>
  </si>
  <si>
    <t>SEVROLL Maxim összekötő profil H25 1,8m ezüst</t>
  </si>
  <si>
    <t>SEVROLL Maxim spojovacia lišta H25 1,8m strieborná</t>
  </si>
  <si>
    <t>SEVROLL Maxim listwa łącząca H25 1,8m srebrny</t>
  </si>
  <si>
    <t>SEVROLL összekötő profile H16 3m oliva</t>
  </si>
  <si>
    <t>SEVROLL spojovacia lišta H16 3m oliva</t>
  </si>
  <si>
    <t>SEVROLL Łącznik H16 3 m oliwka</t>
  </si>
  <si>
    <t>SEVROLL összekötő profil H10 3m arany</t>
  </si>
  <si>
    <t>SEVROLL spojovacia lišta H10 3m zlatá</t>
  </si>
  <si>
    <t>SEVROLL listwa łącząca H10 3m złoty</t>
  </si>
  <si>
    <t>SEVROLL Prince 02 fogantyú profil 2,7m ezüst</t>
  </si>
  <si>
    <t>SEVROLL 01863 Prince 02 úchytová lišta 2,7m strieborná</t>
  </si>
  <si>
    <t>SEVROLL Prince 02 rączka 2,7m srebrny</t>
  </si>
  <si>
    <t>SEVROLL 04587 Gemini II alsó vezetés 2,35m oliva</t>
  </si>
  <si>
    <t>SEVROLL 04587 Gemini II spodné vedenie  2,35m oliva</t>
  </si>
  <si>
    <t>SEVROLL Gemini II tor dolny 2,35m jasny brąz</t>
  </si>
  <si>
    <t>SEVROLL Simple alsó vezetés 4m ezüst</t>
  </si>
  <si>
    <t>SEVROLL Simple spodné vedenie 4m strieborná</t>
  </si>
  <si>
    <t>SEVROLL Simple tor dolny 4 m srebrny</t>
  </si>
  <si>
    <t>SEVROLL Alfa II fog.profil 18mm 2,70m arany</t>
  </si>
  <si>
    <t>SEVROLL Alfa II úchytová lišta 18mm 2,7m zlatá</t>
  </si>
  <si>
    <t>SEVROLL Alfa II rączka 18 mm 2,70 m złota</t>
  </si>
  <si>
    <t>SEVROLL takaró profil Elegant II 6m fekete szálcsiszolt</t>
  </si>
  <si>
    <t>SEVROLL 04357 maska Elegant II 6m čierna kartáčovaná</t>
  </si>
  <si>
    <t>SEVROLL zaślepka do toru Elegant II 6m czarny szczotkowany</t>
  </si>
  <si>
    <t>SEVROLL takaró profil Elegant II 6m oliva szálcsiszolt</t>
  </si>
  <si>
    <t>SEVROLL zaślepka do toru Elegant II 6m jasny brąz szczotkowany</t>
  </si>
  <si>
    <t>SEVROLL takaró profil Elegant II 6m oliva sötét szálcsiszolt</t>
  </si>
  <si>
    <t>SEVROLL zaślepka do toru Elegant II 6m koniak szczotkowany</t>
  </si>
  <si>
    <t>SEVROLL Maxim II takaró profil 4,3m oliva</t>
  </si>
  <si>
    <t>SEVROLL Maxim II zaślepka do toru 4,3m jasny brąz</t>
  </si>
  <si>
    <t>SEVROLL 00204 összekötő profil H10 3m oliva</t>
  </si>
  <si>
    <t>SEVROLL 153 SPOJ.LIŠTA "H 10"3M OLIVOVÁ</t>
  </si>
  <si>
    <t>SEVROLL listwa łącząca H10 3m jasny brąz</t>
  </si>
  <si>
    <t>SEVROLL 00207 összekötő profil H10 3m ezüst</t>
  </si>
  <si>
    <t>SEVROLL SPOJ.LIŠTA "H10" 3M STR.</t>
  </si>
  <si>
    <t>SEVROLL listwa łącząca H10 3m srebrna</t>
  </si>
  <si>
    <t>SEVROLL Doubler II alsó vezetés 1,7m ezüst</t>
  </si>
  <si>
    <t>SEVROLL 02849 Doubler II spodné vedenie 1,7m strieborná</t>
  </si>
  <si>
    <t>SEVROLL Doubler II tor dolny 1,7m srebrna</t>
  </si>
  <si>
    <t>SEVROLL  02290 "U" profil rétegelt lemezhez 36mm ezüst 3m</t>
  </si>
  <si>
    <t>SEVROLL profil "U" pre lamino 36mm strieborná 3m</t>
  </si>
  <si>
    <t>SEVROLL 02290 profil "U" do płyty laminowanej 36mm srebrny 3m</t>
  </si>
  <si>
    <t>SEVROLL Idea felső/alsó vezetés 2m ezüst</t>
  </si>
  <si>
    <t>SEVROLL Idea horné/spodné vedenie 2m strieborná</t>
  </si>
  <si>
    <t>SEVROLL 04190 Idea tor górny/dolny 2m, srebrny</t>
  </si>
  <si>
    <t>SEVROLL Simple felső vezetés 2m oliva</t>
  </si>
  <si>
    <t>SEVROLL Simple horné vedenie 2m oliva</t>
  </si>
  <si>
    <t>SEVROLL Simple tor górny 2 m oliwka</t>
  </si>
  <si>
    <t>SEVROLL Gemini felső vezetés 1,7m arany</t>
  </si>
  <si>
    <t>SEVROLL 01030 Gemini horné vedenie 1,7m zlatá</t>
  </si>
  <si>
    <t>SEVROLL Gemini tor górny 1,7m złoty</t>
  </si>
  <si>
    <t>SEVROLL 04593 Gemini II alsó vezetés 3m ezüst</t>
  </si>
  <si>
    <t>SEVROLL 04593 Gemini II spodné vedenie  3m strieborná</t>
  </si>
  <si>
    <t>SEVROLL Gemini II tor dolny 3m srebrny</t>
  </si>
  <si>
    <t>SEVROLL02021 Maxim vezető profil 1,8m ezüst</t>
  </si>
  <si>
    <t>SEVROLL 02021 Maxim vodiaca lišta 1,8m strieborná</t>
  </si>
  <si>
    <t>SEVROLL 02021 Maxim tor 1,8 m srebrny</t>
  </si>
  <si>
    <t>SEVROLL Doubler II alsó vezetés 1,7m oliva</t>
  </si>
  <si>
    <t>SEVROLL 02844 Doubler II spodné vedenie 1,7m oliva</t>
  </si>
  <si>
    <t>SEVROLL Doubler II tor dolny 1,7m jasny brąz</t>
  </si>
  <si>
    <t>SEVROLL 03981 takaró profil Galaxy 3m</t>
  </si>
  <si>
    <t>SEVROLL maskownica Galaxy 3m</t>
  </si>
  <si>
    <t>SEVROLL Herkules 2 felső vezetés 1,2m alu</t>
  </si>
  <si>
    <t>SEVROLL Herkules 2 horné vedenie 1,2m alu</t>
  </si>
  <si>
    <t>SEVROLL Herkules 2 tor górny 1,2 m alu</t>
  </si>
  <si>
    <t>SEVROLL  04382 Fox II fogantyú profil 2,7m ezüst</t>
  </si>
  <si>
    <t>SEVROLL 04382 Fox II úchytová lišta 2,7m strieborná</t>
  </si>
  <si>
    <t>SEVROLL Fox II rączka 2,7 m, srebrna</t>
  </si>
  <si>
    <t>SEVROLL  04472  Blue felső vezetés 2m ezüst</t>
  </si>
  <si>
    <t>SEVROLL 04472 Blue horné vedenie  2m strieborná</t>
  </si>
  <si>
    <t>SEVROLL Blue tor górny 2m srebrny</t>
  </si>
  <si>
    <t>SEVROLL Simple alsó vezetés 4m oliva</t>
  </si>
  <si>
    <t>SEVROLL Simple spodné vedenie 4m oliva</t>
  </si>
  <si>
    <t>SEVROLL Simple tor dolny 4 m oliwka</t>
  </si>
  <si>
    <t>SEVROLL 04499  Blue-V alsó vezetés 4m ezüst</t>
  </si>
  <si>
    <t>SEVROLL 04499 Blue-V spodné vedenie  4m strieborná</t>
  </si>
  <si>
    <t>SEVROLL 01008 Gemini felső vezetés 1,7m oliva</t>
  </si>
  <si>
    <t>SEVROLL 01008 Gemini horné vedenie 1,7m oliva</t>
  </si>
  <si>
    <t>SEVROLL összekötő profil H10 Decor 3m oliva</t>
  </si>
  <si>
    <t>SEVROLL listwa łącząca H10 Decor 3m jasny brąz</t>
  </si>
  <si>
    <t>SEVROLL 02461 szögletvas 36x36mm 3m ezüst</t>
  </si>
  <si>
    <t>SEVROLL 02461 uholník 36x36mm 3m strieborná</t>
  </si>
  <si>
    <t>SEVROLL kątownik 36x36mm 3 m srebrny</t>
  </si>
  <si>
    <t>SEVROLL zár tolóajtóra 18 mm (azonos kulcs)</t>
  </si>
  <si>
    <t>SEVROLL zámok na posuvné dvere 18 mm (rovnaký kľúč)</t>
  </si>
  <si>
    <t>SEVROLL zamek do drzwi przesuwnych 18 mm (identyczny klucz)</t>
  </si>
  <si>
    <t>SEVROLL Maxim összekötő profil H25 1,8m oliva</t>
  </si>
  <si>
    <t>SEVROLL Maxim listwa łącząca H25 1,8m jasny brąz</t>
  </si>
  <si>
    <t>SEVROLL "U" profil rétegelt lemezhez 36mm 3m oliva</t>
  </si>
  <si>
    <t>SEVROLL profil "U" do płyty laminowanej 36mm 3m jasny brąz</t>
  </si>
  <si>
    <t>SEVROLL Gemini II alsó vezetés 2,35m fényes fehér</t>
  </si>
  <si>
    <t>SEVROLL 04761 Gemini II spodné vedenie 2,35m biela lesk</t>
  </si>
  <si>
    <t>SEVROLL Gemini II tor dolny 2,35m biały połysk</t>
  </si>
  <si>
    <t>SEVROLL   01255 Single felső vezetés 1,7m ezüst</t>
  </si>
  <si>
    <t>SEVROLL 01255 Single horné vedenie 1,7m strieborná</t>
  </si>
  <si>
    <t>SEVROLL 02742 Minicomfort II fogantyú profil 2,7m ezüst</t>
  </si>
  <si>
    <t>Sevroll 02742 Minicomfort II rączka 2,7m srebrna</t>
  </si>
  <si>
    <t>SEVROLL 03917 Oaza II fogantyú profil 2,7m ezüst</t>
  </si>
  <si>
    <t>SEVROLL Oaza II rączka 2,7m srebrny</t>
  </si>
  <si>
    <t>SEVROLL Oaza II fogantyú profil 2,7m arany</t>
  </si>
  <si>
    <t>SEVROLL Oaza II rączka 2,7 m złota</t>
  </si>
  <si>
    <t>SEVROLL alsó takaró profil Simple/Blue 2,5m (10 mm-es rétegeltlemez) ezüst</t>
  </si>
  <si>
    <t>SEVROLL 03748 spodná krycia lišta Simple/Blue 2,5m (pre lamino 10mm) strieborná</t>
  </si>
  <si>
    <t>SEVROLL maskownica dolna Simple/Blue 2,5 m (do płyty laminowanej 10 mm) srebrna</t>
  </si>
  <si>
    <t>SEVROLL Universal 16 fogantyú profil 2,7m ezüst</t>
  </si>
  <si>
    <t>SEVROLL Universal 16 rączka 2,7 m srebrna</t>
  </si>
  <si>
    <t>SEVROLL Elegant II alsó vezetés 3m arany</t>
  </si>
  <si>
    <t>SEVROLL Elegant II spodné vedenie 3m zlatá</t>
  </si>
  <si>
    <t>SEVROLL Elegant II tor dolny 3m złoty</t>
  </si>
  <si>
    <t>SEVROLL Simple felső vezetés 2,5m ezüst</t>
  </si>
  <si>
    <t>SEVROLL Simple horné vedenie 2,5m strieborná</t>
  </si>
  <si>
    <t>SEVROLL Simple tor górny 2,5 m srebrny</t>
  </si>
  <si>
    <t>SEVROLL  04377 Fox II fogantyú profil 2,7m oliva</t>
  </si>
  <si>
    <t>SEVROLL Fox II rączka 2,7 m, oliwka</t>
  </si>
  <si>
    <t>SEVROLL Fox II fogantyú profil 2,7m arany</t>
  </si>
  <si>
    <t>SEVROLL Fox úchytová lišta 2,7m zlatá</t>
  </si>
  <si>
    <t>SEVROLL Fox II rączka 2,7m złoty</t>
  </si>
  <si>
    <t>SEVROLL 04275 Elegant II alsó vezetés 3m oliva</t>
  </si>
  <si>
    <t>SEVROLL 04275 Elegant II spodné vedenie  3m oliva</t>
  </si>
  <si>
    <t>SEVROLL Elegant II tor dolny 3m jasny brąz</t>
  </si>
  <si>
    <t>SEVROLL 02806 Maxim II alsó vezető profil 2,5m ezüst</t>
  </si>
  <si>
    <t>SEVROLL 02806 Maxim II tor dolny 2,5m srebrny</t>
  </si>
  <si>
    <t>SEVROLL Single felső vezetés 1,7m oliva</t>
  </si>
  <si>
    <t>SEVROLL 01246 Single horné vedenie 1,7m oliva</t>
  </si>
  <si>
    <t>SEVROLL Single tor górny 1,7m jasny brąz</t>
  </si>
  <si>
    <t>SEVROLL  04466 Blue felső vezetés 2m oliva</t>
  </si>
  <si>
    <t>SEVROLL 04466 Blue horné vedenie  2m oliva</t>
  </si>
  <si>
    <t>SEVROLL Blue tor górny 2 m, jasny brąz</t>
  </si>
  <si>
    <t>SEVROLL Doubler II takaró profil 6m ezüst</t>
  </si>
  <si>
    <t>SEVROLL 02868 Doubler II maska 6m strieborná</t>
  </si>
  <si>
    <t>SEVROLL Doubler II maskownica 6m srebrna</t>
  </si>
  <si>
    <t>SEVROLL 05544 Victoria II fogantyú profil 18mm 2,7m ezüst</t>
  </si>
  <si>
    <t>SEVROLL 05544 Victoria II úchytová lišta 18mm 2,7m strieborná</t>
  </si>
  <si>
    <t>SEVROLL Victoria II rączka 18mm 2,7m srebrna</t>
  </si>
  <si>
    <t>SEVROLL 04493  Blue-V alsó vezetés 4m oliva</t>
  </si>
  <si>
    <t>SEVROLL 04493 Blue-V spodné vedenie  4m oliva</t>
  </si>
  <si>
    <t>SEVROLL Blue-V tor dolny 4m jasny brąz</t>
  </si>
  <si>
    <t>SEVROLL 04556 Faworyt II fogantyú profil 2,7m matt fehér</t>
  </si>
  <si>
    <t>SEVROLL 04556 Faworyt II úchytová lišta 2,7m biela mat</t>
  </si>
  <si>
    <t>SEVROLL Faworyt II rączka 2,7 m, biała matowa</t>
  </si>
  <si>
    <t>SEVROLL Minicomfort II fogantyú profil 2,7m oliva</t>
  </si>
  <si>
    <t>SEVROLL Minicomfort II rączka 2,7m jasny brąz</t>
  </si>
  <si>
    <t>SEVROLL 02713  Julia II fogantyú profil 2,7m ezüst</t>
  </si>
  <si>
    <t>SEVROLL 02713 Julia II rączka 2,7m srebrna</t>
  </si>
  <si>
    <t>SEVROLL 02692 Romeo II fogantyú profil 2,7m ezüst</t>
  </si>
  <si>
    <t>SEVROLL Romeo II rączka 2,7m srebrna</t>
  </si>
  <si>
    <t>SEVROLL 03916 Oaza II fogantyú profil 2,7m oliva</t>
  </si>
  <si>
    <t>SEVROLL Oaza II rączka 2,7m jasny brąz</t>
  </si>
  <si>
    <t>SEVROLL szögletvas 36x36mm 3m oliva</t>
  </si>
  <si>
    <t>SEVROLL uholník 02462 36x36mm 3m oliva</t>
  </si>
  <si>
    <t>SEVROLL kątownik 36x36mm 3m jasny brąz</t>
  </si>
  <si>
    <t>SEVROLL 20356 tolóajtó zár 10/18mm</t>
  </si>
  <si>
    <t>SEVROLL 20356 zámok na posuvné dvere 10/18mm</t>
  </si>
  <si>
    <t>SEVROLL zamek do drzwi przesuwnych 10/18mm</t>
  </si>
  <si>
    <t>SEVROLL Maxim II takaró profil 6m ezüst</t>
  </si>
  <si>
    <t>SEVROLL 02891 Maxim II maska 6m strieborná</t>
  </si>
  <si>
    <t>SEVROLL Maxim II maskownica 6m srebrny</t>
  </si>
  <si>
    <t>SEVROLL  04535 Universal 18 fogantyú profil 2,7m ezüst</t>
  </si>
  <si>
    <t>SEVROLL 04535 Universal 18 úchytová lišta 2,7m strieborná</t>
  </si>
  <si>
    <t>SEVROLL Universal 18 rączka 2,7 m, srebrna</t>
  </si>
  <si>
    <t>SEVROLL Blue-C alsó vezetés 6m ezüst</t>
  </si>
  <si>
    <t>SEVROLL 04488 Blue-C spodné vedenie 6m strieborná</t>
  </si>
  <si>
    <t>SEVROLL Blue-C tor dolny 6m srebrny</t>
  </si>
  <si>
    <t>SEVROLL 01025 Gemini felső vezetés 2,35m ezüst</t>
  </si>
  <si>
    <t>SEVROLL 01025 Gemini horné vedenie 2,35m strieborná</t>
  </si>
  <si>
    <t>SEVROLL Victoria II fog.prof.18mm 2,7m arany</t>
  </si>
  <si>
    <t>SEVROLL Victoria II rączka 18mm 2,7m złoty</t>
  </si>
  <si>
    <t>SEVROLL 04588 Gemini II alsó vezetés 3m oliva</t>
  </si>
  <si>
    <t>SEVROLL 04588 Gemini II spodné vedenie  3m oliva</t>
  </si>
  <si>
    <t>SEVROLL Gemini II tor dolny 3m jasny brąz</t>
  </si>
  <si>
    <t>SEVROLL 04554 Faworyt II fogantyú profil 2,7m fényes fehér</t>
  </si>
  <si>
    <t>SEVROLL 04554 Faworyt II úchytová lišta 2,7m biela lesk</t>
  </si>
  <si>
    <t>SEVROLL Faworyt II rączka 2,7m biały połysk</t>
  </si>
  <si>
    <t>SEVROLL Julia II fogantyú profil 2,7m arany</t>
  </si>
  <si>
    <t>SEVROLL Julia II rączka 2,7m złoty</t>
  </si>
  <si>
    <t>SEVROLL Romeo II fogantyú profil 2,7m arany</t>
  </si>
  <si>
    <t>SEVROLL Romeo II rączka 2,7m złoty</t>
  </si>
  <si>
    <t>SEVROLL Ursus felső vezetés 1,8m nyers</t>
  </si>
  <si>
    <t>SEVROLL 50244 Ursus horné vedenie 1,8m surová</t>
  </si>
  <si>
    <t>SEVROLL Ursus tor górny 1,8m surowy</t>
  </si>
  <si>
    <t>SEVROLL Blue felső vezetés 2,5m ezüst</t>
  </si>
  <si>
    <t>SEVROLL 04473 Blue horné vedenie 2,5m strieborná</t>
  </si>
  <si>
    <t>SEVROLL Blue tor górny 2,5m srebrny</t>
  </si>
  <si>
    <t>SEVROLL Hide M alsó vezetés 6m ezüst</t>
  </si>
  <si>
    <t>SEVROLL02676 Hide M dolné vedenie 6m strieborná</t>
  </si>
  <si>
    <t>SEVROLL Hide M tor dolny 6m srebrny</t>
  </si>
  <si>
    <t>SEVROLL Maxim II alsó vezetés 2,5m oliva</t>
  </si>
  <si>
    <t>SEVROLL Maxim II tor dolny 2,5m jasny brąz</t>
  </si>
  <si>
    <t>SEVROLL  04532 Alfa II profil 18mm 2,7m fényes fehér</t>
  </si>
  <si>
    <t>SEVROLL 04532 Alfa II úchytová lišta 18mm 2,7m biela lesk</t>
  </si>
  <si>
    <t>SEVROLL Alfa II rączka 18mm 2,7m biały połysk</t>
  </si>
  <si>
    <t>SEVROLL Line alsó vezetés 2m alu nyers</t>
  </si>
  <si>
    <t>SEVROLL Line tor dolny 2m aluminium surowe</t>
  </si>
  <si>
    <t>SEVROLL 04542 Victoria II fogantyú profil 18mm 2,7m oliva</t>
  </si>
  <si>
    <t>SEVROLL Victoria II rączka 18mm 2,7m jasny brąz</t>
  </si>
  <si>
    <t>SEVROLL Doubler II takaró profil 6m oliva</t>
  </si>
  <si>
    <t>SEVROLL Doubler II maskownica 6m jasny brąz</t>
  </si>
  <si>
    <t>SEVROLL 02711 Julia II fogantyú profil 2,7m oliva</t>
  </si>
  <si>
    <t>SEVROLL 02711 Julia II rączka 2,7m Oliwka</t>
  </si>
  <si>
    <t>SEVROLL 02690 Romeo II fogantyú profil 2,7m oliva</t>
  </si>
  <si>
    <t>SEVROLL Romeo II rączka 2,7m jasny brąz</t>
  </si>
  <si>
    <t>SEVROLL alsó takaró profil Simple/Blue 2,5m (10 mm-es rétegeltlemez) oliva</t>
  </si>
  <si>
    <t>SEVROLL 03753 spodná krycia lišta Simple/Blue 2,5m (pre lamino 10mm) oliva</t>
  </si>
  <si>
    <t>SEVROLL maskownica dolna Simple/Blue 2,5 m (do płyty laminowanej 10 mm) oliwka</t>
  </si>
  <si>
    <t>SEVROLL 04534  Universal 18 fogantyú profil 2,7m oliva</t>
  </si>
  <si>
    <t>SEVROLL Universal 18 rączka 2,7 m, jasny brąz</t>
  </si>
  <si>
    <t>SEVROLL Herkules 2 felső vezetés 1,5m alu</t>
  </si>
  <si>
    <t>SEVROLL Herkules 2 horné vedenie 1,5m alu</t>
  </si>
  <si>
    <t>SEVROLL Herkules 2 tor górny 1,5 m alu</t>
  </si>
  <si>
    <t>SEVROLL Simple felső vezetés 2,5m oliva</t>
  </si>
  <si>
    <t>SEVROLL Simple horné vedenie 2,5m oliva</t>
  </si>
  <si>
    <t>SEVROLL Simple tor górny 2,5 m oliwka</t>
  </si>
  <si>
    <t>SEVROLL Blue-C alsó vezetés 6m oliva</t>
  </si>
  <si>
    <t>SEVROLL 04482 Blue-C spodné vedenie 6m oliva</t>
  </si>
  <si>
    <t>SEVROLL Blue-C tor dolny 6m jasny brąz</t>
  </si>
  <si>
    <t>SEVROLL Gemini-2 fogantyú profil 2,7m arany</t>
  </si>
  <si>
    <t>SEVROLL Gemini-2 rączka 2,7m złoty</t>
  </si>
  <si>
    <t>SEVROLL System 10 II fogantyú profil 2,7m arany</t>
  </si>
  <si>
    <t>SEVROLL System 10 II rączka 2,7m złoty</t>
  </si>
  <si>
    <t>SEVROLL összekötő profil H10 3m oliva sötét szálcsiszolt</t>
  </si>
  <si>
    <t>SEVROLL 03104 spojovacia lišta H10 3m oliva tmavá kartáčovaná</t>
  </si>
  <si>
    <t>SEVROLL listwa łącząca H10 3 m oliwka ciemna szczotkowana</t>
  </si>
  <si>
    <t>SEVROLL alsó takaró profil 2,35m 10mm arany</t>
  </si>
  <si>
    <t>SEVROLL spodná krycia lišta 2,35m 10mm zlatá</t>
  </si>
  <si>
    <t>SEVROLL listwa pozioma dolna 2,35m 10mm złoty</t>
  </si>
  <si>
    <t>SEVROLL Prince 01 fogantyú profil 2,7m ezüst</t>
  </si>
  <si>
    <t>SEVROLL Prince 01 úchytová lišta 2,7m strieborná</t>
  </si>
  <si>
    <t>SEVROLL Prince 01 rączka 2,7m srebrny</t>
  </si>
  <si>
    <t>SEVROLL 02850 Doubler II alsó vezető profil 2,35m ezüst</t>
  </si>
  <si>
    <t>SEVROLL 02850 Doubler II tor dolny 2,35m srebrny</t>
  </si>
  <si>
    <t>SEVROLL Blue felső vezetés 2,5m oliva</t>
  </si>
  <si>
    <t>SEVROLL 04467 Blue horné vedenie 2,5m oliva</t>
  </si>
  <si>
    <t>SEVROLL Blue tor górny 2,5m jasny brąz</t>
  </si>
  <si>
    <t>SEVROLL Simple felső vezetés 3m ezüst</t>
  </si>
  <si>
    <t>SEVROLL Simple horné vedene 3m strieborná</t>
  </si>
  <si>
    <t>SEVROLL Simple tor górny 3 m srebrny</t>
  </si>
  <si>
    <t>SEVROLL 01884 Maxim összekötő profil H25 2,5m ezüst</t>
  </si>
  <si>
    <t>SEVROLL SPOJ.LIŠTA H25 2,5M str.</t>
  </si>
  <si>
    <t>SEVROLL01884 Maxim listwa łącząca H25 2,5 m, srebrna</t>
  </si>
  <si>
    <t>SEVROLL 04594 Gemini II alsó vezetés 4,05m ezüst</t>
  </si>
  <si>
    <t>SEVROLL 04594 Gemini II spodné vedenie  4,05m strieborná</t>
  </si>
  <si>
    <t>SEVROLL Gemini II tor dolny 4,05m srebrny</t>
  </si>
  <si>
    <t>SEVROLL04050  összekötő profil H10 3m fényes fehér</t>
  </si>
  <si>
    <t>SEVROLL 04050 spojovacia lišta H10 3m biela lesk</t>
  </si>
  <si>
    <t>SEVROLL listwa łącząca H10 3m biały połysk</t>
  </si>
  <si>
    <t>SEVROLL alsó takaró profil 1,7m 10mm oliva sötét szálcsiszolt</t>
  </si>
  <si>
    <t>SEVROLL 03094 spodná krycia lišta 1,7m 10mm oliva tmavá kartáčovaná</t>
  </si>
  <si>
    <t>SEVROLL listwa pozioma dolna 1,7 m 10mm oliwka ciemna szczotkowana</t>
  </si>
  <si>
    <t>SEVROLL Exclusive felső vezetés 1,8m oliva</t>
  </si>
  <si>
    <t>SEVROLL Exclusive tor górny 1,8m jasny brąz</t>
  </si>
  <si>
    <t>SEVROLL  02283 Gemini-2 fogantyú profil 2,7m oliva</t>
  </si>
  <si>
    <t>SEVROLL Gemini-2 rączka 2,7m jasny brąz</t>
  </si>
  <si>
    <t>SEVROLL 02286 System 10 II fogantyú profil 2,7m oliva</t>
  </si>
  <si>
    <t>SEVROLL System 10 II rączka 2,7 m, oliwka</t>
  </si>
  <si>
    <t>SEVROLL Gemini II alsó vezetés 3m fényes fehér</t>
  </si>
  <si>
    <t>SEVROLL 04762 Gemini II spodné vedenie 3m biela lesk</t>
  </si>
  <si>
    <t>SEVROLL Gemini II tor dolny 3m biały połysk</t>
  </si>
  <si>
    <t>SEVROLL 03103  összekötő profil H10 3m fekete szálcsiszolt</t>
  </si>
  <si>
    <t>SEVROLL listwa łącząca H10 3m czarna szczotkowana</t>
  </si>
  <si>
    <t>SEVROLL 02493-Y összekötő profil H10 3m oliva szálcsiszolt</t>
  </si>
  <si>
    <t>SEVROLL SPOJ.LIŠTA "H 10" 3M OLIVA kartáčovaná</t>
  </si>
  <si>
    <t>SEVROLL 02493-Y Listwa łącząca H10 3m jasny brąz szczotkowany</t>
  </si>
  <si>
    <t>SEVROLL 02023 Maxim felső vezetés 1,8m ezüst</t>
  </si>
  <si>
    <t>SEVROLL 02023 Maxim horné vedenie 1,8m strieborná</t>
  </si>
  <si>
    <t>SEVROLL Maxim tor górny 1,8 m srebrny</t>
  </si>
  <si>
    <t>SEVROLL Idea vasalat szett belső ajtóra 50kg</t>
  </si>
  <si>
    <t>SEVROLL Idea sada kovania pre vnútorné dvere 50kg</t>
  </si>
  <si>
    <t>SEVROLL Idea zestaw okuć dla drzwi wewnętrznych 50kg</t>
  </si>
  <si>
    <t>SEVROLL 04445 összekötő profil Simple/Blue H28 3m (18 mm-es rétegeltlemez) ezüst</t>
  </si>
  <si>
    <t>SEVROLL 04445 spojovacia lišta Simple/Blue H28 3m (pre lamino 18mm) strieborná</t>
  </si>
  <si>
    <t>SEVROLL listwa łącząca Simple/Blue H28 3m (do płyty laminowanej 18mm) srebrny</t>
  </si>
  <si>
    <t>SEVROLL Doubler II alsó vezetés 2,35m oliva</t>
  </si>
  <si>
    <t>SEVROLL 02845 Doubler II spodné vedenie 2,35m oliva</t>
  </si>
  <si>
    <t>SEVROLL Doubler II tor dolny 2,35m jasny brąz</t>
  </si>
  <si>
    <t>SEVROLL Simple alsó vezetés 6m ezüst</t>
  </si>
  <si>
    <t>SEVROLL Simple tor dolny 6 m srebrny</t>
  </si>
  <si>
    <t>SEVROLL 01010 Gemini felső vezetés 2,35m oliva</t>
  </si>
  <si>
    <t>SEVROLL 01010 Gemini horné vedenie 2,35m oliva</t>
  </si>
  <si>
    <t>SEVROLL Gemini felső vezetés 2,35m arany</t>
  </si>
  <si>
    <t>SEVROLL 01032 Gemini horné vedenie 2,35m zlatá</t>
  </si>
  <si>
    <t>SEVROLL Victoria II 2,7m oliva sötét szálcsiszolt</t>
  </si>
  <si>
    <t>SEVROLL Victoria II 2,7m úchytová lišta oliva tmavá kartáčovaná</t>
  </si>
  <si>
    <t>SEVROLL Victoria II 2,7 m oliwka ciemna szczotkowana</t>
  </si>
  <si>
    <t>SEVROLL 02804 Maxim alsó takaró profil 1,8m 18mm ezüst</t>
  </si>
  <si>
    <t>SEVROLL 02804 Maxim spodná krycia lišta 1,8m 18mm strieborná</t>
  </si>
  <si>
    <t>SEVROLL 02804 Maxim maskownica dolna 1,8 m, 18 mm, srebrna</t>
  </si>
  <si>
    <t>SEVROLL Idea felső/alsó vezetés 3m ezüst</t>
  </si>
  <si>
    <t>SEVROLL Idea horné/spodné vedenie 3m strieborná</t>
  </si>
  <si>
    <t>SEVROLL 04097 Idea tor górny/dolny 3m, srebrny</t>
  </si>
  <si>
    <t>SEVROLL Maxim összekötő profil H25 2,5m oliva</t>
  </si>
  <si>
    <t>SEVROLL Maxim listwa łącząca H25 2,5m jasny brąz</t>
  </si>
  <si>
    <t>SEVROLL 02022 Maxim vezető profil 2,5m ezüst</t>
  </si>
  <si>
    <t>SEVROLL 02022 Maxim tor 2,5 m, srebrny</t>
  </si>
  <si>
    <t>SEVROLL Simple felső vezetés 3m oliva</t>
  </si>
  <si>
    <t>SEVROLL Simple horné vedenie 3m oliva</t>
  </si>
  <si>
    <t>SEVROLL Simple tor górny 3 m oliwka</t>
  </si>
  <si>
    <t>SEVROLL Comfort 16 II fogantyú profil 2,7m ezüst</t>
  </si>
  <si>
    <t>SEVROLL 02718 Comfort 16 II úchytová lišta 2,7m strieborná</t>
  </si>
  <si>
    <t>SEVROLL Comfort 16 II rączka 2,7m srebrny</t>
  </si>
  <si>
    <t>SEVROLL Elegant II alsó vezetés 4,05m arany</t>
  </si>
  <si>
    <t>SEVROLL 04288 Elegant II spodné vedenie 4,05m zlatá</t>
  </si>
  <si>
    <t>SEVROLL Elegant II tor dolny 4,05m złoty</t>
  </si>
  <si>
    <t>SEVROLL  01256  Single felső vezetés 2,35m ezüst</t>
  </si>
  <si>
    <t>SEVROLL 01256 Single horné vedenie 2,35m strieborná</t>
  </si>
  <si>
    <t>SEVROLL 20368-SV tlumič dorazu Mini SV25 (14-25kg)</t>
  </si>
  <si>
    <t>SEVROLL 20368-SV ütközés csillapító Mini SV25 (14-25kg)</t>
  </si>
  <si>
    <t>SEVROLL 20368-SV tlmič dorazu Mini SV25 (14-25kg)</t>
  </si>
  <si>
    <t>SEVROLL tłumienie Mini SV25 (14-25kg)</t>
  </si>
  <si>
    <t>SEVROLL 20258-SV tlumič dorazu Mini SV40 (25 - 40kg)</t>
  </si>
  <si>
    <t>SEVROLL 20258-SV ütközés csillapító  Mini SV40 (25 - 40kg)</t>
  </si>
  <si>
    <t>SEVROLL 20258-SV tlmič dorazu Mini SV40 (25 - 40kg)</t>
  </si>
  <si>
    <t>SEVROLL tłumienie Mini SV40 (25 - 40kg)</t>
  </si>
  <si>
    <t>SEVROLL 20339-SV tlumič dorazu Mini SV60 (40 - 60kg)</t>
  </si>
  <si>
    <t>SEVROLL 20339-SV ütközés csillapító Mini SV60 (40 - 60kg)</t>
  </si>
  <si>
    <t>SEVROLL 20339-SV tlmič dorazu Mini SV60 (40 - 60kg)</t>
  </si>
  <si>
    <t>SEVROLL tłumienie Mini SV60 (40 - 60kg)</t>
  </si>
  <si>
    <t>SEVROLL  01026 Gemini felső sín 3m, ezüst</t>
  </si>
  <si>
    <t>SEVROLL 01462 Gemini horné vedenie 3m strieborná</t>
  </si>
  <si>
    <t>SEVROLL Herkules 2 felső vezetés 1,8m alu</t>
  </si>
  <si>
    <t>SEVROLL Herkules 2 horné vedenie 1,8m alu</t>
  </si>
  <si>
    <t>SEVROLL Herkules 2 tor górny 1,8 m alu</t>
  </si>
  <si>
    <t>SEVROLL 04276 Elegant II alsó vezetés 4,05m oliva</t>
  </si>
  <si>
    <t>SEVROLL 04276 Elegant II spodné vedenie  4,05m oliva</t>
  </si>
  <si>
    <t>SEVROLL Elegant II tor dolny 4,05m jasny brąz</t>
  </si>
  <si>
    <t>SEVROLL  04474 Blue felső vezetés 3m ezüst</t>
  </si>
  <si>
    <t>SEVROLL 04474 Blue horné vedenie  3m strieborná</t>
  </si>
  <si>
    <t>SEVROLL Blue tor górny 3 m, srebrny</t>
  </si>
  <si>
    <t>SEVROLL 04617  Victoria II 2,7m fekete szálcsiszolt</t>
  </si>
  <si>
    <t>SEVROLL 04617 Victoria II úchytová lišta 2,7m čierna  kartáčovaná</t>
  </si>
  <si>
    <t>SEVROLL Victoria II 2,7m czarny szczotkowany</t>
  </si>
  <si>
    <t>SEVROLL 04618-Y Victoria II fogantyú profil 2,7m oliva szálcsiszolt</t>
  </si>
  <si>
    <t>SEVROLL Victoria II rączka 2,7m jasny brąz szczotkowany</t>
  </si>
  <si>
    <t>SEVROLL Porto fogantyú profil 2,7m ezüst</t>
  </si>
  <si>
    <t>SEVROLL Porto rączka 2,7m srebrny</t>
  </si>
  <si>
    <t>SEVROLL Simple alsó vezetés 6m oliva</t>
  </si>
  <si>
    <t>SEVROLL Simple spodné vedenie 6m oliva</t>
  </si>
  <si>
    <t>SEVROLL Simple tor dolny 6 m oliwka</t>
  </si>
  <si>
    <t>SEVROLL Single felső vezetés 2,35m oliva</t>
  </si>
  <si>
    <t>SEVROLL 01247 Single horné vedenie 2,35m oliva</t>
  </si>
  <si>
    <t>SEVROLL Single tor górny 2,35m jasny brąz</t>
  </si>
  <si>
    <t>SEVROLL 02723 Comfort 18 II fogantyú profil 2,7m ezüst</t>
  </si>
  <si>
    <t>Sevroll 02723 Comfort 18 II rączka 2,7m srebrna</t>
  </si>
  <si>
    <t>SEVROLL 00222  összekötő profil H30 3m ezüst</t>
  </si>
  <si>
    <t>SEVROLL 253S-SPOJ.LIŠTA H-30mm STR 3m</t>
  </si>
  <si>
    <t>SEVROLL10089  Everest görgő ferde ajtószárnyra - 2db</t>
  </si>
  <si>
    <t>SEVROLL 10089 Everest vozík pre šikmé krídlo - 2ks</t>
  </si>
  <si>
    <t>SEVROLL Everest wózek do skrzydła skośnego - 2 szt.</t>
  </si>
  <si>
    <t>SEVROLL  04500 Blue-V alsó vezetés 6m ezüst</t>
  </si>
  <si>
    <t>SEVROLL 04500 Blue-V spodné vedenie  6m strieborná</t>
  </si>
  <si>
    <t>SEVROLL Blue-V tor dolny 6m srebrny</t>
  </si>
  <si>
    <t>SEVROLL 03173 Karat fogantyú profil 2,7m ezüst</t>
  </si>
  <si>
    <t>SEVROLL Karat rączka 2,7m srebrny</t>
  </si>
  <si>
    <t>SEVROLL 02808 Maxim II alsó vezető profil 3,5m ezüst</t>
  </si>
  <si>
    <t>SEVROLL SPODNÉ VED. MAXIM II 3,5M STR.</t>
  </si>
  <si>
    <t>SEVROLL 02808 Maxim II tor dolny 3,5m srebrny</t>
  </si>
  <si>
    <t>Sevroll 85515  Lux III fogantyú profil 2,7m ezüst</t>
  </si>
  <si>
    <t>Sevroll 85515 Lux III úchytová lišta 2,7m strieborná</t>
  </si>
  <si>
    <t>Sevroll Lux III rączka 2,7 m srebrna</t>
  </si>
  <si>
    <t>SEVROLL Comfort alsó vezetés 3m oliva</t>
  </si>
  <si>
    <t>SEVROLL Comfort tor dolny 3m jasny brąz</t>
  </si>
  <si>
    <t>SEVROLL 04589 Gemini II alsó vezetés 4,05m oliva</t>
  </si>
  <si>
    <t>SEVROLL 04589 Gemini II spodné vedenie  4,05m oliva</t>
  </si>
  <si>
    <t>SEVROLL Gemini II tor dolny 4,05m jasny brąz</t>
  </si>
  <si>
    <t>SEVROLL ütközés csillapító Simple/Blue 10/18 25kg J+B</t>
  </si>
  <si>
    <t>SEVROLL 20375-BL tlmič dorazu Simple/Blue 10/18 25kg L+P</t>
  </si>
  <si>
    <t>SEVROLL tłumienie Simple/Blue 10/18 25kg L+P</t>
  </si>
  <si>
    <t>SEVROLL ütközés csillapító Simple/Blue 10/18, 25 - 40kg , J+B</t>
  </si>
  <si>
    <t>SEVROLL tlmič doraz.Simple 10/18, 25 - 40kg (L+P)</t>
  </si>
  <si>
    <t>SEVROLL tłumienie Simple/Blue 10/18, 25 - 40kg, L+P</t>
  </si>
  <si>
    <t>SEVROLL Maxim vezető profil 2,5m oliva</t>
  </si>
  <si>
    <t>SEVROLL Maxim vodiaca lišta 2,5m oliva</t>
  </si>
  <si>
    <t>SEVROLL Maxim tor 2,5 m, jsny brąz</t>
  </si>
  <si>
    <t>SEVROLL Fox II fogantyú profil 2,7m oliva sötét szálcsiszolt</t>
  </si>
  <si>
    <t>SEVROLL Fox II rączka 2,7 m koniak szczotkowany</t>
  </si>
  <si>
    <t>SEVROLL Optima alsó vezetés 6m nyers</t>
  </si>
  <si>
    <t>SEVROLL Optima tor dolny 6m surowy</t>
  </si>
  <si>
    <t>SEVROLL 04094 Pax fogantyú profil 2,7m ezüst</t>
  </si>
  <si>
    <t>SEVROLL 04094 Pax úchytová lišta 2,7m strieborná</t>
  </si>
  <si>
    <t>SEVROLL Pax rączka 2,7m srebrny</t>
  </si>
  <si>
    <t>SEVROLL03145  Prosper II fogantyú profil 2,7m ezüst</t>
  </si>
  <si>
    <t>SEVROLL Prosper II rączka 2,7m srebrny</t>
  </si>
  <si>
    <t>SEVROLL 04044Rex fogantyú profil 2,7m ezüst</t>
  </si>
  <si>
    <t>SEVROLL Rex rączka 2,7m srebrny</t>
  </si>
  <si>
    <t>SEVROLL Blue-V alsó vezetés 6m oliva</t>
  </si>
  <si>
    <t>SEVROLL 04494 Blue-V spodné vedenie 6m oliva</t>
  </si>
  <si>
    <t>SEVROLL Blue-V tor dolny 6m jasny brąz</t>
  </si>
  <si>
    <t>SEVROLL Comfort 16 II fogantyú profil 2,7m oliva</t>
  </si>
  <si>
    <t>SEVROLL Comfort 16 II rączka 2,7m jasny brąz</t>
  </si>
  <si>
    <t>SEVROLL Comfort 18 II fogantyú profil 2,7m oliva</t>
  </si>
  <si>
    <t>SEVROLL Comfort 18 II rączka 2,7m jasny brąz</t>
  </si>
  <si>
    <t>SEVROLL Karat fogantyú profil 2,7m oliva</t>
  </si>
  <si>
    <t>SEVROLL Rączka Karat 2,7 m oliwka</t>
  </si>
  <si>
    <t>SEVROLL Herkules 2 felső vezetés 2m alu</t>
  </si>
  <si>
    <t>SEVROLL Herkules 2 horné vedenie 2m alu</t>
  </si>
  <si>
    <t>SEVROLL Herkules 2 tor górny 2 m alu</t>
  </si>
  <si>
    <t>SEVROLL Hide N spodné vedenie 6m strieborná</t>
  </si>
  <si>
    <t>SEVROLL  04468 Blue felső vezetés 3m oliva</t>
  </si>
  <si>
    <t>SEVROLL 04468 Blue horné vedenie  3m oliva</t>
  </si>
  <si>
    <t>SEVROLL Blue tor górny 3 m, jasny brąz</t>
  </si>
  <si>
    <t>SEVROLL 02728 Unicomfort II fogantyú profil 2,7m ezüst</t>
  </si>
  <si>
    <t>SEVROLL Unicomfort II rączka 2,7m srebrna</t>
  </si>
  <si>
    <t>SEVROLL Optima felső vezetés 2m ezüst</t>
  </si>
  <si>
    <t>SEVROLL 03064 Optima horné vedenie 2m strieborná</t>
  </si>
  <si>
    <t>SEVROLL Optima tor górny 2m srebrny</t>
  </si>
  <si>
    <t>K-SEVROLL ütközés csillapító 10/18mm 14-25kg J+B</t>
  </si>
  <si>
    <t>K-SEVROLL tlmič dorazu 10/18mm 14-25kg L+P</t>
  </si>
  <si>
    <t>K-SEVROLL tłumienie 10/18mm 14-25kg L+P</t>
  </si>
  <si>
    <t>K-SEVROLL ütközés csillapító 10/18mm 25-50kg J+B</t>
  </si>
  <si>
    <t>K-SEVROLL tlmič dorazu 10/18mm 25-50kg L+P</t>
  </si>
  <si>
    <t>K-SEVROLL tłumienie 10/18mm 25-50kg L+P</t>
  </si>
  <si>
    <t>SEVROLL 02851 Doubler II alsó vezető profil 3m ezüst</t>
  </si>
  <si>
    <t>SEVROLL 02851 Doubler II tor dolny 3m srebrny</t>
  </si>
  <si>
    <t>SEVROLL 00219 összekötő profil H30 3m oliva</t>
  </si>
  <si>
    <t>SEVROLL 00219 spojovacia lišta H30 3m oliva</t>
  </si>
  <si>
    <t>SEVROLL Pax fogantyú profil 3m ezüst</t>
  </si>
  <si>
    <t>SEVROLL Pax rączka 3m srebrny</t>
  </si>
  <si>
    <t>Sevroll 85615 Lux III fogantyú profil 2,7m oliva</t>
  </si>
  <si>
    <t>Sevroll Lux III rączka 2,7 m jasny brąz</t>
  </si>
  <si>
    <t>SEVROLL Unicomfort II fogantyú profil 2,7m oliva</t>
  </si>
  <si>
    <t>SEVROLL Unicomfort II rączka 2,7m jasny brąz</t>
  </si>
  <si>
    <t>SEVROLL Simple felső vezetés 4m ezüst</t>
  </si>
  <si>
    <t>SEVROLL Simple tor górny 4 m srebrny</t>
  </si>
  <si>
    <t>SEVROLL 04096 Pax felső vezető profil 3m ezüst</t>
  </si>
  <si>
    <t>SEVROLL 04096 Pax horná vodiaca lišta 3m strieborná</t>
  </si>
  <si>
    <t>SEVROLL Pax listwa pozioma górna 3m srebrny</t>
  </si>
  <si>
    <t>SEVROLL 02376 Master fogantyú profil 2,7m ezüst</t>
  </si>
  <si>
    <t>SEVROLL 02376 Master úchytová lišta 2,7m strieborná</t>
  </si>
  <si>
    <t>SEVROLL Master rączka 2,7m srebrna</t>
  </si>
  <si>
    <t>SEVROLL Doubler II alsó vezetés 3m oliva</t>
  </si>
  <si>
    <t>SEVROLL 02846 Doubler II spodné vedenie 3m oliva</t>
  </si>
  <si>
    <t>SEVROLL Doubler II tor dolny 3m jasny brąz</t>
  </si>
  <si>
    <t>SEVROLL Porto fogantyú profil 2,7m oliva</t>
  </si>
  <si>
    <t>SEVROLL Porto rączka 2,7m jasny brąz</t>
  </si>
  <si>
    <t>SEVROLL Prosper II fogantyú profil 2,7m oliva</t>
  </si>
  <si>
    <t>SEVROLL Prosper II rączka 2,7 m oliwka</t>
  </si>
  <si>
    <t>SEVROLL Rex fogantyú profil 2,7m oliva</t>
  </si>
  <si>
    <t>SEVROLL Rex rączka 2,7m jasny brąz</t>
  </si>
  <si>
    <t>SEVROLL Maxim II alsó vezetés 3,5m oliva</t>
  </si>
  <si>
    <t>SEVROLL Maxim II tor dolny 3,5m jasny brąz</t>
  </si>
  <si>
    <t>SEVROLL 01011 Gemini felső vezetés 3m oliva</t>
  </si>
  <si>
    <t>SEVROLL 01011 Gemini horné vedenie 3m oliva</t>
  </si>
  <si>
    <t>SEVROLL Gemini felső vezetés 3m arany</t>
  </si>
  <si>
    <t>SEVROLL 01011 Gemini horné vedenie 3m zlatá</t>
  </si>
  <si>
    <t>SEVROLL 02382 Everest vezető profil 3m ezüst</t>
  </si>
  <si>
    <t>SEVROLL Everest tor 3 m, srebrny</t>
  </si>
  <si>
    <t>SEVROLL Hide N alsó vezetés 6m oliva</t>
  </si>
  <si>
    <t>SEVROLL Hide N spodné vedenie 6m oliva</t>
  </si>
  <si>
    <t>SEVROLL Hide N tor dolny 6 m, jasny brąz</t>
  </si>
  <si>
    <t>SEVROLL Everest vezető profil 3m oliva</t>
  </si>
  <si>
    <t>SEVROLL Everest tor 3m jasny brąz</t>
  </si>
  <si>
    <t>SEVROLL Gemini II alsó vezetés 4,05m fényes fehér</t>
  </si>
  <si>
    <t>SEVROLL 04763 Gemini II spodné vedenie 4,05m biela lesk</t>
  </si>
  <si>
    <t>SEVROLL Gemini II tor dolny 4,05m biały połysk</t>
  </si>
  <si>
    <t>SEVROLL Star fogantyú profil 2,7m ezüst</t>
  </si>
  <si>
    <t>SEVROLL Star rączka 2,7 m srebrna</t>
  </si>
  <si>
    <t>SEVROLL  01257  Single felső vezetés 3m ezüst</t>
  </si>
  <si>
    <t>SEVROLL 01257 SINGLE HORNÉ VEDENIE 3 m strieborná</t>
  </si>
  <si>
    <t>SEVROLL Symetric vasalat szett 2 ajtószárnyra</t>
  </si>
  <si>
    <t>SEVROLL 219-070 Symetric sada kovania pre 2 krídla</t>
  </si>
  <si>
    <t>SEVROLL Symetric zestaw okuć do 2 skrzydeł</t>
  </si>
  <si>
    <t>SEVROLL Herkules vasalat szett 60kg</t>
  </si>
  <si>
    <t>SEVROLL Herkules zestaw okuć 60kg</t>
  </si>
  <si>
    <t>SEVROLL Herkules-szinkr.mechan. 2x50kg-ra</t>
  </si>
  <si>
    <t>SEVROLL Złączki do 2 skrz.SYMETRIC-mechanizm</t>
  </si>
  <si>
    <t>SEVROLL összekötő profil H30 3m fényes fehér</t>
  </si>
  <si>
    <t>SEVROLL 03212 spojovacia lišta H30 3m biela lesk</t>
  </si>
  <si>
    <t>SEVROLL listwa łącząca H30 3m biały połysk</t>
  </si>
  <si>
    <t>SEVROLL takaró profil Galaxy 6m</t>
  </si>
  <si>
    <t>SEVROLL maskownica Galaxy 6m</t>
  </si>
  <si>
    <t>SEVROLL 02802 Maxim II alsó vezető profil 4,3m ezüst</t>
  </si>
  <si>
    <t>SEVROLL SPODNÉ VED. MAXIM II 4,3M STR.</t>
  </si>
  <si>
    <t>SEVROLL 02802 Maxim II tor dolny 4,3m srebrny</t>
  </si>
  <si>
    <t>SEVROLL Pax fogantyú profil 2,7m fényes fehér</t>
  </si>
  <si>
    <t>SEVROLL 04098 Pax úchytová lišta 2,7m biela lesk</t>
  </si>
  <si>
    <t>SEVROLL Pax rączka 2,7 m, biały połysk</t>
  </si>
  <si>
    <t>SEVROLL 02377 Master fogantyú profil 2,7m oliva</t>
  </si>
  <si>
    <t>SEVROLL Master rączka 2,7m jasny brąz</t>
  </si>
  <si>
    <t>SEVROLL Simple felső vezetés 4m oliva</t>
  </si>
  <si>
    <t>SEVROLL Simple horné vedenie 4m oliva</t>
  </si>
  <si>
    <t>SEVROLL Simple tor górny 4 m oliwka</t>
  </si>
  <si>
    <t>SEVROLL Comfort felső vezetés 1,7m ezüst</t>
  </si>
  <si>
    <t>SEVROLL HOR. VEDENIE COMFORT 1,70 M STR.</t>
  </si>
  <si>
    <t>SEVROLL Comfort tor górny 1,7m srebrny</t>
  </si>
  <si>
    <t>SEVROLL 04595 Gemini II alsó vezetés 6m ezüst</t>
  </si>
  <si>
    <t>SEVROLL 04595 Gemini II spodné vedenie  6m strieborná</t>
  </si>
  <si>
    <t>SEVROLL Gemini II tor dolny 6m srebrny</t>
  </si>
  <si>
    <t>SEVROLL Single felső vezetés 3m oliva</t>
  </si>
  <si>
    <t>SEVROLL 01248 Single horné vedenie 3m oliva</t>
  </si>
  <si>
    <t>SEVROLL Single tor górny 3m jasny brąz</t>
  </si>
  <si>
    <t>SEVROLL  02024 Maxim felső vezetés 2,5m ezüst</t>
  </si>
  <si>
    <t>SEVROLL 02024 Maxim tor górny 2,5 m, srebrny</t>
  </si>
  <si>
    <t>SEVROLL Herkules 2 felső vezetés 2,4m alu</t>
  </si>
  <si>
    <t>SEVROLL 214-426 Herkules 2 horné vedenie 2,4m alu</t>
  </si>
  <si>
    <t>SEVROLL Prowadnica alum. HERKULES 2 2,4 m</t>
  </si>
  <si>
    <t>SEVROLL Ursus felső vezetés 3m nyers</t>
  </si>
  <si>
    <t>SEVROLL 50245 Ursus horné vedenie 3m surová</t>
  </si>
  <si>
    <t>SEVROLL Ursus tor górny 3m surowy</t>
  </si>
  <si>
    <t>SEVROLL  04475 Blue felső vezetés 4m ezüst</t>
  </si>
  <si>
    <t>SEVROLL 04475 Blue horné vedenie  4m strieborná</t>
  </si>
  <si>
    <t>SEVROLL Optima felső vezetés 2,4m ezüst</t>
  </si>
  <si>
    <t>SEVROLL 03182 Optima horné vedenie 2,4m strieborná</t>
  </si>
  <si>
    <t>SEVROLL Optima tor górny 2,4m srebrny</t>
  </si>
  <si>
    <t>SEVROLL Future II fogantyú profil 2,7m oliva</t>
  </si>
  <si>
    <t>SEVROLL Future II rączka 2,7m jasny brąz</t>
  </si>
  <si>
    <t>SEVROLL 01469 Gemini felső vezetés 4,05m ezüst</t>
  </si>
  <si>
    <t>SEVROLL 01469 Gemini horné vedenie 4,05m strieborná</t>
  </si>
  <si>
    <t>SEVROLL Exclusive felső vezetés 3m ezüst</t>
  </si>
  <si>
    <t>SEVROLL Exclusive tor górny 3m srebrny</t>
  </si>
  <si>
    <t>SEVROLL  04318  Pax merevítő 3m ezüst</t>
  </si>
  <si>
    <t>SEVROLL 04318 Pax výztuha 3m strieborná</t>
  </si>
  <si>
    <t>SEVROLL Pax listwa montażowa 3m srebrny</t>
  </si>
  <si>
    <t>SEVROLL Comfort felső vezetés 1,7m oliva</t>
  </si>
  <si>
    <t>SEVROLL Comfort tor górny 1,7m jasny brąz</t>
  </si>
  <si>
    <t>SEVROLL Star fogantyú profil 2,7m oliva</t>
  </si>
  <si>
    <t>SEVROLL Star rączka 2,7 m oliwka</t>
  </si>
  <si>
    <t>SEVROLL 02301 Maxim vezető profil 3,5m ezüst</t>
  </si>
  <si>
    <t>SEVROLL MAXIM VOD.LIŠTA 3,5 M STRIEBORNA</t>
  </si>
  <si>
    <t>SEVROLL 02301 Maxim tor 3,5 m, srebrny</t>
  </si>
  <si>
    <t>SEVROLL  02379 Master fogantyú profil 3m ezüst</t>
  </si>
  <si>
    <t>SEVROLL 02379 Master rączka 3m srebrna</t>
  </si>
  <si>
    <t>SEVROLL tolóajtó zár Karat és Prosper fogantyú profilhoz</t>
  </si>
  <si>
    <t>SEVROLL 20369 zámok na posuvné dvere pre madlo Karat a Prosper</t>
  </si>
  <si>
    <t>SEVROLL zamek do drzwi przesuwnych, do rączek Karat i Prosper</t>
  </si>
  <si>
    <t>SEVROLL födém tartó ferde mennyezetnél</t>
  </si>
  <si>
    <t>SEVROLL držiak pôdy skrine u šikmých stropov</t>
  </si>
  <si>
    <t>SEVROLL mocowanie do sufitu ukośnego</t>
  </si>
  <si>
    <t>SEVROLL Optima II vasalat szett (két ajtó)</t>
  </si>
  <si>
    <t>SEVROLL 10192-SV Optima II sada kování (dvoje dvere)</t>
  </si>
  <si>
    <t>SEVROLL Optima II zestaw okuć (dwa skrzydła drzwiowe)</t>
  </si>
  <si>
    <t>SEVROLL Pax felső vezető profil 3m fényes fehér</t>
  </si>
  <si>
    <t>SEVROLL 04100 Pax horná vodiaca lišta 3m biela lesk</t>
  </si>
  <si>
    <t>SEVROLL Pax tor dolny 3m biały połysk</t>
  </si>
  <si>
    <t>SEVROLL 02809 Maxim alsó takaró profil 2,5m 18mm ezüst</t>
  </si>
  <si>
    <t>SEVROLL Maxim spod.krycia lišta 2,5m 18mm strieborná</t>
  </si>
  <si>
    <t>SEVROLL 02809 Maxim maskownica dolna 2,5 m, 18mm srebrna</t>
  </si>
  <si>
    <t>SEVROLL Maxim II alsó vezetés 4,3m oliva</t>
  </si>
  <si>
    <t>SEVROLL Maxim II tor dolny 4,3m jasny brąz</t>
  </si>
  <si>
    <t>SEVROLL03048  Future II fogantyú profil 2,7m ezüst</t>
  </si>
  <si>
    <t>SEVROLL 03048 Future II rączka 2,7m srebrna</t>
  </si>
  <si>
    <t>SEVROLL Elegant II alsó vezetés 6m arany</t>
  </si>
  <si>
    <t>SEVROLL 04289 Elegant II spodné vedenie 6m zlatá</t>
  </si>
  <si>
    <t>SEVROLL Elegant II tor dolny 6m złoty</t>
  </si>
  <si>
    <t>SEVROLL Pax fogantyú profil 3m fényes fehér</t>
  </si>
  <si>
    <t>SEVROLL 04101 Pax úchytová lišta 3m biela lesk</t>
  </si>
  <si>
    <t>SEVROLL Pax rączka 3 m, biały połysk</t>
  </si>
  <si>
    <t>SEVROLL Comfort alsó vezetés 4,05m ezüst</t>
  </si>
  <si>
    <t>SEVROLL Comfort tor dolny 4,05m srebrny</t>
  </si>
  <si>
    <t>SEVROLL 02380 Master fogantyú profil 3m oliva</t>
  </si>
  <si>
    <t>SEVROLL Master rączka 3 m jasny brąz</t>
  </si>
  <si>
    <t>SEVROLL Herkules vasalat szett 120kg</t>
  </si>
  <si>
    <t>SEVROLL Herkules zestaw okuć 120kg</t>
  </si>
  <si>
    <t>SEVROLL 02852 Doubler II alsó vezető profil 4,05m ezüst</t>
  </si>
  <si>
    <t>SEVROLL Doubler ll spodné vedenie 4,05m strieborná</t>
  </si>
  <si>
    <t>SEVROLL Doubler II tor dolny 4,05m srebrny</t>
  </si>
  <si>
    <t>SEVROLL Maxim felső vezetés 2,5m oliva</t>
  </si>
  <si>
    <t>SEVROLL Maxim tor górny 2,5m jasny brąz</t>
  </si>
  <si>
    <t>SEVROLL 02066 Maxim vasalat szett 2 ajtóra 1,8m ezüst</t>
  </si>
  <si>
    <t>SEVROLL Maxim sada kovania pre 2 dvere 1,8m strieborná</t>
  </si>
  <si>
    <t>SEVROLL Maxim, zestaw okuć dla 2 drzwi, 1,8 m, srebrny</t>
  </si>
  <si>
    <t>SEVROLL takaró profil Herkules Glass 2m ezüst</t>
  </si>
  <si>
    <t>SEVROLL maskownica Herkules Glass 2m srebrny</t>
  </si>
  <si>
    <t>SEVROLL 04469 Blue felső vezetés 4m oliva</t>
  </si>
  <si>
    <t>SEVROLL 04469 Blue horné vedenie  4m oliva</t>
  </si>
  <si>
    <t>SEVROLL Blue tor górny 4 m, jasny brąz</t>
  </si>
  <si>
    <t>SEVROLL 04278Elegant II alsó vezetés 6m oliva</t>
  </si>
  <si>
    <t>SEVROLL 04278 Elegant II spodné vedenie 6m oliva</t>
  </si>
  <si>
    <t>SEVROLL Elegant II tor dolny 6m, jasny brąz</t>
  </si>
  <si>
    <t>SEVROLL Exclusive felső vezetés 3m oliva</t>
  </si>
  <si>
    <t>SEVROLL 01713 Exclusive horné vedenie 3m oliva</t>
  </si>
  <si>
    <t>SEVROLL Exclusive tor górny 3m jasny brąz</t>
  </si>
  <si>
    <t>SEVROLL Top felső vezetés egyszerű 3m ezüst</t>
  </si>
  <si>
    <t>SEVROLL 03074 Top horné vedenie jednoduché 3m strieborná</t>
  </si>
  <si>
    <t>SEVROLL Top tor górny pojedyńczy 3m srebrny</t>
  </si>
  <si>
    <t>SEVROLL Maxim alsó takaró profil 2,5m 18mm oliva</t>
  </si>
  <si>
    <t>SEVROLL Maxim spodná krycí lišta 2,5m 18mm oliva</t>
  </si>
  <si>
    <t>SEVROLL Maxim maskownica dolna 2,5 m, jasny brąz</t>
  </si>
  <si>
    <t>SEVROLL Maxim vezető profil 3,5m oliva</t>
  </si>
  <si>
    <t>SEVROLL Maxim vodiaca lišta 3,5m oliva</t>
  </si>
  <si>
    <t>SEVROLL Maxim tor 3,5m, jasny brąz</t>
  </si>
  <si>
    <t>SEVROLL 04590 Gemini II alsó vezetés 6m oliva</t>
  </si>
  <si>
    <t>SEVROLL 04590 Gemini II spodné vedenie  6m oliva</t>
  </si>
  <si>
    <t>SEVROLL Gemini II tor dolny 6m jasny brąz</t>
  </si>
  <si>
    <t>SEVROLL alsó takaró profil 3m 10mm oliva sötét szálcsiszolt</t>
  </si>
  <si>
    <t>SEVROLL spodná krycia lišta 3m 10mm oliva tmavá kartáčovaná</t>
  </si>
  <si>
    <t>SEVROLL listwa pozioma dolna 3 m 10mm oliwka ciemna szczotkowana</t>
  </si>
  <si>
    <t>SEVROLL Herkules plus felső vezetés 4m alu</t>
  </si>
  <si>
    <t>SEVROLL 214-378 Herkules plus horné vedenie 4m alu</t>
  </si>
  <si>
    <t>SEVROLL Herkules plus tor górny 4m alu</t>
  </si>
  <si>
    <t>SEVROLL Doubler II alsó vezetés 4,05m oliva</t>
  </si>
  <si>
    <t>SEVROLL 02847 Doubler II spodné vedenie 4,05m oliva</t>
  </si>
  <si>
    <t>SEVROLL Doubler II tor dolny 4,05m jasny brąz</t>
  </si>
  <si>
    <t>SEVROLL Doubler II alsó vezetés 4,05m arany</t>
  </si>
  <si>
    <t>SEVROLL Doubler II tor dolny 4,05m złoty</t>
  </si>
  <si>
    <t>SEVROLL Ursus felső vezetés 3,6m nyers</t>
  </si>
  <si>
    <t>SEVROLL 50246 Ursus horné vedenie 3,6m surová</t>
  </si>
  <si>
    <t>SEVROLL Ursus tor górny 3,6 m surowy</t>
  </si>
  <si>
    <t>SEVROLL Pax alsó takaró profil 3m 4mm fényes fehér</t>
  </si>
  <si>
    <t>SEVROLL 04099Gemini 4 Pax spodná krycia lišta 3m 4mm biela lesk</t>
  </si>
  <si>
    <t>SEVROLL Pax maskownica dolna 3m 4mm biały połysk</t>
  </si>
  <si>
    <t>SEVROLL Exclusive felső vezetés 3,6m ezüst</t>
  </si>
  <si>
    <t>SEVROLL Exclusive tor górny 3,6m srebrny</t>
  </si>
  <si>
    <t>SEVROLL 01439 Gemini felső vezetés 4,05m oliva</t>
  </si>
  <si>
    <t>SEVROLL 01439 Gemini horné vedenie 4,05m oliva</t>
  </si>
  <si>
    <t>SEVROLL Gemini felső vezetés 4,05m arany</t>
  </si>
  <si>
    <t>SEVROLL 01462  Gemini horné vedenie 4,05m zlatá</t>
  </si>
  <si>
    <t>SEVROLL Herkules 2 felső vezetés 3m alu</t>
  </si>
  <si>
    <t>SEVROLL Herkules 2 horné vedenie 3m alu</t>
  </si>
  <si>
    <t>SEVROLL Herkules 2 tor górny 3 m alu</t>
  </si>
  <si>
    <t>SEVROLL 214-427 Herkules 2 horné vedenie 3m alu</t>
  </si>
  <si>
    <t>SEVROLL Prowadnica alumin.HERKULES 2 3 m</t>
  </si>
  <si>
    <t>SEVROLL Elegant II alsó vezetés 6m fényes fehér</t>
  </si>
  <si>
    <t>SEVROLL 04295 Elegant II spodné vedenie 6m biela lesk</t>
  </si>
  <si>
    <t>SEVROLL Elegant II tor dolny 6m biały połysk</t>
  </si>
  <si>
    <t>SEVROLL Top felső vezetés egyszerű 3m oliva</t>
  </si>
  <si>
    <t>SEVROLL 03072 Top horné vedenie jednoduché 3m oliva</t>
  </si>
  <si>
    <t>SEVROLL Top tor górny pojedynczy 3 m oliwka</t>
  </si>
  <si>
    <t>SEVROLL 02305  Maxim vezető profil 4,3m ezüst</t>
  </si>
  <si>
    <t>SEVROLL MAXIM VOD.LIŠTA 4,3 M STRIEBORNA</t>
  </si>
  <si>
    <t>SEVROLL Maxim tor 4,3 m, srebrny</t>
  </si>
  <si>
    <t>SEVROLL 10256-SV Exclusive vasalat szett ZPE-10 II</t>
  </si>
  <si>
    <t>SEVROLL 10256-SV Exclusive sada kovania ZPE-10 II</t>
  </si>
  <si>
    <t>SEVROLL 10256-SV Exclusive zestaw okuć ZPE-10 II</t>
  </si>
  <si>
    <t>SEVROLL Maxim II alsó vezetés 6m ezüst</t>
  </si>
  <si>
    <t>SEVROLL 02890 Maxim II spodné vedenie 6m strieborná</t>
  </si>
  <si>
    <t>SEVROLL Maxim II tor dolny 6m srebrny</t>
  </si>
  <si>
    <t>SEVROLL Future II fogantyú profil 3,5m oliva</t>
  </si>
  <si>
    <t>SEVROLL Future II rączka 3,5m jasny brąz</t>
  </si>
  <si>
    <t>SEVROLL Simple felső vezetés 6m ezüst</t>
  </si>
  <si>
    <t>SEVROLL Simple tor górny 6 m srebrny</t>
  </si>
  <si>
    <t>SEVROLL Ursus vasalat szett ZP-18 1 ajtószárnyra</t>
  </si>
  <si>
    <t>SEVROLL 10022-SV Ursus sada kovania ZP-18 pro 1 krídlo</t>
  </si>
  <si>
    <t>SEVROLL Ursus zestaw okuć ZP-18 do 1 skrzydła</t>
  </si>
  <si>
    <t>SEVROLL Exclusive vasalat szett ZPE-18</t>
  </si>
  <si>
    <t>SEVROLL Exclusive zestaw okuć ZPE-18</t>
  </si>
  <si>
    <t>SEVROLL 02835 Comfort felső vezető profil2,35m ezüst</t>
  </si>
  <si>
    <t>SEVROLL Comfort tor górny 2,35m srebrny</t>
  </si>
  <si>
    <t>SEVROLL Gemini II alsó vezetés 6m fényes fehér</t>
  </si>
  <si>
    <t>SEVROLL 04764 Gemini II spodné vedenie 6m biela lesk</t>
  </si>
  <si>
    <t>SEVROLL Gemini II tor dolny 6m biały połysk</t>
  </si>
  <si>
    <t>SEVROLL Maxim vezető profil 4,3m oliva</t>
  </si>
  <si>
    <t>SEVROLL Maxim vodiaca lišta 4,3m oliva</t>
  </si>
  <si>
    <t>SEVROLL Maxim tor 4,3 m oliwka</t>
  </si>
  <si>
    <t>SEVROLL 03049 Future II fogantyú profil 3,5m ezüst</t>
  </si>
  <si>
    <t>SEVROLL FUTURE II ÚCH.LIŠTA 3,5 M str.</t>
  </si>
  <si>
    <t>SEVROLL 03049 Future II rączka 3,5m srebrna</t>
  </si>
  <si>
    <t>SEVROLL 02298 Maxim felső vezetés 3,5m ezüst</t>
  </si>
  <si>
    <t>SEVROLL HORNÉ VEDENIE MAXIM 3,5M STR.</t>
  </si>
  <si>
    <t>SEVROLL 02298 Maxim tor górny 3,5 m, srebrny</t>
  </si>
  <si>
    <t>SEVROLL Comfort felső vezetés 2,35m oliva</t>
  </si>
  <si>
    <t>SEVROLL HOR.VEDENIE COMFORT 2,35 M OLIVA</t>
  </si>
  <si>
    <t>SEVROLL Comfort tor górny 2,35m jasny brąz</t>
  </si>
  <si>
    <t>SEVROLL Simple felső vezetés 6m oliva</t>
  </si>
  <si>
    <t>SEVROLL Simple horné vedenie 6m oliva</t>
  </si>
  <si>
    <t>SEVROLL Simple tor górny 6 m oliwka</t>
  </si>
  <si>
    <t>SEVROLL 02811 Maxim alsó takaró profil 3,5m 18mm ezüst</t>
  </si>
  <si>
    <t>SEVROLL Maxim spod.krycia lišta 3,5m 18mm strieborná</t>
  </si>
  <si>
    <t>SEVROLL 02811 Maxim maskownica dolna 3,5 m, 18mm  srebrna</t>
  </si>
  <si>
    <t>SEVROLL 01391 Gemini felső vezetés 6m ezüst</t>
  </si>
  <si>
    <t>SEVROLL 01391 Gemini horné vedenie 6m strieborná</t>
  </si>
  <si>
    <t>SEVROLL Gemini tor górny 6m, srebrny</t>
  </si>
  <si>
    <t>SEVROLL  04476  Blue felső vezetés 6m ezüst</t>
  </si>
  <si>
    <t>SEVROLL 04476 Blue horné vedenie  6m strieborná</t>
  </si>
  <si>
    <t>SEVROLL Blue tor górny 6 m, srebrny</t>
  </si>
  <si>
    <t>SEVROLL biztonsági fólia 300mm/50m transzparens</t>
  </si>
  <si>
    <t>SEVROLL bezpečnostná fólia 300mm/50m transparentná</t>
  </si>
  <si>
    <t>SEVROLL folia ochronna 300mm/50m przeźroczysta</t>
  </si>
  <si>
    <t>SEVROLL Idea felső/alsó vezetés 6m ezüst</t>
  </si>
  <si>
    <t>SEVROLL Idea horné/spodné vedenie 6m strieborná</t>
  </si>
  <si>
    <t>SEVROLL 04191 Idea tor górny/dolny 6m, srebrny</t>
  </si>
  <si>
    <t>SEVROLL 02067 Maxim vasalat szett 3 ajtóra 2,5m ezüst</t>
  </si>
  <si>
    <t>SEVROLL Maxim sada kovánia pre 3 dvere 2,5m strieborná</t>
  </si>
  <si>
    <t>SEVROLL Maxim zestaw okuć dla 3 drzwi 2,5 m, srebrny</t>
  </si>
  <si>
    <t>SEVROLL Herkules vasalat szett 60kg 1,2m</t>
  </si>
  <si>
    <t>SEVROLL Herkules zestaw okuć 60kg 1,2m</t>
  </si>
  <si>
    <t>SEVROLL 04469-M Blue felső vezetés 6m oliva</t>
  </si>
  <si>
    <t>SEVROLL 04470 Blue horné vedenie  6m oliva</t>
  </si>
  <si>
    <t>SEVROLL Blue tor górny 6 m, jasny brąz</t>
  </si>
  <si>
    <t>SEVROLL 20363-SV csillapító Central 10/18mm kétoldalú 25kg</t>
  </si>
  <si>
    <t>SEVROLL 20363-SV tlmič Central 10/18mm obojstranný 25kg</t>
  </si>
  <si>
    <t>SEVROLL tłumienie Central 10/18mm obustronne 25kg</t>
  </si>
  <si>
    <t>SEVROLL20319-SV  csillapító Central 10 / 18mm kétoldalas 25-40kg</t>
  </si>
  <si>
    <t>SEVROLL 20319-SV tlmič Central 10/18mm obojstranný 25-40kg</t>
  </si>
  <si>
    <t>SEVROLL tłumienie Central 10/18mm obustronne 25-40kg</t>
  </si>
  <si>
    <t>SEVROLL Maxim felső vezetés 3,5m oliva</t>
  </si>
  <si>
    <t>SEVROLL Maxim tor górny 3,5m jasny brąz</t>
  </si>
  <si>
    <t>SEVROLL Doubler II alsó vezetés 6m ezüst</t>
  </si>
  <si>
    <t>SEVROLL 02853 Doubler II spodné vedenie 6m strieborná</t>
  </si>
  <si>
    <t>SEVROLL Doubler II tor dolny 6m srebrna</t>
  </si>
  <si>
    <t>SEVROLL Optima szett csillapító J+B</t>
  </si>
  <si>
    <t>SEVROLL Optima tłumienie komplet L+P</t>
  </si>
  <si>
    <t>SEVROLL Herkules 2 felső vezetés 4m alu</t>
  </si>
  <si>
    <t>SEVROLL Herkules 2 horné vedenie 4m alu</t>
  </si>
  <si>
    <t>SEVROLL Herkules 2 tor górny 4 m alu</t>
  </si>
  <si>
    <t>SEVROLL Maxim vezető profil 6m ezüst</t>
  </si>
  <si>
    <t>SEVROLL 02893 Maxim vodiaca lišta 6m strieborná</t>
  </si>
  <si>
    <t>SEVROLL Maxim tor 6m srebrny</t>
  </si>
  <si>
    <t>SEVROLL Herkules vasalat szett 60kg 1,5m</t>
  </si>
  <si>
    <t>SEVROLL Herkules zestaw okuć 60kg 1,5m</t>
  </si>
  <si>
    <t>SEVROLL Maxim alsó takaró profil 3,5m 18mm oliva</t>
  </si>
  <si>
    <t>SEVROLL Maxim spodná krycia lišta 3,5m 18mm oliva</t>
  </si>
  <si>
    <t>SEVROLL Maxim maskownica dolna 3,5m 18mm, jasny brąz</t>
  </si>
  <si>
    <t>SEVROLL 02306 Maxim felső vezetés 4,3m ezüst</t>
  </si>
  <si>
    <t>SEVROLL HORNÉ VEDENIE MAXIM 4,3M STR.</t>
  </si>
  <si>
    <t>SEVROLL 02306 Maxim tor górny 4,3 m, srebrny</t>
  </si>
  <si>
    <t>SEVROLL 02836 Comfort felső vezető profil3m ezüst</t>
  </si>
  <si>
    <t>SEVROLL Comfort tor górny 3m srebrny</t>
  </si>
  <si>
    <t>SEVROLL Gemini felső vezetés 6m arany</t>
  </si>
  <si>
    <t>SEVROLL 01392 Gemini horné vedenie 6m zlatá</t>
  </si>
  <si>
    <t>SEVROLL Gemini tor górny 6m złoty</t>
  </si>
  <si>
    <t>SEVROLL Doubler II alsó vezetés 6m oliva</t>
  </si>
  <si>
    <t>SEVROLL 02848 Doubler II spodné vedenie 6m oliva</t>
  </si>
  <si>
    <t>SEVROLL Doubler II tor dolny 6m jasny brąz</t>
  </si>
  <si>
    <t>SEVROLL Herkules vasalat szett 120kg 1,2m</t>
  </si>
  <si>
    <t>SEVROLL Herkules zestaw okuć 120kg 1,2m</t>
  </si>
  <si>
    <t>SEVROLL Single felső vezetés 6m ezüst</t>
  </si>
  <si>
    <t>SEVROLL Single horné vedenie 6m strieborná</t>
  </si>
  <si>
    <t>SEVROLL Single tor górny 6m srebrny</t>
  </si>
  <si>
    <t>SEVROLL Comfort felső vezetés 3m oliva</t>
  </si>
  <si>
    <t>SEVROLL HOR.VEDENIE COMFORT 3 M OLIVA</t>
  </si>
  <si>
    <t>SEVROLL Comfort tor górny 3m jasny brąz</t>
  </si>
  <si>
    <t>SEVROLL Herkules plus felső vezetés 6m alu</t>
  </si>
  <si>
    <t>SEVROLL 214-379 Herkules plus horné vedenie 6m alu</t>
  </si>
  <si>
    <t>SEVROLL Herkules plus tor górny 6m alu</t>
  </si>
  <si>
    <t>SEVROLL 02801 Maxim alsó takaró profil 4,3m 18mm ezüst</t>
  </si>
  <si>
    <t>SEVROLL Maxim spod.krycia lišta 4,3m 18mm strieborná</t>
  </si>
  <si>
    <t>SEVROLL 02801 Maxim maskownica dolna 4,3 m, 18mm  srebrna</t>
  </si>
  <si>
    <t>SEVROLL 01391 Gemini felső vezetés 6m oliva</t>
  </si>
  <si>
    <t>SEVROLL Gemini tor górny 6m, jasny brąz</t>
  </si>
  <si>
    <t>SEVROLL ütközés csillapító Top SV60 - 2db</t>
  </si>
  <si>
    <t>SEVROLL tłumienie Top SV60 - 2szt</t>
  </si>
  <si>
    <t>SEVROLL Idea vasalat szett két ajtóra 50kg</t>
  </si>
  <si>
    <t>SEVROLL Idea sada kovania pre dvoje dvere 50kg</t>
  </si>
  <si>
    <t>SEVROLL Idea zestaw okuć dla 2 drzwi 50kg</t>
  </si>
  <si>
    <t>SEVROLL Maxim felső vezetés 4,3m oliva</t>
  </si>
  <si>
    <t>SEVROLL Maxim tor górny 4,3m jasny brąz</t>
  </si>
  <si>
    <t>SEVROLL Herkules csillapító 40 - 80kg</t>
  </si>
  <si>
    <t>SEVROLL Herkules tłumienie 40 - 80kg</t>
  </si>
  <si>
    <t>SEVROLL ütközés csillapító Top SV80 - 2db</t>
  </si>
  <si>
    <t>SEVROLL tłumienie Top SV80 - 2szt</t>
  </si>
  <si>
    <t>SEVROLL Maxim alsó takaró profil 4,3m 18mm oliva</t>
  </si>
  <si>
    <t>SEVROLL Maxim spodná krycia lišta 4,3m 18mm oliva</t>
  </si>
  <si>
    <t>SEVROLL Maxim maskownica dolna 4,3 m 18mm oliwka</t>
  </si>
  <si>
    <t>SEVROLL Herkules vasalat szett 60kg 1,8m</t>
  </si>
  <si>
    <t>SEVROLL Herkules zestaw okuć 60kg 1,8m</t>
  </si>
  <si>
    <t>SEVROLL Herkules vasalat szett 60kg 2m</t>
  </si>
  <si>
    <t>SEVROLL Herkules zestaw okuć 60kg 2m</t>
  </si>
  <si>
    <t>SEVROLL Herkules vasalat szett 120kg 1,5m</t>
  </si>
  <si>
    <t>SEVROLL Herkules zestaw okuć 120kg 1,5m</t>
  </si>
  <si>
    <t>SEVROLL 10229-SV  Everest szett Fox II fogantyú profilhoz</t>
  </si>
  <si>
    <t>SEVROLL 10229-SV Everest sada pre úchytovú lištu Fox II</t>
  </si>
  <si>
    <t>SEVROLL Everest zestaw do rączki Fox II</t>
  </si>
  <si>
    <t>SEVROLL Herkules vasalat szett 120kg 1,8m</t>
  </si>
  <si>
    <t>SEVROLL Herkules zestaw okuć 120kg 1,8m</t>
  </si>
  <si>
    <t>SEVROLL 02837 Comfort felső vezető profil4,05m ezüst</t>
  </si>
  <si>
    <t>SEVROLL Comfort tor górny 4,05m srebrny</t>
  </si>
  <si>
    <t>SEVROLL Herkules vasalat szett 60kg 2,4m</t>
  </si>
  <si>
    <t>SEVROLL Herkules zestaw okuć 60kg 2,4m</t>
  </si>
  <si>
    <t>SEVROLL Top felső vezetés egyszerű 6m ezüst</t>
  </si>
  <si>
    <t>SEVROLL 03075 Top horné vedenie jednoduché 6m strieborná</t>
  </si>
  <si>
    <t>SEVROLL Top tor górny pojedynczy 6 m srebrny</t>
  </si>
  <si>
    <t>SEVROLL Maxim felső vezetés 6m ezüst</t>
  </si>
  <si>
    <t>SEVROLL 02892 Maxim horné vedenie 6m strieborná</t>
  </si>
  <si>
    <t>SEVROLL Maxim tor górny 6 m srebrny</t>
  </si>
  <si>
    <t>SEVROLL Herkules vasalat szett 120kg 2m</t>
  </si>
  <si>
    <t>SEVROLL Herkules zestaw okuć 120kg 2m</t>
  </si>
  <si>
    <t>ASTIN felső vezetés 3,6m fekete szálcsiszolt</t>
  </si>
  <si>
    <t>ASTIN tor górny 3,6m czarny szczotkowany</t>
  </si>
  <si>
    <t>SEVROLL Maxim alsó takaró profil 6m 10mm ezüst</t>
  </si>
  <si>
    <t>SEVROLL 02889  Maxim spodná krycia lišta 6m 10mm strieborná</t>
  </si>
  <si>
    <t>SEVROLL Maxim maskownica dolna 6m 10mm srebrny</t>
  </si>
  <si>
    <t>SEVROLL Comfort felső vezetés 4,05m oliva</t>
  </si>
  <si>
    <t>SEVROLL HOR.VEDENIE COMFORT 4,05 M OLIVA</t>
  </si>
  <si>
    <t>SEVROLL Comfort tor górny 4,05m jasny brąz</t>
  </si>
  <si>
    <t>SEVROLL Line felső vezetés 2m alu nyers</t>
  </si>
  <si>
    <t>SEVROLL Line tor górny 2m alu surowy</t>
  </si>
  <si>
    <t>SEVROLL Herkules 2 felső vezetés 6m alu</t>
  </si>
  <si>
    <t>SEVROLL Herkules 2 horné vedenie 6m alu</t>
  </si>
  <si>
    <t>SEVROLL Herkules 2 tor górny 6 m alu</t>
  </si>
  <si>
    <t>SEVROLL Top felső vezetés egyszerű 6m oliva</t>
  </si>
  <si>
    <t>SEVROLL 03073 Top horné vedenie jednoduché 6m oliva</t>
  </si>
  <si>
    <t>SEVROLL Top tor górny pojedynczy 6 m oliwka</t>
  </si>
  <si>
    <t>SEVROLL Optima felső vezetés 6m ezüst</t>
  </si>
  <si>
    <t>SEVROLL Optima tor górny 6m srebrny</t>
  </si>
  <si>
    <t>SEVROLL Herkules vasalat szett 120kg 2,4m</t>
  </si>
  <si>
    <t>SEVROLL Herkules zestaw okuć 120kg 2,4m</t>
  </si>
  <si>
    <t>SEVROLL Herkules vasalat szett 60kg 3m</t>
  </si>
  <si>
    <t>SEVROLL Herkules zestaw okuć 60kg 3m</t>
  </si>
  <si>
    <t>SEVROLL biztonsági fólia 500mm/50m transzparens</t>
  </si>
  <si>
    <t>SEVROLL bezpečnostná fólia 500mm/50m transparentná</t>
  </si>
  <si>
    <t>SEVROLL folia ochronna 500mm/50m przeźroczysta</t>
  </si>
  <si>
    <t>SEVROLL Herkules vasalat szett 120kg 3m</t>
  </si>
  <si>
    <t>SEVROLL Herkules zestaw okuć 120kg 3m</t>
  </si>
  <si>
    <t>SEVROLL Herkules Glass vasalat szett 100kg</t>
  </si>
  <si>
    <t>SEVROLL 219-313 Herkules Glass sada kovania 100kg</t>
  </si>
  <si>
    <t>SEVROLL Herkules Glass zestaw okuć 100kg</t>
  </si>
  <si>
    <t>SEVROLL Comfort felső vezetés 6m ezüst</t>
  </si>
  <si>
    <t>SEVROLL Comfort tor górny 6m srebrny</t>
  </si>
  <si>
    <t>SEVROLL Line vasalat szett 2 ajtószárnyra balos</t>
  </si>
  <si>
    <t>SEVROLL Line zestaw okuć do 2 skrzydeł lewy</t>
  </si>
  <si>
    <t>SEVROLL Line vasalat szett 2 ajtószárnyra jobbos</t>
  </si>
  <si>
    <t>SEVROLL Line zestaw okuć do dwóch skrzydeł prawy</t>
  </si>
  <si>
    <t>SEVROLL Comfort felső vezetés 6m oliva</t>
  </si>
  <si>
    <t>SEVROLL Comfort tor górny 6 m oliwka</t>
  </si>
  <si>
    <t>SEVROLL Herkules Glass vasalat szett 100kg + 2m</t>
  </si>
  <si>
    <t>SEVROLL Herkules Glass zestaw okuć 100kg + 2m</t>
  </si>
  <si>
    <t>SEVROLL Prince vasalat szett harmonika ajtóhoz 1200mm ezüst</t>
  </si>
  <si>
    <t>SEVROLL Prince sada kovania pre skládacie dvere 1200mm strieborná</t>
  </si>
  <si>
    <t>SEVROLL Prince zestaw okuć do drzwi składanych 1200mm srebrny</t>
  </si>
  <si>
    <t>SEVROLL 03159 Maxim sada lišt pro 3 dveře 2,5m stříbrná</t>
  </si>
  <si>
    <t>SEVROLL 03159 Maxim sínkészlet 3 ajtóhoz 2,5m ezüst színben</t>
  </si>
  <si>
    <t>SEVROLL Maxim komplet torów dla 3 drzwi 2,5 m srebrny</t>
  </si>
  <si>
    <t>SEVROLL 10236 2x alsó görgő WD18V finomállító nélkül rugóval</t>
  </si>
  <si>
    <t>SEVROLL 10236 2x spodný vozík WD18V bez pozicionéru s pružinou</t>
  </si>
  <si>
    <t>SEVROLL 2x wózek dolny WD18V bez pozycjonera ze sprężyną</t>
  </si>
  <si>
    <t>SEVROLL Cleft alsó vezetés 1,7m oliva</t>
  </si>
  <si>
    <t>SEVROLL Cleft tor dolny 1,7m jasny brąz</t>
  </si>
  <si>
    <t>SEVROLL Cleft alsó vezetés 1,7m ezüst</t>
  </si>
  <si>
    <t>SEVROLL Cleft tor dolny 1,7m srebrny</t>
  </si>
  <si>
    <t>SEVROLL Cleft alsó vezetés 1,7m arany</t>
  </si>
  <si>
    <t>SEVROLL Cleft spodné vedenie 1,7m zlatá</t>
  </si>
  <si>
    <t>SEVROLL Cleft tor dolny 1,7m złoty</t>
  </si>
  <si>
    <t>SEVROLL Cleft alsó vezetés 3m arany</t>
  </si>
  <si>
    <t>SEVROLL Cleft tor dolny 3m złoty</t>
  </si>
  <si>
    <t>SEVROLL Cleft alsó vezetés 4,05m arany</t>
  </si>
  <si>
    <t>SEVROLL Cleft tor dolny 4,05m złoty</t>
  </si>
  <si>
    <t>SEVROLL Cleft alsó vezetés 6m ezüst</t>
  </si>
  <si>
    <t>SEVROLL Cleft tor dolny 6m srebrny</t>
  </si>
  <si>
    <t>SEVROLL támfalas kefe öntapadó 4,8x4mm</t>
  </si>
  <si>
    <t>SEVROLL szczotka odbojowa z klejem 4,8x4 mm, szara</t>
  </si>
  <si>
    <t>SEVROLL dorazový kartáč samolepiaci 4,8x4mm</t>
  </si>
  <si>
    <t>SEV-Szczotka odbojowa z klejem 4,8x4mm, szara</t>
  </si>
  <si>
    <t>SEVROLL porfogó kefe öntapadó 6,7x13mm szürke</t>
  </si>
  <si>
    <t>SEVROLL szczotka przeciwkurzowa z klejem 6,7x13mm szara</t>
  </si>
  <si>
    <t>SEVROLL támfalas kefe öntapadó 6,7x4mm szürke</t>
  </si>
  <si>
    <t>SEVROLL szczotka odbojowa z klejem 6,7x4 mm, szara</t>
  </si>
  <si>
    <t>SEVROLL 20143-SV protiprachový kartáč samolepící 6,7x9mm šedý</t>
  </si>
  <si>
    <t>SEVROLL 20143-SV támfalas kefe öntapadó 6,7x9mm szürke</t>
  </si>
  <si>
    <t>SEVROLL 20143-SV dorazový (protiprachový) kartáč samolepiaci 6,7x9mm šedý</t>
  </si>
  <si>
    <t>SEVROLL 20143-SV szczotka odbojowa z klejem 6,7x9mm szara</t>
  </si>
  <si>
    <t>SEVROLL támfalas kefe becsúsztatható 14x4mm szürke</t>
  </si>
  <si>
    <t>SEVROLL dorazová kefa zásuvná 14x4mm sivá</t>
  </si>
  <si>
    <t>SEVROLL szczotka odbojowa zasuwana 14,5x4 mm</t>
  </si>
  <si>
    <t>SEVROLL támfalas kefe becsúsztatható 14x4mm, 50m</t>
  </si>
  <si>
    <t>SEVROLL dorazový kartáč zásuvný 14x4mm, 50m</t>
  </si>
  <si>
    <t>SEVROLL szczotka odbojowa bez kleju 14,5x4 mm, 50 m</t>
  </si>
  <si>
    <t>SEVROLL támfalas kefe becsúsztatható 4,8x4mm szürke</t>
  </si>
  <si>
    <t>SEVROLL dorazová kefa zásuvná 4,8x4mm sivá</t>
  </si>
  <si>
    <t>SEVROLL szczotka odbojowa bez kleju 4,8x4mm</t>
  </si>
  <si>
    <t>SEVROLL 20287-SV támfalas kefe becsúsztatható 4,8x4mm fehér</t>
  </si>
  <si>
    <t>SEVROLL 20287-SV dorazová štetina zásuvná 4,8x4mm biela</t>
  </si>
  <si>
    <t>SEVROLL szczotka odbojowa bez kleju 4,8x4mm biała</t>
  </si>
  <si>
    <t>SEVROLL támfalas kefe becsúsztatható 4,8x6mm</t>
  </si>
  <si>
    <t>SEVROLL 20021-BL dorazový kartáč zásuvný 4,8x6mm</t>
  </si>
  <si>
    <t>SEVROLL szczotka odbojowa bez kleju 4,8x6mm</t>
  </si>
  <si>
    <t>SEVROLL 20082-BL porkefe 4,8x9mm szürke</t>
  </si>
  <si>
    <t>SEVROLL szczotka przeciw kurzowa bez kleju 4,8x9 mm, szara</t>
  </si>
  <si>
    <t>SEVROLL 20288-SV támfalas kefe becsúsztatható 14x4mm fehér</t>
  </si>
  <si>
    <t>SEVROLL 20288-SV dorazová štetina zásuvná 14x4mm biela</t>
  </si>
  <si>
    <t>SEVROLL szczotka odbojowa bez kleju 14x4mm biała</t>
  </si>
  <si>
    <t>SEVROLL04290 Elegant II alsó vezetés 1,7m fényes fehér</t>
  </si>
  <si>
    <t>SEVROLL 04290 Elegant II spodné vedenie  1,7m biela lesk</t>
  </si>
  <si>
    <t>SEVROLL Elegant II tor dolny 1,7 m, biały połysk</t>
  </si>
  <si>
    <t>SEVROLL 04338  Elegant II alsó vezetés 1,7m fekete szálcsiszolt</t>
  </si>
  <si>
    <t>SEVROLL 04338 Elegant II spodné vedenie  1,7m čierna  kartáčovaná</t>
  </si>
  <si>
    <t>SEVROLL Elegant II tor dolny 1,7 m czarny szczotkowany</t>
  </si>
  <si>
    <t>SEVROLL 04273 Elegant II alsó vezetés 1,7m oliva</t>
  </si>
  <si>
    <t>SEVROLL 04273 Elegant II spodné vedenie 1,7m oliva</t>
  </si>
  <si>
    <t>SEVROLL Elegant II tor dolny 1,7 m, jasny brąz</t>
  </si>
  <si>
    <t>SEVROLL  04333-Y Elegant II alsó vezetés 1,7m oliva szálcsiszolt</t>
  </si>
  <si>
    <t>SEVROLL 04333-Y Elegant II spodné vedenie  1,7m oliva kartáčovaná</t>
  </si>
  <si>
    <t>SEVROLL 04333-Y Elegant II tor dolny 1,7 m, jasny brąz szczotkowany</t>
  </si>
  <si>
    <t>SEVROLL Elegant II alsó vezetés 1,7m oliva sötét szálcsiszolt</t>
  </si>
  <si>
    <t>SEVROLL 04343 Elegant II spodné vedenie 1,7m oliva tmavá kartáčovaná</t>
  </si>
  <si>
    <t>SEVROLL Elegant II tor dolny 1,7m koniak szczotkowany</t>
  </si>
  <si>
    <t>SEVROLL 04279 Elegant II alsó vezetés 1,7m ezüst</t>
  </si>
  <si>
    <t>SEVROLL 04279 Elegant II spodné vedenie  1,7m strieborná</t>
  </si>
  <si>
    <t>SEVROLL Elegant II alsó vezetés 1,7m arany</t>
  </si>
  <si>
    <t>SEVROLL 04285 Elegant II spodné vedenie 1,7m zlatá</t>
  </si>
  <si>
    <t>SEVROLL Elegant II tor dolny 1,7m złoty</t>
  </si>
  <si>
    <t>SEVROL  04291 L Elegant II alsó vezetés 2,35m fényes fehér</t>
  </si>
  <si>
    <t>SEVROLL 04291 Elegant II spodné vedenie  2,35m biela lesk</t>
  </si>
  <si>
    <t>SEVROLL Elegant II tor dolny 2,35 m, biały połysk</t>
  </si>
  <si>
    <t>SEVROLL  04339 Elegant II alsó vezetés 2,35m fekete szálcsiszolt</t>
  </si>
  <si>
    <t>SEVROLL 04339 Elegant II spodné vedenie  2,35m čierna  kartáčovaná</t>
  </si>
  <si>
    <t>SEVROLL Elegant II tor dolny 2,35 m czarny szczotkowany</t>
  </si>
  <si>
    <t>SEVROLL 04334-Y Elegant II alsó vezetés 2,35m oliva szálcsiszolt</t>
  </si>
  <si>
    <t>SEVROLL 04334-Y Elegant II spodné vedenie  2,35m oliva kartáčovaná</t>
  </si>
  <si>
    <t>SEVROLL 04334-Y Elegant II tor dolny 2,35 m, jasny brąz szczotkowany</t>
  </si>
  <si>
    <t>SEVROLL Elegant II alsó vezetés 2,35m oliva sötét szálcsiszolt</t>
  </si>
  <si>
    <t>SEVROLL 04344 Elegant II spodné vedenie 2,35m oliva tmavá kartáčovaná</t>
  </si>
  <si>
    <t>SEVROLL Elegant II tor dolny 2,35m koniak szczotkowany</t>
  </si>
  <si>
    <t>SEVROLL 04280 Elegant II alsó vezetés 2,35m ezüst</t>
  </si>
  <si>
    <t>SEVROLL 04280 Elegant II spodné vedenie  2,35m strieborná</t>
  </si>
  <si>
    <t>SEVROLL Elegant II tor dolny 2,35m srebrny</t>
  </si>
  <si>
    <t>SEVROLL 04292 Elegant II alsó vezetés 3m fényes fehér</t>
  </si>
  <si>
    <t>SEVROLL 04292 Elegant II spodné vedenie  3m biela lesk</t>
  </si>
  <si>
    <t>SEVROLL Elegant II tor dolny 3 m, biały połysk</t>
  </si>
  <si>
    <t>SEVROLL  04437 Elegant II alsó vezetés 3m matt fehér</t>
  </si>
  <si>
    <t>SEVROLL 04437 Elegant II spodné vedenie  3m biela mat</t>
  </si>
  <si>
    <t>SEVROLL Elegant II tor dolny 3 m, biały matowy</t>
  </si>
  <si>
    <t>SEVROLL  04340 Elegant II alsó vezetés 3m fekete szálcsiszolt</t>
  </si>
  <si>
    <t>SEVROLL 04340 Elegant II spodné vedenie  3m čierna  kartáčovaná</t>
  </si>
  <si>
    <t>SEVROLL Elegant II tor dolny 3 m czarny szczotkowany</t>
  </si>
  <si>
    <t>SEVROLL 04335-Y Elegant II alsó vezetés 3m oliva szálcsiszolt</t>
  </si>
  <si>
    <t>SEVROLL 04335-Y Elegant II spodné vedenie  3m oliva kartáčovaná</t>
  </si>
  <si>
    <t>SEVROLL 04335-Y Elegant II tor dolny 3 m, jasny brąz szczotkowany</t>
  </si>
  <si>
    <t>SEVROLL Elegant II alsó vezetés 3m oliva sötét szálcsiszolt</t>
  </si>
  <si>
    <t>SEVROLL 04345 Elegant II spodné vedenie 3m oliva tmavá kartáčovaná</t>
  </si>
  <si>
    <t>SEVROLL Elegant II tor dolny 3m koniak szczotkowany</t>
  </si>
  <si>
    <t>SEVROLL 04281 Elegant II alsó vezetés 3m ezüst</t>
  </si>
  <si>
    <t>SEVROLL 04281 Elegant II spodné vedenie  3m strieborná</t>
  </si>
  <si>
    <t>SEVROLL Elegant II tor dolny 3m srebrny</t>
  </si>
  <si>
    <t>SEVROLL 04293 Elegant II alsó vezetés 4,05m fényes fehér</t>
  </si>
  <si>
    <t>SEVROLL 04293 Elegant II spodné vedenie  4,05m biela lesk</t>
  </si>
  <si>
    <t>SEVROLL Elegant II tor dolny 4,05 m, biały połysk</t>
  </si>
  <si>
    <t>SEVROLL  04341 Elegant II alsó vezetés 4,05m fekete szálcsiszolt</t>
  </si>
  <si>
    <t>SEVROLL 04341 Elegant II spodné vedenie  4,05m čierna  kartáčovaná</t>
  </si>
  <si>
    <t>SEVROLL Elegant II tor dolny 4,05 m czarny szczotkowany</t>
  </si>
  <si>
    <t>SEVROLL 04336-Y  Elegant II alsó vezetés 4,05m oliva szálcsiszolt</t>
  </si>
  <si>
    <t>SEVROLL 04336-Y Elegant II spodné vedenie  4,05m oliva kartáčovaná</t>
  </si>
  <si>
    <t>SEVROLL 04336-Y Elegant II tor dolny 4,05 m, jasny brąz szczotkowany</t>
  </si>
  <si>
    <t>SEVROLL Elegant II alsó vezetés 4,05m oliva sötét szálcsiszolt</t>
  </si>
  <si>
    <t>SEVROLL 04346 Elegant II spodné vedenie 4,05m oliva tmavá kartáčovaná</t>
  </si>
  <si>
    <t>SEVROLL Elegant II tor dolny 4,05m koniak szczotkowany</t>
  </si>
  <si>
    <t>SEVROLL 04282  Elegant II alsó vezetés 4,05m ezüst</t>
  </si>
  <si>
    <t>SEVROLL 04282 Elegant II spodné vedenie  4,05m strieborná</t>
  </si>
  <si>
    <t>SEVROLL Elegant II tor dolny 4,05m srebrny</t>
  </si>
  <si>
    <t>SEVROLL Elegant II alsó vezetés 6m fekete szálcsiszolt</t>
  </si>
  <si>
    <t>SEVROLL Elegant II spodné vedenie 6m čierna kartáčovaná</t>
  </si>
  <si>
    <t>SEVROLL Elegant II tor dolny 6m czarny szczotkowany</t>
  </si>
  <si>
    <t>SEVROLL Elegant II alsó vezetés 6m oliva szálcsiszolt</t>
  </si>
  <si>
    <t>SEVROLL Elegant II spodné vedenie 6m oliva kartáčovaná</t>
  </si>
  <si>
    <t>SEVROLL Elegant II tor dolny 6m jasny brąz szczotkowany</t>
  </si>
  <si>
    <t>SEVROLL Elegant II alsó vezetés 6m oliva sötét szálcsiszolt</t>
  </si>
  <si>
    <t>SEVROLL Elegant II spodné vedenie 6m oliva tmavá kartáčovaná</t>
  </si>
  <si>
    <t>SEVROLL Elegant II tor dolny 6m koniak szczotkowany</t>
  </si>
  <si>
    <t>SEVROLL 04284  Elegant II alsó vezetés 6m ezüst</t>
  </si>
  <si>
    <t>SEVROLL 04284 Elegant II spodné vedenie 6m strieborná</t>
  </si>
  <si>
    <t>SEVROLL Elegant II tor dolny 6m, srebrny</t>
  </si>
  <si>
    <t>SEVROLL 03578 Fala megfogó rúd 10mm 2,70m olívaolaj színű</t>
  </si>
  <si>
    <t>SEVROLL Fala rączka 10mm 2,70m jasny brąz</t>
  </si>
  <si>
    <t>SEVROLL 03434 Fala fogantyú profil 10mm 2,70m ezüst</t>
  </si>
  <si>
    <t>SEVROLL Fala rączka 10mm 2,70m srebrny</t>
  </si>
  <si>
    <t>SEVROLL Faworyt II fogantyú profil 2,7m oliva</t>
  </si>
  <si>
    <t>SEVROLL Faworyt II rączka 2,7m jasny brąz</t>
  </si>
  <si>
    <t>SEVROLL 04552 Faworyt II fogantyú profil 2,7m ezüst</t>
  </si>
  <si>
    <t>SEVROLL 04552 Faworyt II úchytová lišta 2,7m strieborná</t>
  </si>
  <si>
    <t>SEVROLL Faworyt II rączka 2,7m srebrny</t>
  </si>
  <si>
    <t>SEVROLL 10196 Focus felső görgő 18mm 2db</t>
  </si>
  <si>
    <t>SEVROLL 10196 Focus horný vozík 18mm 2ks</t>
  </si>
  <si>
    <t>SEVROLL Focus wózek górny 18mm 2szt</t>
  </si>
  <si>
    <t>SEVROLL Focus II 16mm fogantyú profil 2,7m arany</t>
  </si>
  <si>
    <t>SEVROLL Focus II 16 mm rączka 2,7 m, złota</t>
  </si>
  <si>
    <t>SEVROLL  04379 Fox II fogantyú profil 2,7m fényes fehér</t>
  </si>
  <si>
    <t>SEVROLL 04379 Fox II úchytová lišta 2,7m biela lesk</t>
  </si>
  <si>
    <t>SEVROLL Fox II rączka 2,7m biały połysk</t>
  </si>
  <si>
    <t>SEVROLL 04375  Fox II fogantyú profil 2,7m fekete szálcsiszolt</t>
  </si>
  <si>
    <t>SEVROLL 04375 Fox II úchytová lišta 2,7m čierna  kartáčovaná</t>
  </si>
  <si>
    <t>SEVROLL Fox II rączka 2,7m czarny szczotkowany</t>
  </si>
  <si>
    <t>SEVROLL 04376-Y  Fox II fogantyú profil 2,7m oliva szálcsiszolt</t>
  </si>
  <si>
    <t>SEVROLL Fox II rączka 2,7 m, oliwka szczotkowana</t>
  </si>
  <si>
    <t>SEVROLL 04059 Gemini felső vezetés 1,7m fényes fehér</t>
  </si>
  <si>
    <t>SEVROLL 04059 Gemini horné vedenie  1,7m biela lesk</t>
  </si>
  <si>
    <t>SEVROLL Gemini tor górny 1,7 m, biały połysk</t>
  </si>
  <si>
    <t>SEVROLL 03115 Gemini felső vezetés 1,7m fekete szálcsiszolt</t>
  </si>
  <si>
    <t>SEVROLL Gemini tor górny 1,7 m czarny szczotkowany</t>
  </si>
  <si>
    <t>SEVROLL 02501-Y Gemini felső vezetés 1,7m oliva szálcsiszolt</t>
  </si>
  <si>
    <t>SEVROLL Gemini HORNÉ VEDENIE 1,70M OLIVA</t>
  </si>
  <si>
    <t>SEVROLL 02501-Y Gemini tor górny 1,7 m, jasny brąz szczotkowany</t>
  </si>
  <si>
    <t>SEVROLL Gemini felső vezetés 1,7m oliva sötét szálcsiszolt</t>
  </si>
  <si>
    <t>SEVROLL 03119 Gemini horné vedenie 1,7m oliva tmavá kartáčovaná</t>
  </si>
  <si>
    <t>SEVROLL Gemini tor górny 1,7m koniak szczotkowany</t>
  </si>
  <si>
    <t>SEVROLL 04060 Gemini felső vezetés 2,35m fényes fehér</t>
  </si>
  <si>
    <t>SEVROLL 04060 Gemini horné vedenie  2,35m biela lesk</t>
  </si>
  <si>
    <t>SEVROLL 04060 Gemini tor górny 2,35 m, biały połysk</t>
  </si>
  <si>
    <t>SEVROLL 03116 Gemini felső vezetés 2,35m fekete szálcsiszolt</t>
  </si>
  <si>
    <t>SEVROLL Gemini tor górny 2,35 m czarny szczotkowany</t>
  </si>
  <si>
    <t>SEVROLL 02498-Y Gemini felső vezetés 2,35m oliva szálcsiszolt</t>
  </si>
  <si>
    <t>SEVROLL Gemini horné vedenie 2,35M OLIVA</t>
  </si>
  <si>
    <t>SEVROLL 02498-Y Gemini tor górny 2,35 m, jasny brąz szczotkowany</t>
  </si>
  <si>
    <t>SEVROLL Gemini felső vezetés 2,35m oliva sötét szálcsiszolt</t>
  </si>
  <si>
    <t>SEVROLL 03120 Gemini horné vedenie 2,35m oliva tmavá kartáčovaná</t>
  </si>
  <si>
    <t>SEVROLL Gemini tor górny 2,35m koniak szczotkowany</t>
  </si>
  <si>
    <t>SEVROLL 04016 Gemini felső vezetés 3m fényes fehér</t>
  </si>
  <si>
    <t>SEVROLL 04016 Gemini horné vedenie 3m biela lesk</t>
  </si>
  <si>
    <t>SEVROLL Gemini tor górny 3 m, biały połysk</t>
  </si>
  <si>
    <t>SEVROLL 03117 Gemini felső vezetés 3m fekete szálcsiszolt</t>
  </si>
  <si>
    <t>SEVROLL Gemini tor górny 3 m czarny szczotkowany</t>
  </si>
  <si>
    <t>SEVROLL 02499-Y Gemini felső vezetés 3m oliva szálcsiszolt</t>
  </si>
  <si>
    <t>SEVROLL Gemini horné vedenie 3M OLIVA KA</t>
  </si>
  <si>
    <t>SEVROLL 02499-Y Gemini tor górny 3 m, jasny brąz szczotkowany</t>
  </si>
  <si>
    <t>SEVROLL Gemini felső vezetés 3m oliva sötét szálcsiszolt</t>
  </si>
  <si>
    <t>SEVROLL 03121 Gemini horné vedenie 3m oliva tmavá kartáčovaná</t>
  </si>
  <si>
    <t>SEVROLL Gemini tor górny 3m koniak szczotkowany</t>
  </si>
  <si>
    <t>SEVROLL 04061 Gemini felső vezetés 4,05m fényes fehér</t>
  </si>
  <si>
    <t>SEVROLL 04061 Gemini horné vedenie  4,05m biela lesk</t>
  </si>
  <si>
    <t>SEVROLL Gemini tor górny 4,05 m, biały połysk</t>
  </si>
  <si>
    <t>SEVROLL 03118 Gemini felső vezetés 4,05m fekete szálcsiszolt</t>
  </si>
  <si>
    <t>SEVROLL Gemini tor górny 4,05 m czarny szczotkowany</t>
  </si>
  <si>
    <t>SEVROLL   02500-Y Gemini felső vezetés 4,05m oliva szálcsiszolt</t>
  </si>
  <si>
    <t>SEVROLL Gemini horné vedenie 4,05M oliva kartáčovaná</t>
  </si>
  <si>
    <t>SEVROLL 02500-Y Gemini tor górny 4,05 m, jasny brąz szczotkowany</t>
  </si>
  <si>
    <t>SEVROLL Gemini felső vezetés 4,05m oliva sötét szálcsiszolt</t>
  </si>
  <si>
    <t>SEVROLL 03122 Gemini horné vedenie 4,05m oliva tmavá kartáčovaná</t>
  </si>
  <si>
    <t>SEVROLL Gemini tor górny 4,05m koniak szczotkowany</t>
  </si>
  <si>
    <t>SEVROLL Gemini felső vezetés 6m fényes fehér</t>
  </si>
  <si>
    <t>SEVROLL 03206 Gemini horné vedenie 6m biela lesk</t>
  </si>
  <si>
    <t>SEVROLL Gemini tor górny 6m biały połysk</t>
  </si>
  <si>
    <t>SEVROLL Gemini felső vezetés 6m fekete szálcsiszolt</t>
  </si>
  <si>
    <t>SEVROLL Gemini tor górny 6m czarny szczotkowany</t>
  </si>
  <si>
    <t>SEVROLL Gemini felső vezetés 6m oliva szálcsiszolt</t>
  </si>
  <si>
    <t>SEVROLL Gemini tor górny 6m jasny brąz szczotkowany</t>
  </si>
  <si>
    <t>SEVROLL Gemini felső vezetés 6m oliva sötét szálcsiszolt</t>
  </si>
  <si>
    <t>SEVROLL Gemini tor górny 6m koniak szczotkowany</t>
  </si>
  <si>
    <t>SEVROLL  02284 Gemini-2 fogantyú profil 2,7m ezüst</t>
  </si>
  <si>
    <t>SEVROLL Gemini-2 rączka 2,7m srebrny</t>
  </si>
  <si>
    <t>SEVROLL 04064 felső vezető profil 1,7m fényes fehér</t>
  </si>
  <si>
    <t>SEVROLL 04064 horná vodiaca lišta 1,7m biela lesk</t>
  </si>
  <si>
    <t>SEVROLL listwa pozioma górna 1,7m biały połysk</t>
  </si>
  <si>
    <t>SEVROLL  03097 felső vezető profil 1,7m fekete szálcsiszolt</t>
  </si>
  <si>
    <t>SEVROLL horná vodiaca lišta 1,7m čierna kartáčovaná</t>
  </si>
  <si>
    <t>SEVROLL listwa pozioma górna 1,7 m czarny szczotkowany</t>
  </si>
  <si>
    <t>SEVROLL 02908 felső vezető profil 1,7m oliva</t>
  </si>
  <si>
    <t>SEVROLL 206 VOD.LIŠTA HOR.1,7M OLIVOVÁ</t>
  </si>
  <si>
    <t>SEVROLL listwa pozioma górna 1,7m jasny brąz</t>
  </si>
  <si>
    <t>SEVROLL 03042-Y felső vezető profil 1,7m oliva szálcsiszolt</t>
  </si>
  <si>
    <t>SEVROLL 03042-Y górna listwa prowadząca 1,7m jasny brąz szczotkowany</t>
  </si>
  <si>
    <t>SEVROLL felső vezető profil 1,7m oliva sötét szálcsiszolt</t>
  </si>
  <si>
    <t>SEVROLL 03100 horná vodiaca lišta 1,7m oliva tmavá kartáčovaná</t>
  </si>
  <si>
    <t>SEVROLL listwa pozioma górna 1,7 m oliwka ciemna szczotkowana</t>
  </si>
  <si>
    <t>SEVROLL 02912 felső vezető profil 1,7m ezüst</t>
  </si>
  <si>
    <t>SEVROLL 206 VOD.LIŠTA HOR.1,7M STRIEBOR.</t>
  </si>
  <si>
    <t>SEVROLL listwa pozioma górna 1,7m srebrny</t>
  </si>
  <si>
    <t>SEVROLL 04065 felső vezető profil 2,35m fényes fehér</t>
  </si>
  <si>
    <t>SEVROLL 04065 horná vodiaca lišta 2,35m biela lesk</t>
  </si>
  <si>
    <t>SEVROLL listwa pozioma górna 2,35m biały połysk</t>
  </si>
  <si>
    <t>SEVROLL  03098 felső vezető profil 2,35m fekete szálcsiszolt</t>
  </si>
  <si>
    <t>SEVROLL listwa pozioma górna 2,35m czarny szczotkowany</t>
  </si>
  <si>
    <t>SEVROLL 02909 felső vezető profil 2,35m oliva</t>
  </si>
  <si>
    <t>SEVROLL 207 VOD.LIŠTA HOR.2,35M OLIVOVÁ</t>
  </si>
  <si>
    <t>SEVROLL listwa pozioma górna 2,35m jasny brąz</t>
  </si>
  <si>
    <t>SEVROLL 03043-Y felső vezető profil 2,35m oliva szálcsiszolt</t>
  </si>
  <si>
    <t>SEVROLL 03043-Y górna listwa prowadząca 2,35m  jasny brąz szczotkowany</t>
  </si>
  <si>
    <t>SEVROLL felső vezető profil 2,35m oliva sötét szálcsiszolt</t>
  </si>
  <si>
    <t>SEVROLL 03101 horná vodiaca lišta 2,35m oliva tmavá kartáčovaná</t>
  </si>
  <si>
    <t>SEVROLL listwa pozioma górna 2,35 m oliwka ciemna szczotkowana</t>
  </si>
  <si>
    <t>SEVROLL 02913 felső vezető profil 2,35m ezüst</t>
  </si>
  <si>
    <t>SEVROLL 207 VOD.LIŠTA HOR.2,35M STRIEBOR</t>
  </si>
  <si>
    <t>SEVROLL listwa pozioma górna 2,35m srebrny</t>
  </si>
  <si>
    <t>SEVROLL felső vezető profil 2,35m arany</t>
  </si>
  <si>
    <t>SEVROLL horná vodiaca lišta 2,35m zlatá</t>
  </si>
  <si>
    <t>SEVROLL listwa pozioma górna 2,35m złoty</t>
  </si>
  <si>
    <t>SEVROLL 00169 felső vezető profil 3m fényes fehér</t>
  </si>
  <si>
    <t>SEVROLL 00169 horná vodiaca lišta 3m biela lesk</t>
  </si>
  <si>
    <t>SEVROLL listwa pozioma górna 3m biały połysk</t>
  </si>
  <si>
    <t>SEVROLL  03099 felső vezető profil 3m fekete szálcsiszolt</t>
  </si>
  <si>
    <t>SEVROLL listwa pozioma górna 3m czarny szczotkowany</t>
  </si>
  <si>
    <t>SEVROLL 02910 felső vezető profil 3m oliva</t>
  </si>
  <si>
    <t>SEVROLL 208 VOD.LIŠTA HOR 3M OLIVOVÁ</t>
  </si>
  <si>
    <t>SEVROLL listwa pozioma górna 3m jasny brąz</t>
  </si>
  <si>
    <t>SEVROLL 03044-Y felső vezető profil 3m oliva szálcsiszolt</t>
  </si>
  <si>
    <t>SEVROLL 03044-Y górna listwa prowadząca 3m  jasny brąz szczotkowany</t>
  </si>
  <si>
    <t>SEVROLL felső vezető profil 3m oliva sötét szálcsiszolt</t>
  </si>
  <si>
    <t>SEVROLL 03102 horná vodiaca lišta 3m oliva tmavá kartáčovaná</t>
  </si>
  <si>
    <t>SEVROLL listwa pozioma górna 3 m oliwka ciemna szczotkowana</t>
  </si>
  <si>
    <t>SEVROLL 02914 felső vezető profil 3m ezüst</t>
  </si>
  <si>
    <t>SEVROLL 208 VOD.LIŠTA HOR 3M STRIEBOR.</t>
  </si>
  <si>
    <t>SEVROLL listwa pozioma górna 3m srebrny</t>
  </si>
  <si>
    <t>SEVROLL felső vezető profil 3m arany</t>
  </si>
  <si>
    <t>SEVROLL horná vodiaca lišta 3m zlatá</t>
  </si>
  <si>
    <t>SEVROLL listwa pozioma górna 3m złoty</t>
  </si>
  <si>
    <t>SEVROLL felső vezető profil Simple/Blue 1,5m (10 mm-es rétegeltlemez) oliva</t>
  </si>
  <si>
    <t>SEVROLL 03758 horná vodiaca lišta Simple/Blue 1,5m (pre lamino 10mm) oliva</t>
  </si>
  <si>
    <t>SEVROLL tor górny Simple/Blue 1,5 m (do płyty laminowanej 10 mm) oliwka</t>
  </si>
  <si>
    <t>SEVROLL felső vezető profil Simple/Blue 2,5m (10 mm-es rétegeltlemez) oliva</t>
  </si>
  <si>
    <t>SEVROLL 03760 horná vodiaca lišta Simple/Blue 2,5m (pre lamino 10mm) oliva</t>
  </si>
  <si>
    <t>SEVROLL tor dolny Simple/Blue 2,5 m (do płyty laminowanej 10 mm) oliwka</t>
  </si>
  <si>
    <t>SEVROLL felső vezető profil Simple/Blue 2m (10 mm-es rétegeltlemez) oliva</t>
  </si>
  <si>
    <t>SEVROLL 03759 horná vodiaca lišta Simple/Blue 2m (pre lamino 10mm) oliva</t>
  </si>
  <si>
    <t>SEVROLL tor górny Simple/Blue 2 m (do płyty laminowanej 10 mm) oliwka</t>
  </si>
  <si>
    <t>SEVROLL 03581 Felső vezetősín Simple/Blue 3m (10mm-es laminált anyaghoz) olíva</t>
  </si>
  <si>
    <t>SEVROLL horná vodiaca lišta Simple/Blue 3m (pre lamino 10mm) oliva</t>
  </si>
  <si>
    <t>SEVROLL listwa poz. górna Simple/Blue 3m (do płyty laminowanej 10mm) jasny brąz</t>
  </si>
  <si>
    <t>SEVROLL 03580 felső vezető profil Simple/Blue 3m (10 mm-es rétegeltlemez) ezüst</t>
  </si>
  <si>
    <t>SEVROLL horná vodiaca lišta Simple/Blue 3m(pre lamino 10mm)strieborná</t>
  </si>
  <si>
    <t>SEVROLL tor dolny Simple/Blue 3m (do płyty laminowanej 10mm) srebrny</t>
  </si>
  <si>
    <t>SEVROLL 04460 felső vezető profil Simple/Blue 1,5m (18 mm-es rétegeltlemez) ezüs</t>
  </si>
  <si>
    <t>SEVROLL 04460 horná vodiaca lišta Simple/Blue 1,5m (pre lamino 18mm) strieborná</t>
  </si>
  <si>
    <t>SEVROLL felső vezető profil Simple/Blue 2,5m (18 mm-es rétegeltlemez) oliva</t>
  </si>
  <si>
    <t>SEVROLL 04458 horná vodiaca lišta Simple/Blue 2,5m (pre lamino 18mm) oliva</t>
  </si>
  <si>
    <t>SEVROLL tor dolny Simple/Blue 2,5 m (do płyty laminowanej 18 mm) oliwka</t>
  </si>
  <si>
    <t>SEVROLL felső vezető profil Simple/Blue 2,5m (18 mm-es rétegeltlemez) ezüst</t>
  </si>
  <si>
    <t>SEVROLL 04462 horná vodiaca lišta Simple/Blue 2,5m (pre lamino 18mm) strieborná</t>
  </si>
  <si>
    <t>SEVROLL tor górny Simple/Blue 2,5 m (do płyty laminowanej 18 mm) srebrny</t>
  </si>
  <si>
    <t>SEVROLL  04457 felső vezető profil Simple/Blue 2m (18 mm-es rétegeltlemez) oliva</t>
  </si>
  <si>
    <t>SEVROLL 04457 horná vodiaca lišta Simple/Blue 2m (pre lamino 18mm) oliva</t>
  </si>
  <si>
    <t>SEVROLL listwa poz. górna Simple/Blue 2m (do płyty laminowanej 18mm) jasny brąz</t>
  </si>
  <si>
    <t>SEVROLL 04461 felső vezető profil Simple/Blue 2m (18 mm-es rétegeltlemez) ezüst</t>
  </si>
  <si>
    <t>SEVROLL 04461 horná vodiaca lišta Simple/Blue 2m (pre lamino 18mm) strieborná</t>
  </si>
  <si>
    <t>SEVROLL tor górny Simple/Blue 2m (do płyty laminowanej 18mm) srebrny</t>
  </si>
  <si>
    <t>SEVROLL  04459 felső vezető profil Simple/Blue 3m (18 mm-es rétegeltlemez) oliva</t>
  </si>
  <si>
    <t>SEVROLL 04459 horná vodiaca lišta Simple/Blue 3m (pre lamino 18mm) oliva</t>
  </si>
  <si>
    <t>SEVROLL listwa poz. górna Simple/Blue 3m (do płyty laminowanej 18mm) jasny brąz</t>
  </si>
  <si>
    <t>SEVROLL  04463  felső vezető profil Simple/Blue 3m (18 mm-es rétegeltlemez) ezüs</t>
  </si>
  <si>
    <t>SEVROLL 04463 horná vodiaca lišta Simple/Blue 3m (pre lamino 18mm) strieborná</t>
  </si>
  <si>
    <t>SEVROLL 10202 felső görgő 10mm aszimmetrikus J+B</t>
  </si>
  <si>
    <t>SEVROLL 10202 horný vozík 10mm asymetrický L+P</t>
  </si>
  <si>
    <t>SEVROLL wózek górny 10mm asymetryczny L+P</t>
  </si>
  <si>
    <t>SEVROLL 10240 felső görgő Blue 10mm szimmetrikus J+B</t>
  </si>
  <si>
    <t>SEVROLL 10240 horný vozík Blue 10mm symetrický L+P</t>
  </si>
  <si>
    <t>SEVROLL wózek górny Blue 10mm symetryczny L+P</t>
  </si>
  <si>
    <t>SEVROLL 10204 felső görgő Gemini szimmetrikus 10mm - 2db</t>
  </si>
  <si>
    <t>SEVROLL 10204 horný vozík Gemini symetrický 10mm - 2ks</t>
  </si>
  <si>
    <t>SEVROLL wózek górny Gemini symetryczny 10mm - 2szt</t>
  </si>
  <si>
    <t>SEVROLL felső görgő Simple (10mm Fala) aszimmetrikus J+B</t>
  </si>
  <si>
    <t>SEVROLL wózek górny Simple (10 mm Fala) asymetryczny L+P</t>
  </si>
  <si>
    <t>SEVROLL felső görgő Simple (10mm Polo) szimmetrikus J+B</t>
  </si>
  <si>
    <t>SEVROLL wózek górny Simple (10 mm Polo) symetryczny L+P</t>
  </si>
  <si>
    <t>SEVROLL 10135 felső görgő Simple (18 mm-es rétegeltlemez) keret nélküli J+B</t>
  </si>
  <si>
    <t>SEVROLL 10135 horný vozík Simple (pre lamino 18mm) bezrámový L+P</t>
  </si>
  <si>
    <t>SEVROLL wózek górny Simple (do płyty laminowanej 18mm) bezramowy L+P</t>
  </si>
  <si>
    <t>SEVROLL felső görgő Simple (18 mm-es rétegeltlemez) keretes J+B</t>
  </si>
  <si>
    <t>SEVROLL wózek górny Simple (do płyty laminowanej 18 mm) ramowy L+P</t>
  </si>
  <si>
    <t>SEVROLL takaró profil Cleft 1,7m arany</t>
  </si>
  <si>
    <t>SEVROLL 258-MASKA CLEFT 1,7M ZLATÁ</t>
  </si>
  <si>
    <t>SEVROLL zaślepka do toru Cleft 1,7m złoty</t>
  </si>
  <si>
    <t>SEVROLL takaró profil Cleft 2,35m ezüst</t>
  </si>
  <si>
    <t>SEVROLL 259-MASKA CLEFT 2,35M STRIEBOR.</t>
  </si>
  <si>
    <t>SEVROLL zaślepka do toru Cleft 2,35m srebrny</t>
  </si>
  <si>
    <t>SEVROLL takaró profil Cleft 2,35m arany</t>
  </si>
  <si>
    <t>SEVROLL 259-MASKA CLEFT 2,35M ZLATÁ</t>
  </si>
  <si>
    <t>SEVROLL zaślepka do toru Cleft 2,35m złoty</t>
  </si>
  <si>
    <t>SEVROLL takaró profil Cleft 3m arany</t>
  </si>
  <si>
    <t>SEVROLL 260-MASKA CLEFT 3M ZLATÁ</t>
  </si>
  <si>
    <t>SEVROLL zaślepka do toru Cleft 3m złoty</t>
  </si>
  <si>
    <t>SEVROLL takaró profil Cleft 4,05m arany</t>
  </si>
  <si>
    <t>SEVROLL 270-MASKA CLEFT 4,05 M ZLATÁ</t>
  </si>
  <si>
    <t>SEVROLL zaślepka do toru Cleft 4,05m złoty</t>
  </si>
  <si>
    <t>SEVROLL takaró profil Cleft 6m ezüst</t>
  </si>
  <si>
    <t>SEVROLL 04076 maska Cleft 6m strieborná</t>
  </si>
  <si>
    <t>SEVROLL zaślepka do toru Cleft 6m srebrny</t>
  </si>
  <si>
    <t>SEVROLL  04296  takaró profil Elegant II 1,7m oliva</t>
  </si>
  <si>
    <t>SEVROLL maska do toru Elegant II 1,7m jasny brąz</t>
  </si>
  <si>
    <t>SEVROLL 04302 takaró profil Elegant II 1,7m ezüst</t>
  </si>
  <si>
    <t>SEVROLL 04302 maska Elegant II 1,7m strieborná</t>
  </si>
  <si>
    <t>SEVROLL takaró profil Elegant II 1,7m arany</t>
  </si>
  <si>
    <t>SEVROLL zaślepka do toru Elegant II 1,7m złoty</t>
  </si>
  <si>
    <t>SEVROLL  04297  takaró profil Elegant II 2,35m oliva</t>
  </si>
  <si>
    <t>SEVROLL maska do toru Elegant II 2,35m jasny brąz</t>
  </si>
  <si>
    <t>SEVROLL  04303 takaró profil Elegant II 2,35m ezüst</t>
  </si>
  <si>
    <t>SEVROLL 04303 maska Elegant II 2,35m strieborná</t>
  </si>
  <si>
    <t>SEVROLL zaślepka do toru Elegant II 2,35m srebrny</t>
  </si>
  <si>
    <t>SEVROLL takaró profil Elegant II 2,35m arany</t>
  </si>
  <si>
    <t>SEVROLL zaślepka do toru Elegant II 2,35m złoty</t>
  </si>
  <si>
    <t>SEVROLL  04298  takaró profil Elegant II 3m oliva</t>
  </si>
  <si>
    <t>SEVROLL maska do toru Elegant II 3 m jasny brąz</t>
  </si>
  <si>
    <t>SEVROLL 04304 takaró profil Elegant II 3m ezüst</t>
  </si>
  <si>
    <t>SEVROLL 04304 maska Elegant II 3m strieborná</t>
  </si>
  <si>
    <t>SEVROLL zaślepka do toru Elegant II 3m srebrny</t>
  </si>
  <si>
    <t>SEVROLL takaró profil Elegant II 3m arany</t>
  </si>
  <si>
    <t>SEVROLL maska do toru Elegant II 3m złoty</t>
  </si>
  <si>
    <t>SEVROLL  04299  takaró profil Elegant II 4,05m oliva</t>
  </si>
  <si>
    <t>SEVROLL maska do toru Elegant II 4,05 m jasny brąz</t>
  </si>
  <si>
    <t>SEVROLL 04305  takaró profil Elegant II 4,05m ezüst</t>
  </si>
  <si>
    <t>SEVROLL 04305 maska Elegant II 4,05m strieborná</t>
  </si>
  <si>
    <t>SEVROLL zaślepka do toru Elegant II 4,05m srebrny</t>
  </si>
  <si>
    <t>SEVROLL takaró profil Elegant II 4,05m arany</t>
  </si>
  <si>
    <t>SEVROLL maska do toru Elegant II 4,05m złoty</t>
  </si>
  <si>
    <t>SEVROLL 04301 takaró profil Elegant II 6m oliva</t>
  </si>
  <si>
    <t>SEVROLL maska do toru Elegant II 6 m jasny brąz</t>
  </si>
  <si>
    <t>SEVROLL  04307 takaró profil Elegant II 6m ezüst</t>
  </si>
  <si>
    <t>SEVROLL 04307 maska Elegant II 6m strieborná</t>
  </si>
  <si>
    <t>SEVROLL maska do toru Elegant II 6 m srebrny</t>
  </si>
  <si>
    <t>SEVROLL takaró profil Elegant II 6m arany</t>
  </si>
  <si>
    <t>SEVROLL 04312 maska ??Elegant II 6m zlatá</t>
  </si>
  <si>
    <t>SEVROLL zaślepka do toru Elegant II 6m złoty</t>
  </si>
  <si>
    <t>SEVROLL 10199 Micra C vasalat szett 1 ajtószárnyra</t>
  </si>
  <si>
    <t>SEVROLL 10199 Micra C sada kovania pre 1 krídlo</t>
  </si>
  <si>
    <t>SEVROLL Micra C zestaw okuć dla 1 skrzydła</t>
  </si>
  <si>
    <t>SEVROLL 04095 Pax alsó takaró profil 3m 4mm ezüst</t>
  </si>
  <si>
    <t>SEVROLL 04095 Pax spodná krycia lišta 3m 4mm strieborná</t>
  </si>
  <si>
    <t>SEVROLL 04095 Gemini 4 maskownica dolna 3 m 4 mm, srebrna</t>
  </si>
  <si>
    <t>SEVROLL 03579 Polo megfogósín 10mm 2,70m olajbogyó</t>
  </si>
  <si>
    <t>SEVROLL Polo rączka 10mm 2,70m jasny brąz</t>
  </si>
  <si>
    <t>SEVROLL finomállító Simple Start</t>
  </si>
  <si>
    <t>SEVROLL pozycjoner Simple Start</t>
  </si>
  <si>
    <t>SEVROLL porfogó kefe becsúsztatható 4,8x13mm</t>
  </si>
  <si>
    <t>SEVROLL szczotka przeciwkurzowa bez kleju 4,8x13 mm, szara</t>
  </si>
  <si>
    <t>SEVROLL  04747 Rekord fogantyú profil 18mm 2,70m oliva</t>
  </si>
  <si>
    <t>SEVROLL Rekord rączka 18mm 2,70m jasny brąz</t>
  </si>
  <si>
    <t>SEVROLL Smart alsó vezetés 1,7m oliva</t>
  </si>
  <si>
    <t>SEVROLL SMART spodné vedenia 1,7 M OLIVA</t>
  </si>
  <si>
    <t>SEVROLL Smart tor dolny 1,7m jasny brąz</t>
  </si>
  <si>
    <t>SEVROLL Smart alsó vezetés 2,35m oliva</t>
  </si>
  <si>
    <t>SEVROLL SMART spodné vedenia 2,35M OLIVA</t>
  </si>
  <si>
    <t>SEVROLL Smart tor dolny 2,35m jasny brąz</t>
  </si>
  <si>
    <t>SEVROLL Smart alsó vezetés 3m oliva</t>
  </si>
  <si>
    <t>SEVROLL SMART SPODNÉ VEDENIE 3M OLIVA</t>
  </si>
  <si>
    <t>SEVROLL Smart tor dolny 3m jasny brąz</t>
  </si>
  <si>
    <t>SEVROLL 01137 Smart alsó vezetés 3m ezüst</t>
  </si>
  <si>
    <t>SEVROLL SMART SPODNÉ VEDENIE 3M STRIE.</t>
  </si>
  <si>
    <t>SEVROLL Smart tor dolny 3m srebrny</t>
  </si>
  <si>
    <t>SEVROLL 04062 alsó takaró profil 1,7m 10mm fényes fehér</t>
  </si>
  <si>
    <t>SEVROLL 04062 Gemini 10 spodná krycia lišta 1,7m 10mm biela lesk</t>
  </si>
  <si>
    <t>SEVROLL 04062 Gemini 10 dolna maskownica 1,7 m 10 mm, biały połysk</t>
  </si>
  <si>
    <t>SEVROLL  03091 alsó takaró profil 1,7m 10mm fekete szálcsiszolt</t>
  </si>
  <si>
    <t>SEVROLL spodná krycia lišta 1,7m 10mm čierna kartáčovaná</t>
  </si>
  <si>
    <t>SEVROLL listwa pozioma dolna 1,7 m 10 mm czarna szczotkowana</t>
  </si>
  <si>
    <t>SEVROLL 00152  alsó takaró profil 1,7m 10mm oliva</t>
  </si>
  <si>
    <t>SEVROLL spodná krycia lišta 1,7m 10mm oliva</t>
  </si>
  <si>
    <t>SEVROLL maskownica dolna 1,7m 10mm jasny brąz</t>
  </si>
  <si>
    <t>SEVROLL 02490-Y alsó takaró profil 1,7m 10mm oliva szálcsiszolt</t>
  </si>
  <si>
    <t>SEVROLL spod. krycia lišta 1,7m 10mm oliva kartáč</t>
  </si>
  <si>
    <t>SEVROLL 02490-Y dolna listwa maskująca 1,7 m 10 mm, jasny brąz szczotkowany</t>
  </si>
  <si>
    <t>SEVROLL 00161 alsó takaró profil 1,7m 10mm ezüst</t>
  </si>
  <si>
    <t>SEVROLL spodná krycia lišta 1,7m 10mm strieborná</t>
  </si>
  <si>
    <t>SEVROLL maskownica dolna 1,7m 10mm srebrny</t>
  </si>
  <si>
    <t>SEVROLL alsó takaró profil 1,7m 10mm arany</t>
  </si>
  <si>
    <t>SEVROLL spodná krycia lišta 1,7m 10mm zlatá</t>
  </si>
  <si>
    <t>SEVROLL listwa pozioma dolna 1,7m 10mm złoty</t>
  </si>
  <si>
    <t>SEVROLL04063 alsó takaró profil 2,35m 10mm fényes fehér</t>
  </si>
  <si>
    <t>SEVROLL 04063 Gemini 10 spodná krycia lišta 2,35m 10mm biela lesk</t>
  </si>
  <si>
    <t>SEVROLL 04063 Gemini 10 dolna maskownica 2,35 m 10 mm, biały połysk</t>
  </si>
  <si>
    <t>SEVROLL 00153 alsó takaró profil 2,35m 10mm oliva</t>
  </si>
  <si>
    <t>SEVROLL spodná krycia lišta 2,35m 10mm oliva</t>
  </si>
  <si>
    <t>SEVROLL maskownica dolna 2,35m 10mm jasny brąz</t>
  </si>
  <si>
    <t>SEVROLL 02491-Y  alsó takaró profil 2,35m 10mm oliva szálcsiszolt</t>
  </si>
  <si>
    <t>SEVROLL spod.krycia lišta 2,35m 10mm oliva kartáč</t>
  </si>
  <si>
    <t>SEVROLL 02491-Y dolna listwa maskująca 2,35 m 10 mm, jasny brąz szczotkowany</t>
  </si>
  <si>
    <t>SEVROLL  00162 alsó takaró profil 2,35m 10mm ezüst</t>
  </si>
  <si>
    <t>SEVROLL spodná krycia lišta 2,35m 10mm strieborná</t>
  </si>
  <si>
    <t>SEVROLL listwa maskownica dolna 2,35m 10mm srebrny</t>
  </si>
  <si>
    <t>SEVROLL  03092 alsó takaró profil 2,35m 10mm fekete szálcsiszolt</t>
  </si>
  <si>
    <t>SEVROLL spod.krycia lišta 2,35m, 10mm čierna kartá</t>
  </si>
  <si>
    <t>SEVROLL listwa pozioma dolna 2,35 m 10 mm czarna szczotkowana</t>
  </si>
  <si>
    <t>SEVROLL 00145  alsó takaró profil 3m 10mm fényes fehér</t>
  </si>
  <si>
    <t>SEVROLL 00145 Gemini 10 spodná krycia lišta 3m 10mm biela lesk</t>
  </si>
  <si>
    <t>SEVROLL listwa pozioma dolna 3 m 10 mm, biały połysk</t>
  </si>
  <si>
    <t>SEVROLL  03093 alsó takaró profil 3m 10mm fekete szálcsiszolt</t>
  </si>
  <si>
    <t>SEVROLL spod.krycia lišta 3m 10mm čierna kartáč</t>
  </si>
  <si>
    <t>SEVROLL listwa pozioma dolna 3 m 10 mm czarna szczotkowana</t>
  </si>
  <si>
    <t>SEVROLL 00155 alsó takaró profil 3m 10mm oliva</t>
  </si>
  <si>
    <t>SEVROLL spodná krycia lišta 3m 10mm oliva</t>
  </si>
  <si>
    <t>SEVROLL maskownica dolna 3m 10mm jasny brąz</t>
  </si>
  <si>
    <t>SEVROLL 02492-Y alsó takaró profil 3m 10mm oliva szálcsiszolt</t>
  </si>
  <si>
    <t>SEVROLL spod.krycia lišta 3m 10mm oliva kartáč.</t>
  </si>
  <si>
    <t>SEVROLL 02492-Y dolna listwa maskująca 3 m 10 mm, jasny brąz szczotkowany</t>
  </si>
  <si>
    <t>SEVROLL 00163 alsó takaró profil 3m 10mm ezüst</t>
  </si>
  <si>
    <t>SEVROLL spodná krycia lišta 3m 10mm strieborná</t>
  </si>
  <si>
    <t>SEVROLL Gemini tor dolny 3m 10mm srebrny</t>
  </si>
  <si>
    <t>SEVROLL alsó takaró profil 3m 10mm arany</t>
  </si>
  <si>
    <t>SEVROLL spodná krycia lišta 3m 10mm zlatá</t>
  </si>
  <si>
    <t>SEVROLL listwa pozioma dolna 3m 10mm złoty</t>
  </si>
  <si>
    <t>SEVROLL 03583 alsó fedőszalag Simple/Blue 3m (10mm-es laminált anyaghoz) olíva</t>
  </si>
  <si>
    <t>SEVROLL spodná krycia lišta Simple/Blue 3m (pre lamino 10mm) oliva</t>
  </si>
  <si>
    <t>SEVROLL maskownica dolna Simple/Blue 3m (do płyty laminowanej 10mm) jasny brąz</t>
  </si>
  <si>
    <t>SEVROLL 03582  alsó takaró profil Simple/Blue 3m (10 mm-es rétegeltlemez) ezüst</t>
  </si>
  <si>
    <t>SEVROLL spodná krycia lišta Simple/Blue 3m (pre lamino 10mm) strieborná</t>
  </si>
  <si>
    <t>SEVROLL maskownica dolna Simple/Blue 3m (do płyty laminowanej 10mm) srebrny</t>
  </si>
  <si>
    <t>SEVROLL  04452 alsó takaró profil Simple/Blue 1,5m (18 mm-es rétegeltlemez) ezüs</t>
  </si>
  <si>
    <t>SEVROLL 04452 spodná krycia lišta Simple/Blue 1,5m (pre lamino 18mm) strieborná</t>
  </si>
  <si>
    <t>SEVROLL maskownica dolna Simple/Blue 1,5m (do płyty laminowanej 18mm) srebrny</t>
  </si>
  <si>
    <t>SEVROLL alsó takaró profil Simple/Blue 2,5m (18 mm-es rétegeltlemez) oliva</t>
  </si>
  <si>
    <t>SEVROLL 04450 spodná krycia lišta Simple/Blue 2,5m (pre lamino 18mm) oliva</t>
  </si>
  <si>
    <t>SEVROLL maskownica dolna Simple/Blue 2,5 m (do płyty laminowanej 18 mm) oliwka</t>
  </si>
  <si>
    <t>SEVROLL alsó takaró profil Simple/Blue 2,5m (18 mm-es rétegeltlemez) ezüst</t>
  </si>
  <si>
    <t>SEVROLL 04454 spodná krycia lišta Simple/Blue 2,5m (pre lamino 18mm) strieborná</t>
  </si>
  <si>
    <t>SEVROLL maskownica dolna Simple/Blue 2,5 m (do płyty laminowanej 18 mm) srebrna</t>
  </si>
  <si>
    <t>SEVROLL  04449 alsó takaró profil Simple/Blue 2m (18 mm-es rétegeltlemez) oliva</t>
  </si>
  <si>
    <t>SEVROLL 04449 spodná krycia lišta Simple/Blue 2m (pre lamino 18mm) oliva</t>
  </si>
  <si>
    <t>SEVROLL maskownica dolna Simple/Blue 2m (do płyty laminowanej 18mm) jasny brąz</t>
  </si>
  <si>
    <t>SEVROLL 04453 alsó takaró profil Simple/Blue 2m (18 mm-es rétegeltlemez) ezüst</t>
  </si>
  <si>
    <t>SEVROLL 04453 spodná krycia lišta Simple/Blue 2m (pre lamino 18mm) strieborná</t>
  </si>
  <si>
    <t>SEVROLL maskownica dolna Simple/Blue 2m (do płyty laminowanej 18mm) srebrny</t>
  </si>
  <si>
    <t>SEVROLL  04451 alsó takaró profil Simple/Blue 3m (18 mm-es rétegeltlemez) oliva</t>
  </si>
  <si>
    <t>SEVROLL 04451 spodná krycia lišta Simple/Blue 3m (pre lamino 18mm) oliva</t>
  </si>
  <si>
    <t>SEVROLL maskownica dolna Simple/Blue 3m (do płyty laminowanej 18mm) jasny brąz</t>
  </si>
  <si>
    <t>SEVROLL  04455 alsó takaró profil Simple/Blue 3m (18 mm-es rétegeltlemez) ezüst</t>
  </si>
  <si>
    <t>SEVROLL 04455 spodná krycia lišta Simple/Blue 3m (pre lamino 18mm) strieborná</t>
  </si>
  <si>
    <t>SEVROLL 10223 alsó görgő Simple/Blue V (keretes rendszer) - 2db</t>
  </si>
  <si>
    <t>SEVROLL 10223 spodný vozík Simple/Blue V (rámový systém) - 2ks</t>
  </si>
  <si>
    <t>SEVROLL wózek dolny Simple/Blue V (system ramowy) - 2szt</t>
  </si>
  <si>
    <t>SEVROLL 10238 alsó görgő WD10 V 2db finomáll.nélk.</t>
  </si>
  <si>
    <t>SEVROLL 10238 spodný vozík WD10 V 2ks bez pozicionéru</t>
  </si>
  <si>
    <t>SEVROLL wózek dolny WD10 V 2 szt. bez pozycjonera</t>
  </si>
  <si>
    <t>SEVROLL alsó görgő WD18V (2x görgő+finomállító) rugóval</t>
  </si>
  <si>
    <t>SEVROLL spodný vozík WD18V (2x vozík+pozic.) s pružinou</t>
  </si>
  <si>
    <t>SEVROLL wózek dolny WD18V (2x wózek+pozycjoner) ze sprężyną</t>
  </si>
  <si>
    <t>SEVROLL összekötő takaró profil 2,35m oliva sötét szálcsiszolt</t>
  </si>
  <si>
    <t>SEVROLL listwa pozioma dolna 2,35 m oliwka ciemna szczotkowana</t>
  </si>
  <si>
    <t>SEVROLL 01617 összekötő profil H10 Decor 3m ezüst</t>
  </si>
  <si>
    <t>SEVROLL listwa łącząca H10 Decor 3m, srebrna</t>
  </si>
  <si>
    <t>SEVROLL 04051 összekötő profil H18 3m fényes fehér</t>
  </si>
  <si>
    <t>SEVROLL 04051 spojovacia lišta H18 3m biela lesk</t>
  </si>
  <si>
    <t>SEVROLL listwa łącząca H18 3m biały połysk</t>
  </si>
  <si>
    <t>SEVROLL 03466 összekötő profil H18 3m fekete szálcsiszolt</t>
  </si>
  <si>
    <t>SEVROLL listwa łącząca H18 3m czarny szczotkowany</t>
  </si>
  <si>
    <t>SEVROLL 00212 összekötő profil H18 3m oliva</t>
  </si>
  <si>
    <t>SEVROLL 02937-Y összekötő profil H18 3m oliva szálcsiszolt</t>
  </si>
  <si>
    <t>SEVROLL listwa łącząca H18 3m jasny brąz szczotkowany</t>
  </si>
  <si>
    <t>SEVROLL összekötő profil H18 3m oliva sötét szálcsiszolt</t>
  </si>
  <si>
    <t>SEVROLL listwa łącząca H18 3 m  oliwka ciemna szczotkowana</t>
  </si>
  <si>
    <t>SEVROLL 00215 összekötő profil H18 3m ezüst</t>
  </si>
  <si>
    <t>SEVROLL 00215 spojovacia lišta H18 3m strieborná</t>
  </si>
  <si>
    <t>SEVROLL összekötő profil H18 3m arany</t>
  </si>
  <si>
    <t>SEVROLL 00216 spojovacia lišta H18 3m zlatá</t>
  </si>
  <si>
    <t>SEVROLL  04446  összekötő profil Simple/Blue H21 3m (18 mm-es rétegeltlemez) oli</t>
  </si>
  <si>
    <t>SEVROLL 04446 spojovacia lišta Simple/Blue H21 3m (pre lamino 18mm) oliva</t>
  </si>
  <si>
    <t>SEVROLL listwa łącząca Simple/Blue H21 3m (do płyty laminowanej 18mm) jasny brąz</t>
  </si>
  <si>
    <t>SEVROLL  04444 összekötő profil Simple/Blue H28 3m (18 mm-es rétegeltlemez) oliv</t>
  </si>
  <si>
    <t>SEVROLL 04444 spojovacia lišta Simple/Blue H28 3m (pre lamino 18mm) oliva</t>
  </si>
  <si>
    <t>SEVROLL listwa łącząca Simple/Blue H28 3m (do płyty laminowanej 18mm) jasny brąz</t>
  </si>
  <si>
    <t>SEVROLL  02287 System 10 II fogantyú profil 2,7m ezüst</t>
  </si>
  <si>
    <t>SEVROLL System 10 II rączka 2,7 m, srebrna</t>
  </si>
  <si>
    <t>SEVROLL 20032-SV tömítés üvegre 10/4,5mm</t>
  </si>
  <si>
    <t>SEVROLL 20032-SV tesnenie na sklo 10/4,5mm</t>
  </si>
  <si>
    <t>SEVROLL uszczelka bezbarwna 10/4,5mm</t>
  </si>
  <si>
    <t>SEVROLL20031  tömítés üvegre 10/4mm</t>
  </si>
  <si>
    <t>SEVROLL 20031-SV tesnenie na sklo 10/4mm</t>
  </si>
  <si>
    <t>SEVROLL uszczelka do szkła 10/4 mm</t>
  </si>
  <si>
    <t>SEVROLL 20033-SV  tömítés üvegre 10/6mm</t>
  </si>
  <si>
    <t>SEVROLL 20033-SV tesnenie na sklo 10/6mm</t>
  </si>
  <si>
    <t>SEVROLL uszczelka bezbarwna 10/6mm</t>
  </si>
  <si>
    <t>SEVROLL 00635 Tytan fogantyú profil 18mm 2,7m oliva</t>
  </si>
  <si>
    <t>SEVROLL Tytan rączka 18 mm 2,7 m, oliwka</t>
  </si>
  <si>
    <t>SEVROLL  00639 Tytan fogantyú profil 18mm 2,7m ezüst</t>
  </si>
  <si>
    <t>SEVROLL Tytan rączka 18 mm 2,7 m, srebrna</t>
  </si>
  <si>
    <t>SEVROLL 04055 úhelník Mini 17x11mm 3m bílá lesk</t>
  </si>
  <si>
    <t>SEVROLL 04055 szögletvas Mini 17x11mm 3m fényes fehér</t>
  </si>
  <si>
    <t>SEVROLL 04055 uholník Mini 17x11mm 3m biela lesk</t>
  </si>
  <si>
    <t>SEVROLL kątownik Mini 17x11 mm 3 m, biały połysk</t>
  </si>
  <si>
    <t>Sevroll (Astin) szögletvas 3,6m ezüst (22/1)</t>
  </si>
  <si>
    <t>Sevroll (Astin)-UHOLNÍK 3,6M HLINÍK (22/1)</t>
  </si>
  <si>
    <t>Sevroll (Astin) kątownik  3,6m srebrny (22/1)</t>
  </si>
  <si>
    <t>Sevroll (Astin) szögletvas 2,7m ezüst (22/1)</t>
  </si>
  <si>
    <t>Sevroll (Astin) UHOLNÍK 2,7M str. (22/1)</t>
  </si>
  <si>
    <t>Sevroll (Astin) kątownik  2,7m srebrny (22/1)</t>
  </si>
  <si>
    <t>Sevroll (Astin) szögletvas 1,8m ezüst (22/1)</t>
  </si>
  <si>
    <t>Sevroll (Astin)-UHOLNÍK 1,8M HLINÍK (22/1)</t>
  </si>
  <si>
    <t>Sevroll (Astin) kątownik 1,8m srebrny (22/1)</t>
  </si>
  <si>
    <t>Sevroll (Astin) összekötő H08 profil 3m ezüst</t>
  </si>
  <si>
    <t>Sevroll (Astin) spojovací H08 profil 3m strieborná</t>
  </si>
  <si>
    <t>Sevroll (Astin) łacznik H08 profil 3m srebrny</t>
  </si>
  <si>
    <t>Sevroll (Astin) alsó vezetés 3,6m ezüst (22/1)</t>
  </si>
  <si>
    <t>Sevroll (Astin)-SPODNÝ PROFIL 3,6M HLINÍK (22/1)</t>
  </si>
  <si>
    <t>Sevroll (Astin) tor dolny 3,6m srebrny (22/1)</t>
  </si>
  <si>
    <t>Sevroll (Astin) alsó vezetés 2,7m ezüst (22/1)</t>
  </si>
  <si>
    <t>Sevroll (Astin)-SPODNÝ PROFIL 2,7M HLINÍK (22/1)</t>
  </si>
  <si>
    <t>Sevroll (Astin) tor dolny 2,7m srebrny (22/1)</t>
  </si>
  <si>
    <t>Sevroll (Astin) alsó vezetés 1,8m ezüst (22/1)</t>
  </si>
  <si>
    <t>Sevroll (Astin)-SPODNÝ PROFIL 1,8M HLINÍK (22/1)</t>
  </si>
  <si>
    <t>Sevroll (Astin) tor dolny 1,8m srebrny (22/1)</t>
  </si>
  <si>
    <t>Sevroll (Astin) Orient fogantyú profil 2,7m ezüst (32/1)</t>
  </si>
  <si>
    <t>Sevroll (Astin) Orient úch.lišta 2,7m str. (32/1)</t>
  </si>
  <si>
    <t>Sevroll (Astin) Orient rączka 2,7m srebrna (32/1)</t>
  </si>
  <si>
    <t>Sevroll (Astin) felső vezetés 3,6m ezüst (32/1)</t>
  </si>
  <si>
    <t>Sevroll (Astin)-HORNÝ PROFIL 3,6M HLINÍK (32/1)</t>
  </si>
  <si>
    <t>Sevroll (Astin) tor górny 3,6m srebrny (32/1)</t>
  </si>
  <si>
    <t>Sevroll (Astin) felső vezetés 2,7m ezüst (32/1)</t>
  </si>
  <si>
    <t>Sevroll (Astin)-HORNÝ PROFIL 2,7M HLINÍK (32/1)</t>
  </si>
  <si>
    <t>Sevroll (Astin)tor górny 2,7m srebrny (32/1)</t>
  </si>
  <si>
    <t>Sevroll (Astin) felső vezetés 1,8m ezüst (32/1)</t>
  </si>
  <si>
    <t>Sevroll (Astin)-HORNÝ PROFIL 1,8M HLINÍK (32/1)</t>
  </si>
  <si>
    <t>Sevroll (Astin) tor górny 1,8m srebrny (32/1)</t>
  </si>
  <si>
    <t>Sevroll (Astin) Elegant fogantyú profil 2,7m ezüst (22/1)</t>
  </si>
  <si>
    <t>Sevroll (Astin) Elegant úch.lišta 2,7m str. (22/1)</t>
  </si>
  <si>
    <t>Sevroll (Astin) Elegant rączka 2,7m srebrna (22/1)</t>
  </si>
  <si>
    <t>SEVROLL sín INTER S 35kg a mennyezetbe 6m</t>
  </si>
  <si>
    <t>SEVROLL tor górny INTER S 35kg do sufitu 6m</t>
  </si>
  <si>
    <t>SEVROLL sín INTER S 35kg a mennyezetbe 3m</t>
  </si>
  <si>
    <t>SEVROLL tor górny INTER S 35kg do sufitu 3m</t>
  </si>
  <si>
    <t>SEVROLL sín INTER B 35kg a falra 6m</t>
  </si>
  <si>
    <t>SEVROLL tor górny INTER B 35kg do ściany 6m</t>
  </si>
  <si>
    <t>SEVROLL sín INTER B 35kg a falra 3m</t>
  </si>
  <si>
    <t>SEVROLL tor górny INTER B 35kg do ściany 3m</t>
  </si>
  <si>
    <t>SEVROLL sín Galaxy S 50kg a mennyezetbe 4m</t>
  </si>
  <si>
    <t>SEVROLL tor górny Galaxy S 50kg do sufitu 4m</t>
  </si>
  <si>
    <t>SEVROLL sín Galaxy S 50kg a mennyezetbe 2,5m</t>
  </si>
  <si>
    <t>SEVROLL tor górny Galaxy S 50kg do sufitu 2,5m</t>
  </si>
  <si>
    <t>SEVROLL sín Galaxy S 50kg a mennyezetbe 1,5m</t>
  </si>
  <si>
    <t>SEVROLL tor górny Galaxy S 50kg do sufitu 1,5m</t>
  </si>
  <si>
    <t>SEVROLL sín Galaxy B 50kg a falra 4m</t>
  </si>
  <si>
    <t>SEVROLL tor górny Galaxy B 50kg do ściany 4m</t>
  </si>
  <si>
    <t>SEVROLL sín Galaxy B 50kg a falra 2,5m</t>
  </si>
  <si>
    <t>SEVROLL tor górny Galaxy B 50kg do ściany 2,5m</t>
  </si>
  <si>
    <t>SEVROLL Exclusive felső vezetés 1,8m ezüst</t>
  </si>
  <si>
    <t>SEVROLL Exclusive tor górny 1,8m srebrny</t>
  </si>
  <si>
    <t>SEVROLL 50461 sín INTER S 35kg a mennyezetbe 2m</t>
  </si>
  <si>
    <t>SEVROLL 50461 vedenie INTER S 35kg do stropu 2m</t>
  </si>
  <si>
    <t>SEVROLL tor górny INTER S 35kg do sufitu 2m</t>
  </si>
  <si>
    <t>SEVROLL 50460  sín INTER S 35kg a mennyezetbe 1,5m</t>
  </si>
  <si>
    <t>SEVROLL 50460 vedenie INTER S 35kg do stropu 1,5m</t>
  </si>
  <si>
    <t>SEVROLL tor górny INTER S 35kg do sufitu 1,5m</t>
  </si>
  <si>
    <t>SEVROLL50455  sín INTER B 35kg a falra 2m</t>
  </si>
  <si>
    <t>SEVROLL 50455 vedenie INTER B 35kg na stenu 2m</t>
  </si>
  <si>
    <t>SEVROLL tor górny INTER B 35kg do ściany 2m</t>
  </si>
  <si>
    <t>SEVROLL 50454 sín INTER B 35kg a falra 1,5m</t>
  </si>
  <si>
    <t>SEVROLL 50454 vedenie INTER B 35kg na stenu 1,5m</t>
  </si>
  <si>
    <t>SEVROLL tor górny INTER B 35kg do ściany 1,5m</t>
  </si>
  <si>
    <t>SEVROLL 50450 sín Galaxy S 50kg a mennyezetbe 6m</t>
  </si>
  <si>
    <t>SEVROLL 50450 vedenie Galaxy S 50kg do stropu 6m</t>
  </si>
  <si>
    <t>SEVROLL tor górny Galaxy S 50kg do sufitu 6m</t>
  </si>
  <si>
    <t>SEVROLL50449  sín Galaxy S 50kg a mennyezetbe 3m</t>
  </si>
  <si>
    <t>SEVROLL 50449 vedenie Galaxy S 50kg do stropu 3m</t>
  </si>
  <si>
    <t>SEVROLL tor górny Galaxy S 50kg do sufitu 3m</t>
  </si>
  <si>
    <t>SEVROLL 50472 sín Galaxy S 50kg a mennyezetbe 2m</t>
  </si>
  <si>
    <t>SEVROLL 50472 vedenie Galaxy S 50kg do stropu 2m</t>
  </si>
  <si>
    <t>SEVROLL tor górny Galaxy S 50kg do sufitu 2m</t>
  </si>
  <si>
    <t>SEVROLL 50452 sín Galaxy B 50kg a falra 6m</t>
  </si>
  <si>
    <t>SEVROLL 50452 vedenie Galaxy B 50kg na stenu 6m</t>
  </si>
  <si>
    <t>SEVROLL tor górny Galaxy B 50kg do ściany 6m</t>
  </si>
  <si>
    <t>SEVROLL50451  sín Galaxy B 50kg a falra 3m</t>
  </si>
  <si>
    <t>SEVROLL 50451 vedenie Galaxy B 50kg na stenu 3m</t>
  </si>
  <si>
    <t>SEVROLL tor górny Galaxy B 50kg do ściany 3m</t>
  </si>
  <si>
    <t>SEVROLL 50468 sín Galaxy B 50kg a falra 2m</t>
  </si>
  <si>
    <t>SEVROLL 50468 vedenie Galaxy B 50kg na stenu 2m</t>
  </si>
  <si>
    <t>SEVROLL tor górny Galaxy B 50kg do ściany 2m</t>
  </si>
  <si>
    <t>SEVROLL 20144 fúró fokozatos 6,5/9,5mm</t>
  </si>
  <si>
    <t>SEVROLL wiertło stopniowe 6,5/9,5mm</t>
  </si>
  <si>
    <t>SEVROLL Simple profil minta (doboz)</t>
  </si>
  <si>
    <t>SEVROLL pudełko wzorów profili Simple</t>
  </si>
  <si>
    <t>SEVROLL sablon görgőkhöz 18 mm-es rétegeltlemez</t>
  </si>
  <si>
    <t>SEVROLL szablon do wózków do płyty laminowanej 18mm</t>
  </si>
  <si>
    <t>SEVROLL 40373 reklamná šablóna pre vozíky pre lamino 18mm</t>
  </si>
  <si>
    <t>K-SEVROLL alsó görgő V 10mm + szerelési készlet ingyen</t>
  </si>
  <si>
    <t>K-SEVROLL wózek dolny V 10mm + pomoc montażowa gratis</t>
  </si>
  <si>
    <t>K-SEVROLL alsó görgő V 10mm + Fix + fúró ingyen</t>
  </si>
  <si>
    <t>K-SEVROLL wózek dolny V 10mm + Fix + wiertło gratis</t>
  </si>
  <si>
    <t>K-SEVROLL alsó görgő V 10mm - 2db + finomállító</t>
  </si>
  <si>
    <t>K-SEVROLL wózek dolny V 10mm - 2 szt+ pozycjoner</t>
  </si>
  <si>
    <t>SEVROLL öntapadó fólia minták</t>
  </si>
  <si>
    <t>SEVROLL 16280 vzorkovník samolepiacíh fólií</t>
  </si>
  <si>
    <t>SEVROLL wzornik folii</t>
  </si>
  <si>
    <t>SEVROLL szerelési eszköz Eden/Pax-hoz</t>
  </si>
  <si>
    <t>SEVROLL 20340 montážny prípravok pre Eden/Pax</t>
  </si>
  <si>
    <t>SEVROLL element montażowy do Eden/Pax</t>
  </si>
  <si>
    <t>SEVROLL szerelő eszköz 10 mm-es rétegelt lemezre nagy</t>
  </si>
  <si>
    <t>SEVROLL 20016 montažný prípravok pre lamino 10mm veľký</t>
  </si>
  <si>
    <t>SEVROLL element montażowy do płyty laminowanej 10mm duży</t>
  </si>
  <si>
    <t>SEVROLL20238 Simple/Blue szerelési eszköz 10/18mm-es rétegelt lemezhez</t>
  </si>
  <si>
    <t>SEVROLL 20238 Simple/Blue montážny prípravok pre lamino 10/18mm</t>
  </si>
  <si>
    <t>SEVROLL Simple/Blue element montażowy do płyty laminowanej 10/18mm</t>
  </si>
  <si>
    <t>SEVROLL 20183 szerelési eszköz Maxim rendszerhez kicsi</t>
  </si>
  <si>
    <t>SEVROLL 20183 montážny prípravok pre systém Maxim malý</t>
  </si>
  <si>
    <t>SEVROLL element montażowy do systemu Maxim mały</t>
  </si>
  <si>
    <t>SEVROLL 20173 szerelő eszköz 10 mm-es rétegelt lemezre kicsi</t>
  </si>
  <si>
    <t>SEVROLL 20173 montážny prípravok pre lamino 10mm malý</t>
  </si>
  <si>
    <t>SEVROLL element montażowy do płyty laminowanej 10mm mały</t>
  </si>
  <si>
    <t>SEVROLL 20384 Micra sablon görgőkhöz</t>
  </si>
  <si>
    <t>SEVROLL 20384 Micra šablóna pre vozíky - 1 pár = 1 ks</t>
  </si>
  <si>
    <t>SEVROLL Micra szablon do wózków - 1 para</t>
  </si>
  <si>
    <t>SEVROLL 20385 držiak spodného vedenia Gemini</t>
  </si>
  <si>
    <t>SEVROLL 04933 Era úchytová lišta 18mm 2,70m biely lesk</t>
  </si>
  <si>
    <t>Sevroll Rączka Era 18 mm 2,70 m, biała połysk</t>
  </si>
  <si>
    <t>SEVROLL 04906 Vitara úchytová lišta 2,7m strieborná</t>
  </si>
  <si>
    <t>SEVROLL 04909 Vitara úchytová lišta 2,7m biela lesk</t>
  </si>
  <si>
    <t>SEVROLL Elegant II spodné vedenie 150mm čierna lesk (vzorka)</t>
  </si>
  <si>
    <t>SEVROLL 05308 Elegant II spodné vedenie 1,7m čierna mat</t>
  </si>
  <si>
    <t>SEVROLL Elegant II tor dolny 1,7 m czarny mat</t>
  </si>
  <si>
    <t>SEVROLL 05313 Gemini horné vedenie 1,7m čierna mat</t>
  </si>
  <si>
    <t>SEVROLL Gemini tor górny 1,7 m czarny mat</t>
  </si>
  <si>
    <t>SEVROLL 20406 Pax nalepovacia úchytka čierna mat</t>
  </si>
  <si>
    <t>SEVROLL 05327 Pax záslepka profilu (4 ks) čierna mat</t>
  </si>
  <si>
    <t>SEVROLL 05296 úhelník Mini 17x11mm 1,7m černá mat</t>
  </si>
  <si>
    <t>SEVROLL 05296 szögletvas Mini 17x11mm 1,7m matt fekete</t>
  </si>
  <si>
    <t>SEVROLL 05296 uholník Mini 17x11mm 1,7m čierna mat</t>
  </si>
  <si>
    <t>SEVROLL 05296 kątownik Mini 17x11 mm 1,7 m czarny mat</t>
  </si>
  <si>
    <t>SEVROLL 05299 Gemini 10 spodná krycia lišta 1,7m 10mm čierna mat</t>
  </si>
  <si>
    <t>SEVROLL 05300 Gemini 10 spodná krycia lišta 2,35m 10mm čierna mat</t>
  </si>
  <si>
    <t>SEVROLL 03604 Gemini 10 spodná krycia lišta 3m 10mm čierna mat</t>
  </si>
  <si>
    <t>SEVROLL 05323 Gemini 4 Pax spodná krycia lišta 3m 4mm čierna mat</t>
  </si>
  <si>
    <t>SEVROLL 04833 Gemini 4 Pax XL spodná krycia lišta 3m 4mm čierna mat</t>
  </si>
  <si>
    <t>SEVROLL 05301 horná vodiaca lišta 1,7m čierna mat</t>
  </si>
  <si>
    <t>SEVROLL 02385 Oxford úchytová lišta 2,7m strieborná</t>
  </si>
  <si>
    <t>SEVROLL 02552 Ekonomik úchytová lišta 2,7m strieborná</t>
  </si>
  <si>
    <t>SEVROLL 02553 Ekonomik horné vedenie 2m strieborná</t>
  </si>
  <si>
    <t>SEVROLL 02554 Ekonomik horné vedenie 3m strieborná</t>
  </si>
  <si>
    <t>SEVROLL 02894 Ekonomik horné vedenie 6m strieborná</t>
  </si>
  <si>
    <t>SEVROLL 02555 Ekonomik spodné vedenie 2m strieborná</t>
  </si>
  <si>
    <t>SEVROLL 02556 Ekonomik spodné vedenie 3m strieborná</t>
  </si>
  <si>
    <t>SEVROLL 02895 Ekonomik spodné vedenie 6m strieborná</t>
  </si>
  <si>
    <t>SEVROLL 10101-SV horný vozík Ekonomik Duo</t>
  </si>
  <si>
    <t>SEVROLL 10099-SV spodný vozík Ekonomik WD10V</t>
  </si>
  <si>
    <t>SEVROLL 20160 skrutka 2,9x6,5 Ekonomik (100 ks)</t>
  </si>
  <si>
    <t>SEVROLL 10105 Ekonomik sada kovania pre 2 dvere</t>
  </si>
  <si>
    <t>SEVROLL 20166 podložka Vejárová 3x6mm (100 ks)</t>
  </si>
  <si>
    <t>SEVROLL 10106 Ekonomik sada kovania pre 3 dvere</t>
  </si>
  <si>
    <t>SEVROLL 214-377 Herkules plus horné vedenie 3m alu</t>
  </si>
  <si>
    <t>SEVROLL 05325 Pax úchytová lišta 2,7m čierna mat</t>
  </si>
  <si>
    <t>SEVROLL 05326 Pax úchytová lišta 3m čierna mat</t>
  </si>
  <si>
    <t>SEVROLL 05293 spojovacia lišta H18 3m biela mat</t>
  </si>
  <si>
    <t>SEVROLL 05291 profil "U" pre lamino 18mm 3m biela mat</t>
  </si>
  <si>
    <t>K-SEVROLL görgő szett 2 ajtószárnyra 18mm + sablon</t>
  </si>
  <si>
    <t>K-SEVROLL komplet wózków do 2 skrzydeł 18mm + szablon</t>
  </si>
  <si>
    <t>SEVROLL - Łącznik Simple/Blue H25 3 m (16 mm) srebrny</t>
  </si>
  <si>
    <t>SEVROLL -Łącznik Simple/Blue H25 3 m (16 mm) oliwka</t>
  </si>
  <si>
    <t>SEVROLL 03607 Gemini úchytová lišta 2,7m čierna mat</t>
  </si>
  <si>
    <t>SEVROLL 04416 Pax XL úchytová lišta 2,7m biela lesk</t>
  </si>
  <si>
    <t>SEVROLL 05082 Gemini horné vedenie 1,7m biely mat</t>
  </si>
  <si>
    <t>SEVROLL Gemini tor górny 1,7 m biały matowy</t>
  </si>
  <si>
    <t>SEVROLL 05172 Gemini horné vedenie 2,35m biela mat</t>
  </si>
  <si>
    <t>SEVROLL Gemini tor górny 2,35 m biały matowy</t>
  </si>
  <si>
    <t>SEVROLL 05173 Gemini horné vedenie 4,05m biela mat</t>
  </si>
  <si>
    <t>SEVROLL Gemini tor górny 4,05 m biały matowy</t>
  </si>
  <si>
    <t>SEVROLL 05174 Gemini horné vedenie 6m biela mat</t>
  </si>
  <si>
    <t>SEVROLL 05136 úhelník Mini 17x11mm 1,7m bílá mat</t>
  </si>
  <si>
    <t>SEVROLL 05136 szögletvas Mini 17x11mm 1,7m matt fehér</t>
  </si>
  <si>
    <t>SEVROLL 05136 uholník Mini 17x11mm 1,7m biely mat</t>
  </si>
  <si>
    <t>SEVROLL kątownik Mini 17x11 mm 1,7 m biały matowy</t>
  </si>
  <si>
    <t>SEVROLL 05137 úhelník Mini 17x11mm 2,35m bílá mat</t>
  </si>
  <si>
    <t>SEVROLL05137 szögletvas Mini 17x11mm 2,35m matt fehér</t>
  </si>
  <si>
    <t>SEVROLL 05137 uholník Mini 17x11mm 2,35m biely mat</t>
  </si>
  <si>
    <t>SEVROLL kątownik Mini 17x11mm 2,35 m biały matowy</t>
  </si>
  <si>
    <t>SEVROLL 05166 maska Elegant II 6m biela mat</t>
  </si>
  <si>
    <t>SEVROLL zaślepka do toru Elegant II 6m biały mat</t>
  </si>
  <si>
    <t>SEVROLL 05163 maska Elegant II 1,7m biely mat</t>
  </si>
  <si>
    <t>SEVROLL 05164 maska Elegant II 2,35m biela mat</t>
  </si>
  <si>
    <t>SEVROLL 04438 maska Elegant II 3m biela mat</t>
  </si>
  <si>
    <t>SEVROLL 05165 maska Elegant II 4,05m biela mat</t>
  </si>
  <si>
    <t>SEVROLL 05152 Alfa II úchytová lišta 18mm 2,7m čierna lesk</t>
  </si>
  <si>
    <t>SEVROLL 05154 Fox II úchytová lišta 2,7m čierna lesk</t>
  </si>
  <si>
    <t>SEVROLL 05182 spojovacia lišta H10 3m čierna lesk</t>
  </si>
  <si>
    <t>SEVROLL 10182 sada Fold pre 2 krídla ľavá</t>
  </si>
  <si>
    <t>SEVROLL 10181 sada Fold pro 2 krídla pravá</t>
  </si>
  <si>
    <t>SEVROLL zaślepka do toru Elegant II 3m, biała matowa</t>
  </si>
  <si>
    <t>SEVROLL Zestaw okuć ZSE-18 PLUS Prince</t>
  </si>
  <si>
    <t>SEVROLL 05306 Faworyt II úchytová lišta 2,7m čierna mat</t>
  </si>
  <si>
    <t>SEVROLL 05306 Faworyt II rączka 2,7 m, czarna matowa</t>
  </si>
  <si>
    <t>SEVROLL 03606 spojovacia lišta H30 decor 3m čierna mat</t>
  </si>
  <si>
    <t>SEVROLL 05341 dištančný profil 04 3m čierna mat</t>
  </si>
  <si>
    <t>SEVROLL 05341 teownik 04 3m czarny mat</t>
  </si>
  <si>
    <t>SEVROLL 05302 horná vodiaca lišta 2,35m čierna mat</t>
  </si>
  <si>
    <t>SEVROLL 03605 horná vodiaca lišta 3m čierna mat</t>
  </si>
  <si>
    <t>SEVROLL 05324 Pax horná vodiaca lišta 3m čierna mat</t>
  </si>
  <si>
    <t>SEVROLL 05316 Gemini horné vedenie 6m čierna mat</t>
  </si>
  <si>
    <t>SEVROLL 05316 Gemini tor górny 6m czarny mat</t>
  </si>
  <si>
    <t>SEVROLL 05312 Elegant II spodné vedenie 6m čierna mat</t>
  </si>
  <si>
    <t>SEVROLL 05312 Elegant II tor dolny 6m czarny mat</t>
  </si>
  <si>
    <t>SEVROLL 05317 maska Elegant II 1,7m čierna mat</t>
  </si>
  <si>
    <t>SEVROLL 05321 maska Elegant II 6m čierna mat</t>
  </si>
  <si>
    <t>SEVROLL maskownica do toru Elegant II 6m czarny mat</t>
  </si>
  <si>
    <t>SEVROLL 05303 spojovacia lišta H10 3m čierna mat</t>
  </si>
  <si>
    <t>SEVROLL 05527 úhelník Mini 17x11mm 4,05m stříbrná</t>
  </si>
  <si>
    <t>SEVROLL szögletvas Mini 17x11mm 4,05m ezüst</t>
  </si>
  <si>
    <t>SEVROLL 05527 úhelník Mini 17x11mm 4,05m strieborný</t>
  </si>
  <si>
    <t>SEVROLL kątownik Mini 17x11mm 4,05m srebrny</t>
  </si>
  <si>
    <t>SEVROLL 10224 Micra V sada kovanie pre 1 krídlo</t>
  </si>
  <si>
    <t>SEVROLL Micra V komplet okuć dla 1 skrzydła</t>
  </si>
  <si>
    <t>SEVROLL Taboret-podest składany szary wys. 27cm</t>
  </si>
  <si>
    <t>SEVROLL Taboret-podest składany szary wys. 39cm</t>
  </si>
  <si>
    <t>SEVROLL 05319 maska Elegant II 3m čierna mat</t>
  </si>
  <si>
    <t>SEVROLL maskownica do toru Elegant II 3m czarny mat</t>
  </si>
  <si>
    <t>SEVROLL 04299-A zaślepka do toru Elegant II 4,05m jasny brąz new</t>
  </si>
  <si>
    <t>SEVROLL 04301-A zaślepka do toru Elegant II 6m jasny brąz new</t>
  </si>
  <si>
    <t>SEVROLL 04466-M Blue horné vedenie  2m oliva new</t>
  </si>
  <si>
    <t>SEVROLL 04466-M Blue tor górny 2m jasny brąz new</t>
  </si>
  <si>
    <t>SEVROLL 04468-M Blue horné vedenie  3m oliva new</t>
  </si>
  <si>
    <t>SEVROLL 04468-M Blue tor górny 3m jasny brąz new</t>
  </si>
  <si>
    <t>SEVROLL 04469-M Blue horné vedenie  4m oliva new</t>
  </si>
  <si>
    <t>SEVROLL 04469-M Blue tor górny 4m jasny brąz new</t>
  </si>
  <si>
    <t>SEVROLL 04492-M Blue-V spodné vedenie  3m oliva new</t>
  </si>
  <si>
    <t>SEVROLL 04492-M Blue-V tor dolny 3m jasny brąz new</t>
  </si>
  <si>
    <t>SEVROLL 04493-M Blue-V spodné vedenie  4m oliva new</t>
  </si>
  <si>
    <t>SEVROLL04493-M Blue-V tor dolny 4m jasny brąz new</t>
  </si>
  <si>
    <t>SEVROLL 04278-A Elegant II spodné vedenie  6m oliva new</t>
  </si>
  <si>
    <t>SEVROLL 04278-A Elegant II tor dolny 6m jasny brąz new</t>
  </si>
  <si>
    <t>SEVROLL Alfa II úchytová lišta 100mm čierna mat (vzorka)</t>
  </si>
  <si>
    <t>SEVROLL Fox II úchytová lišta 100mm čierna lesk (vzorka)</t>
  </si>
  <si>
    <t>SEVROLL 04490-M Blue-V spodné vedenie  2m oliva new</t>
  </si>
  <si>
    <t>SEVROLL 00095-A úhelník Mini 17x11mm 3m oliva new</t>
  </si>
  <si>
    <t>SEVROLL 00095-A szögletvas Mini 17x11mm 3m oliva new</t>
  </si>
  <si>
    <t>SEVROLL 00095-A uholník Mini 17x11mm 3m oliva new</t>
  </si>
  <si>
    <t>SEVROLL 00095-A kątownik Mini 17x11mm 3m jasny brąz new</t>
  </si>
  <si>
    <t>SEVROLL 219-047 držiak horného vedenia pre lamino 16 - 25mm</t>
  </si>
  <si>
    <t>SEVROLL Klamra ścienna do płyty 16 - 25mm</t>
  </si>
  <si>
    <t>SEVROLL 214-694 krycia lišta Herkules II 1,8m strieborná</t>
  </si>
  <si>
    <t>SEVROLL 214-694 Herkules II listwa maskująca 1,8m srebrna</t>
  </si>
  <si>
    <t>SEVROLL 222883 gąbka do usuwania drobnych zarysowań na srebrnych alu profilach</t>
  </si>
  <si>
    <t>SEVROLL 05314 Gemini horné vedenie 2,35m čierna mat</t>
  </si>
  <si>
    <t>SEVROLL 05314 Gemini tor górny 2,35 m czarny mat</t>
  </si>
  <si>
    <t>SEVROLL 04835 Gemini horné vedenie  4,05m čierna mat</t>
  </si>
  <si>
    <t>SEVROLL 04835 Gemini tor górny 4,05 m czarny mat</t>
  </si>
  <si>
    <t>SEVROLL 05311 Elegant II spodné vedenie 4,05m čierna mat</t>
  </si>
  <si>
    <t>SEVROLL 05311 Elegant II tor dolny 4,05 m czarny mat</t>
  </si>
  <si>
    <t>SEVROLL 05309 Elegant II spodné vedenie 2,35m čierna mat</t>
  </si>
  <si>
    <t>SEVROLL 05309 Elegant II tor dolny 2,35 m czarny mat</t>
  </si>
  <si>
    <t>SEVROLL 05318 maska Elegant II 2,35m čierna mat</t>
  </si>
  <si>
    <t>SEVROLL 05318 zaślepka do toru Elegant II 2,35m czarny mat</t>
  </si>
  <si>
    <t>SEVROLL 05320 maska Elegant II 4,05m čierna mat</t>
  </si>
  <si>
    <t>SEVROLL 05320 zaślepka do toru Elegant II 4,05m czarny mat</t>
  </si>
  <si>
    <t>SEVROLL 05297 úhelník Mini 17x11mm 2,35m černá mat</t>
  </si>
  <si>
    <t>SEVROLL 05297 szögletvas Mini 17x11mm 2,35m matt fekete</t>
  </si>
  <si>
    <t>SEVROLL 05297 uholník Mini 17x11mm 2,35m čierna mat</t>
  </si>
  <si>
    <t>SEVROLL kątownik Mini 17x11 mm 2,35 m czarny mat</t>
  </si>
  <si>
    <t>SEVROLL 05304 spojovacia lišta H18 3m čierna mat</t>
  </si>
  <si>
    <t>SEVROLL 20334-SV dorazová štetina zásuvná 14x4mm čierna</t>
  </si>
  <si>
    <t>SEVROLL 
20334-SV szczotka odbojowa wsuwana 14x4mm czarna</t>
  </si>
  <si>
    <t>SEVROLL 20403-SV dorazová štetina zásuvná 4,8x4mm čierna</t>
  </si>
  <si>
    <t>SEVROLL 20403-SV szczotka odbojowa wsuwana 4,8x4mm czarna</t>
  </si>
  <si>
    <t>SEVROLL 00884 Comfort spodné vedenie 2,35m strieborná</t>
  </si>
  <si>
    <t>SEVROLL 00884 Comfort Tor dolny 2,35 m srebrny</t>
  </si>
  <si>
    <t>SEVROLL 00885 Comfort spodné vedenie 3m strieborná</t>
  </si>
  <si>
    <t>SEVROLL 00885 Comfort Tor dolny 3m srebrny</t>
  </si>
  <si>
    <t>SEVROLL 01495 Comfort spodné vedenie 4,05m strieborná</t>
  </si>
  <si>
    <t>SEVROLL 01495 Comfort Tor dolny 4,05 m srebrny</t>
  </si>
  <si>
    <t>SEVROLL 04449-M alsó takaró profil Simple/Blue 2m (18 mm) oliva new</t>
  </si>
  <si>
    <t>SEVROLL 04449-M spodná krycia lišta Simple/Blue 2m (lamino 18mm) oliva new</t>
  </si>
  <si>
    <t>SEVROLL 04449-M maskownica dolna Simple/Blue 2m (18mm) jasny brąz  new</t>
  </si>
  <si>
    <t>SEVROLL 05176 Gemini horné vedenie 2,35m čierna lesk</t>
  </si>
  <si>
    <t>SEVROLL Gemini tor górny 2,35 m czarny połysk</t>
  </si>
  <si>
    <t>SEVROLL 05156 Elegant II spodné vedenie 2,35m čierna lesk</t>
  </si>
  <si>
    <t>SEVROLL Elegant II tor dolny 2,35 m czarny połysk</t>
  </si>
  <si>
    <t>SEVROLL 05168 maska Elegant II 2,35m čierna lesk</t>
  </si>
  <si>
    <t>SEVROLL 10193-SV Optima II - beltéri ajtó vasalat</t>
  </si>
  <si>
    <t>SEVROLL 10193-SV Optima II sada kovania pre vnútorné dvere</t>
  </si>
  <si>
    <t>SEVROLL 10193-SV Optima II zestaw okuc do drzwi wewnętrznych</t>
  </si>
  <si>
    <t>SEVROLL 10212 görgő beltéri ajtóhoz Simple 18 Inter/Galaxy 35/50kg</t>
  </si>
  <si>
    <t>SEVROLL 10212 vozík pre interiérové dvere Simple 18 Inter/Galaxy 35/50kg</t>
  </si>
  <si>
    <t>SEVROLL 04999 beltéri ajtó csillapító Simple 18 Galaxy 50kg</t>
  </si>
  <si>
    <t>SEVROLL 04999 tĺmič pre interiérové dvere Simple 18 Galaxy 50kg</t>
  </si>
  <si>
    <t>K-SEVROLL tolóajtó szett Simple 18 Inter/ Galaxy 50 kg 2x fék</t>
  </si>
  <si>
    <t>SEVROLL 214-695 krycia lišta Herkules II 2m strieborná</t>
  </si>
  <si>
    <t>SEVROLL listwa maskująca Herkules II 2m srebrna</t>
  </si>
  <si>
    <t>SEVROLL 214-615 krycia lišta Herkules Wood 2m strieborná</t>
  </si>
  <si>
    <t>SEVROLL listwa maskująca Herkules Wood 2m srebrna</t>
  </si>
  <si>
    <t>SEVROLL 219-036 Herkules Wood sada krycia lišta strieborná, 2x krytka a kefka</t>
  </si>
  <si>
    <t>SEVROLL 219-036 Herkules Zestaw listew maskujących + zaslepki i szczotka 2,01m</t>
  </si>
  <si>
    <t>SEVROLL 04414 Pax XL úchytová lišta 2,7m strieborná</t>
  </si>
  <si>
    <t>SEVROLL 04421 Pax XL horná vodiaca lišta 3m strieborná</t>
  </si>
  <si>
    <t>SEVROLL 04419 Pax XL spodná krycia lišta 3m 4mm strieborná</t>
  </si>
  <si>
    <t>SEVROLL 20167 tesnenie pre profil Pax XL</t>
  </si>
  <si>
    <t>SEVROLL 04511-M Era rödzítőlécek 18mm 2,70m olajzöld új</t>
  </si>
  <si>
    <t>SEVROLL 04511-M Era rączka 18mm 2,70m jasny brąz new</t>
  </si>
  <si>
    <t>SEVROLL 04470-M Kék top line 6m olíva új</t>
  </si>
  <si>
    <t>SEVROLL 04470-M Blue horné vedenie  6m oliva new</t>
  </si>
  <si>
    <t>SEVROLL 04470-M Blue tor górny 6m jasny brąz new</t>
  </si>
  <si>
    <t>SEVROLL 04494-M Blue-V alsó kötél 6m olíva új</t>
  </si>
  <si>
    <t>SEVROLL 04494-M Blue-V spodné vedenie  6m oliva new</t>
  </si>
  <si>
    <t>SEVROLL 04494-M Blue-V tor dolny 6m jasny brąz new</t>
  </si>
  <si>
    <t>SEVROLL 04459-M felső vezető profil Simple/Blue 3m (lamino 18 mm) oliva new</t>
  </si>
  <si>
    <t>SEVROLL 04459-M horná vodiaca lišta Simple/Blue 3m (lamino 18mm) oliva new</t>
  </si>
  <si>
    <t>SEVROLL 04459-M tor górny Simple/Blue 3m (płyta laminatowa 18mm) jasny brąz new</t>
  </si>
  <si>
    <t>SEVROLL 04451-M alsó takaró profil Simple/Blue 3m (lamino 18 mm) oliva new</t>
  </si>
  <si>
    <t>SEVROLL 04451-M spodná krycia lišta Simple/Blue 3m (lamino 18mm) oliva new</t>
  </si>
  <si>
    <t>SEVROLL 219-043 držiak horného vedenia pre lamino 25 - 45mm</t>
  </si>
  <si>
    <t>SEVROLL 219-043 mocowanie toru górnego do lamina 25 - 45 mm</t>
  </si>
  <si>
    <t>SEVROLL 05292 profil "U" pre lamino 18mm 3m čierna lesk</t>
  </si>
  <si>
    <t>SEVROLL 05138 úhelník Mini 17x11mm 1,7m černá lesk</t>
  </si>
  <si>
    <t>SEVROLL 05138 szögletvas Mini 17x11mm 1,7m fényes fekete</t>
  </si>
  <si>
    <t>SEVROLL 05138 uholník Mini 17x11mm 1,7m čiena lesk</t>
  </si>
  <si>
    <t>SEVROLL kątownik Mini 17x11 mm 1,7 m czarny połysk</t>
  </si>
  <si>
    <t>SEVROLL 05139 úhelník Mini 17x11mm 2,35m černá lesk</t>
  </si>
  <si>
    <t>SEVROLL 05139 szögletvas Mini 17x11mm 2,35m fényes fekete</t>
  </si>
  <si>
    <t>SEVROLL 05139 uholník Mini 17x11mm 2,35m čierna lesk</t>
  </si>
  <si>
    <t>SEVROLL kątownik Mini 17x11 mm 2,35 m czarny połysk</t>
  </si>
  <si>
    <t>SEVROLL 05140 úhelník Mini 17x11mm 3m černá lesk</t>
  </si>
  <si>
    <t>SEVROLL05140 szögletvas Mini 17x11mm 3m fényes fekete</t>
  </si>
  <si>
    <t>SEVROLL 05140 uholník Mini 17x11mm 3m čierna lesk</t>
  </si>
  <si>
    <t>SEVROLL kątownik Mini 17x11 mm 3 m czarny połysk</t>
  </si>
  <si>
    <t>SEVROLL 05144 Gemini 10 spodná krycia lišta 1,7m 10mm čierna lesk</t>
  </si>
  <si>
    <t>SEVROLL 05144 Gemini 10 maskownica dolna 1,7 m 10 mm czarny połysk</t>
  </si>
  <si>
    <t>SEVROLL 05145 Gemini 10 spodná krycia lišta 2,35m 10mm čierna lesk</t>
  </si>
  <si>
    <t>SEVROLL 05145 Gemini 10 maskownica dolna 2,35 m 10 mm czarny połysk</t>
  </si>
  <si>
    <t>SEVROLL 05183 Gemini 10 spodná krycia lišta 3m 10mm čierna lesk</t>
  </si>
  <si>
    <t>SEVROLL 05183 Gemini 10 maskownica dolna 3 m 10 mm czarny połysk</t>
  </si>
  <si>
    <t>SEVROLL 05149 horná vodiaca lišta 1,7m čierna lesk</t>
  </si>
  <si>
    <t>SEVROLL 05150 horná vodiaca lišta 2,35m černa lesk</t>
  </si>
  <si>
    <t>SEVROLL 05184 horná vodiaca lišta 3m čierna lesk</t>
  </si>
  <si>
    <t>SEVROLL 05294 spojovacia lišta H18 3m čierna lesk</t>
  </si>
  <si>
    <t>SEVROLL 05155 Elegant II spodne vedenie 1,7m čierna lesk</t>
  </si>
  <si>
    <t>SEVROLL Elegant II tor dolny 1,7 m czarny połysk</t>
  </si>
  <si>
    <t>SEVROLL 05157 Elegant II spodné vedenie 3m čierna lesk</t>
  </si>
  <si>
    <t>SEVROLL Elegant II tor dolny 3 m czarny połysk</t>
  </si>
  <si>
    <t>SEVROLL 05158 Elegant II spodné vedenie 4,05m čierna lesk</t>
  </si>
  <si>
    <t>SEVROLL Elegant II tor dolny 4,05 m czarny połysk</t>
  </si>
  <si>
    <t>SEVROLL 05159 Elegant II spodné vedenie 6m čierna lesk</t>
  </si>
  <si>
    <t>SEVROLL 05175 Gemini horné vedenie 1,7m čierna lesk</t>
  </si>
  <si>
    <t>SEVROLL Gemini tor górny 1,7 m czarny połysk</t>
  </si>
  <si>
    <t>SEVROLL 05177 Gemini horné vedenie 3m čierna lesk</t>
  </si>
  <si>
    <t>SEVROLL Gemini tor górny 3 m czarny połysk</t>
  </si>
  <si>
    <t>SEVROLL 05178 Gemini horné vedenie 4,05m čierna lesk</t>
  </si>
  <si>
    <t>SEVROLL Gemini tor górny 4,05 m czarny połysk</t>
  </si>
  <si>
    <t>SEVROLL 05179 Gemini horné vedenie 6m čierna lesk</t>
  </si>
  <si>
    <t>SEVROLL 05167 maska Elegant II 1,7m čierna lesk</t>
  </si>
  <si>
    <t>SEVROLL 05169 maska Elegant II 3m čierna lesk</t>
  </si>
  <si>
    <t>SEVROLL 05170 maska Elegant II 4,05m čierna lesk</t>
  </si>
  <si>
    <t>SEVROLL 05171 maska Elegant II 6m čierna lesk</t>
  </si>
  <si>
    <t>SEVROLL 01508 Single horné vedenie 6m oliva</t>
  </si>
  <si>
    <t>SEVROLL 10230 spodný vozík WD10 V Duo 60kg (2 ks)</t>
  </si>
  <si>
    <t>K-SEVROLL sada kovania pro interiérové dvere Simple 18 Galaxy 50kg brzda + tlmič</t>
  </si>
  <si>
    <t>K-SEVROLL zestaw okuć do drzwi wewnętrznych Simple 18 Galaxy 50kg</t>
  </si>
  <si>
    <t>K-SEVROLL sada kovania pro interiérové dvere Simple 18 Galaxy 50kg  2x tlmič</t>
  </si>
  <si>
    <t>K-SEVROLL zestaw okuć do drzwi wewnętrznych Simple 18 Galaxy 50kg 2xtłumienie</t>
  </si>
  <si>
    <t>SEVROLL 214-380 Herkules plus horné vedenie 1,2m</t>
  </si>
  <si>
    <t>SEVROLL 134-121 Záves dverí 25kg</t>
  </si>
  <si>
    <t>SEVROLL 03889 Gemini horné vedenie 3m biela mat</t>
  </si>
  <si>
    <t>SEVROLL Tor górny Gemini 3 m, biały matowy</t>
  </si>
  <si>
    <t>SEVROLL 04940 spodná krycia lišta Simple/Blue 2m (pre lamino 18mm) biely lesk</t>
  </si>
  <si>
    <t>SEVROLL 04941 spodná krycia lišta Simple/Blue 3m (pre lamino 18mm) biely lesk</t>
  </si>
  <si>
    <t>SEVROLL 04942 horná vodiaca lišta Simple/Blue 2m (pre lamino 18mm) biely lesk</t>
  </si>
  <si>
    <t>SEVROLL 04943 horná vodiaca lišta Simple/Blue 3m (pre lamino 18mm) biely lesk</t>
  </si>
  <si>
    <t>SEVROLL 04929 spojovacia lišta Simple/Blue H21 3m (pre lamino 18mm) biely lesk</t>
  </si>
  <si>
    <t>SEVROLL 04932 spojovacia lišta Simple/Blue H28 3m (pre lamino 18mm) biely lesk</t>
  </si>
  <si>
    <t>SEVROLL 04934 Blue-V spodné vedenie 2m biela lesk</t>
  </si>
  <si>
    <t>SEVROLL 04935 Blue-V spodné vedenie 3m biela lesk</t>
  </si>
  <si>
    <t>SEVROLL 04936 Blue-V spodné vedenie 6m biela lesk</t>
  </si>
  <si>
    <t>SEVROLL 04937 Blue horné vedenie 2m biela lesk</t>
  </si>
  <si>
    <t>SEVROLL 04938 Blue horné vedenie 3m biela lesk</t>
  </si>
  <si>
    <t>SEVROLL 04939 Blue horné vedenie 6m biela lesk</t>
  </si>
  <si>
    <t>SEVROLL 04920-A Lynx úchytová lišta 2,7m strieborná</t>
  </si>
  <si>
    <t>SEVROLL 04920 Lynx Rączka 2,7m srebrna</t>
  </si>
  <si>
    <t>SEVROLL 05153 Alfa II úchytová lišta 18mm 2,7m biela mat</t>
  </si>
  <si>
    <t>SEVROLL 05081 Elegant II spodné vedenie 1,7m biela mat</t>
  </si>
  <si>
    <t>SEVROLL Elegant II tor dolny 1,7 m biały matowy</t>
  </si>
  <si>
    <t>SEVROLL 05160 Elegant II spodné vedenie 2,35m biely mat</t>
  </si>
  <si>
    <t>SEVROLL Elegant II tor dolny 2,35 m biały matowy</t>
  </si>
  <si>
    <t>SEVROLL 05161 Elegant II spodné vedenie 4,05m biela mat</t>
  </si>
  <si>
    <t>SEVROLL Elegant II tor dolny 4,05 m biały matowy</t>
  </si>
  <si>
    <t>SEVROLL 05162 Elegant II spodné vedenie 6m biela mat</t>
  </si>
  <si>
    <t>SEVROLL 40265 Simple šablóna pre vozíky pre lamino 18mm</t>
  </si>
  <si>
    <t>SEVROLL 40265 Prosty szablon do wózków do laminatu 18mm</t>
  </si>
  <si>
    <t>SEVROLL 05307 Fox II úchytová lišta 2,7m čierna mat</t>
  </si>
  <si>
    <t>SEVROLL 10227-SV Eden sada kovania pre dvojo dverí</t>
  </si>
  <si>
    <t>SEVROLL 10226-SV Eden sada kovania pre vnútorné dvere</t>
  </si>
  <si>
    <t>SEVROLL 04715 Eden horné vedenie  1,7m strieborná</t>
  </si>
  <si>
    <t>SEVROLL 04717 Eden horné vedenie 1,7m biela lesk</t>
  </si>
  <si>
    <t>SEVROLL 04716 Eden horné vedenie  2,35m strieborná</t>
  </si>
  <si>
    <t>SEVROLL 04718 Eden horné vedenie 2,35 m biela lesk</t>
  </si>
  <si>
    <t>SEVROLL 04697 Eden horné vedenie  3m strieborná</t>
  </si>
  <si>
    <t>SEVROLL 04698 Eden horné vedenie 3m biela lesk</t>
  </si>
  <si>
    <t>SEVROLL 04728 Eden horné vedenie 6m strieborná</t>
  </si>
  <si>
    <t>SEVROLL 04727 Eden horné vedenie 6m biela lesk</t>
  </si>
  <si>
    <t>SEVROLL 04721 Eden horizontálna lišta 1,7m strieborná</t>
  </si>
  <si>
    <t>SEVROLL 04725 Eden XL horizontálna lišta 1,7m strieborná</t>
  </si>
  <si>
    <t>SEVROLL 04723 Eden XL horizontálna lišta 1,7m biela lesk</t>
  </si>
  <si>
    <t>SEVROLL 04719 Eden horizontálna lišta 1,7m biela lesk</t>
  </si>
  <si>
    <t>SEVROLL 04720 Eden horizontálna lišta 2,35 m biela lesk</t>
  </si>
  <si>
    <t>SEVROLL 04724 Eden XL horizontálna lišta 2,35 m biela lesk</t>
  </si>
  <si>
    <t>SEVROLL 04726 Eden XL horizontálna lišta 2,35m strieborná</t>
  </si>
  <si>
    <t>SEVROLL 04722 Eden horizontálna lišta 2,35m strieborná</t>
  </si>
  <si>
    <t>SEVROLL 04686 Eden horizontálna lišta 3m strieborná</t>
  </si>
  <si>
    <t>SEVROLL 04688 Eden XL horizontálna lišta 3m strieborná</t>
  </si>
  <si>
    <t>SEVROLL 04689 Eden XL horizontálna lišta 3m biela lesk</t>
  </si>
  <si>
    <t>SEVROLL 04687 Eden horizontálna lišta 3m biela lesk</t>
  </si>
  <si>
    <t>SEVROLL 04749 Eden horná krytka 1,1m strieborná</t>
  </si>
  <si>
    <t>SEVROLL Eden górna maskownica 1,1 m srebrna</t>
  </si>
  <si>
    <t>SEVROLL 20265-SV sada kovania pre tlmič Mini</t>
  </si>
  <si>
    <t>SEVROLL komplet okuć do tłumienia Mini</t>
  </si>
  <si>
    <t>SEVROLL 04709 profil maskujący Herakles 3m</t>
  </si>
  <si>
    <t>SEVROLL 50513 Herakles horné vedenie 3m surový</t>
  </si>
  <si>
    <t>SEVROLL 20392 Herakles tlmič 40kg</t>
  </si>
  <si>
    <t>SEVROLL 20392 Amortyzator Herakles 40kg</t>
  </si>
  <si>
    <t>SEVROLL 20393 Herakles tlmič 40 - 80kg</t>
  </si>
  <si>
    <t>SEVROLL 20393 Amortyzator Herakles 40 - 80kg</t>
  </si>
  <si>
    <t>SEVROLL 10216 Herakles sada kovania ZPH-18 pre 1 krídlo</t>
  </si>
  <si>
    <t>SEVROLL 10216 Zestaw okuć Herakles ZPH-18 na 1 skrzydło</t>
  </si>
  <si>
    <t>SEVROLL 10228 držiak horného vedenia Herakles</t>
  </si>
  <si>
    <t>SEVROLL 10066-SV sada kovania ZSE-10</t>
  </si>
  <si>
    <t>MSE-alsó vezetés FFL-hoz 18mm</t>
  </si>
  <si>
    <t>MSE-spodný vozík pre DTD 18mm</t>
  </si>
  <si>
    <t>SEVROLL 05298 úhelník Mini 17x11mm 3m černá mat</t>
  </si>
  <si>
    <t>SEVROLL 05298 szögletvas Mini 17x11mm 3m matt fekete</t>
  </si>
  <si>
    <t>SEVROLL 05298 uholník Mini 17x11mm 3m čierna mat</t>
  </si>
  <si>
    <t>SEVROLL kątownik Mini 17x11 mm 3 m czarny mat</t>
  </si>
  <si>
    <t>SEVROLL 05315 Gemini horné vedenie 3m čierna mat</t>
  </si>
  <si>
    <t>SEVROLL Gemini tor górny 3 m czarny mat</t>
  </si>
  <si>
    <t>SEVROLL 05310 Elegant II spodné vedenie 3m čierna mat</t>
  </si>
  <si>
    <t>SEVROLL Elegant II tor dolny 3 m czarny mat</t>
  </si>
  <si>
    <t>SEVROLL 05305 Alfa II úchytová lišta 18mm 2,7m čierna mat</t>
  </si>
  <si>
    <t>SEVROLL Linea Profil wnętrza 3 m, srebrny</t>
  </si>
  <si>
    <t>SEVROLL Linea Zaślepka do profilu wewnętrznego</t>
  </si>
  <si>
    <t>SEVROLL Linea sada 8 szt kątowników mocujących</t>
  </si>
  <si>
    <t>SEVROLL 04534-A Universal 18 rączka 2,7 m, jasny brąz new</t>
  </si>
  <si>
    <t>SEVROLL 00901-A First horné/spodné vedenie 1,2m oliva new</t>
  </si>
  <si>
    <t>SEVROLL 01008-A Gemini horné vedenie 1,7m oliva new</t>
  </si>
  <si>
    <t>SEVROLL 01010-A Gemini horné vedenie 2,35m oliva new</t>
  </si>
  <si>
    <t>SEVROLL 01011-A Gemini horné vedenie 3m oliva new</t>
  </si>
  <si>
    <t>SEVROLL  01439-A Gemini horné vedenie 4,05m oliva new</t>
  </si>
  <si>
    <t>SEVROLL 00093-A úhelník Mini 17x11mm 1,7m oliva new</t>
  </si>
  <si>
    <t>SEVROLL 00093-A szögletvas Mini 17x11mm 1,7m oliva new</t>
  </si>
  <si>
    <t>SEVROLL 00093-A uholník Mini 17x11mm oliva new 1,7m</t>
  </si>
  <si>
    <t>SEVROLL 00093-A kątownik Mini 17x11mm 1,7m jasny brąz new</t>
  </si>
  <si>
    <t>SEVROLL 00094-A úhelník Mini 17x11mm 2,35m oliva new</t>
  </si>
  <si>
    <t>SEVROLL  00094 -A szögletvas Mini 17x11mm 2,35m oliva new</t>
  </si>
  <si>
    <t>SEVROLL 00094-A uholník Mini 17x11mm 2,35m oliva new</t>
  </si>
  <si>
    <t>SEVROLL 00094-A kątownik Mini 17x11mm 2,35m jasny brąz new</t>
  </si>
  <si>
    <t>SEVROLL 00703-A listwa łącząca "T" 3m jasny brąz new</t>
  </si>
  <si>
    <t>SEVROLL 00155-A maskownica  dolna 3m 10mm jasny brąz new</t>
  </si>
  <si>
    <t>SEVROLL 00153-A maskownica dolna 2,35m 10mm jasny brąz new</t>
  </si>
  <si>
    <t>SEVROLL 00152 maskownica dolna 1,7m 10mm jasny brąz new</t>
  </si>
  <si>
    <t>SEVROLL 02908-A tor górny 1,7m jasny brąz new</t>
  </si>
  <si>
    <t>SEVROLL 02909-A tor górny 2,35m jasny brąz new</t>
  </si>
  <si>
    <t>SEVROLL 02910-A tor górny 3m jasny brąz new</t>
  </si>
  <si>
    <t>SEVROLL 00204-A listwa łącząca H10 3m jasny brąz new</t>
  </si>
  <si>
    <t>SEVROLL 00635-A Tytan rączka 18 mm 2,7 m, jasny brąz new</t>
  </si>
  <si>
    <t>SEVROLL  00219-A spojovacia lišta H30 3m oliva new</t>
  </si>
  <si>
    <t>SEVROLL 00070-A uholník K2 Decor 2,35m oliva new</t>
  </si>
  <si>
    <t>SEVROLL 00070-A kątownik K2 Decor 2,35m jasny brąz new</t>
  </si>
  <si>
    <t>SEVROLL 00071-A uholník K2 Decor 3m oliva new</t>
  </si>
  <si>
    <t>SEVROLL 00071-A kątownik K2 Decor 3m jasny brąz new</t>
  </si>
  <si>
    <t>SEVROLL 00212-A listwa łącząca H18 3m jasny brąz new</t>
  </si>
  <si>
    <t>SEVROLL 01370-A  spojovacia lišta T Decor 3m oliva new</t>
  </si>
  <si>
    <t>SEVROLL 01246-A Single horné vedenie 1,7m oliva new</t>
  </si>
  <si>
    <t>SEVROLL 01248-A Single horné vedenie 3m oliva new</t>
  </si>
  <si>
    <t>SEVROLL 04274-A Elegant II spodné vedenie  2,35m oliva new</t>
  </si>
  <si>
    <t>SEVROLL 04274-A Elegant II tor dolny 2,35m jasny brąz new</t>
  </si>
  <si>
    <t>SEVROLL 04275-A Elegant II spodné vedenie  3m oliva new</t>
  </si>
  <si>
    <t>SEVROLL 04275-A Elegant II tor dolny 3m jasny brąz new</t>
  </si>
  <si>
    <t>SEVROLL 04276-A Elegant II spodné vedenie  4,05m oliva new</t>
  </si>
  <si>
    <t>SEVROLL 04276-A Elegant II tor dolny 4,05m jasny brąz new</t>
  </si>
  <si>
    <t>SEVROLL 02032-A profil "U" pre lamino 16mm 3m oliva new</t>
  </si>
  <si>
    <t>SEVROLL 01711-A listwa łącząca H04 3m jasny brąz new</t>
  </si>
  <si>
    <t>SEVROLL 02292-A Szpros S20 3m jasny brąz new</t>
  </si>
  <si>
    <t>SEVROLL 02690-A Romeo II rączka 2,7m jasny brąz new</t>
  </si>
  <si>
    <t>SEVROLL 04548-A Factor 18 II rączka 2,7m jasny brąz new</t>
  </si>
  <si>
    <t>SEVROLL 04542-A Victoria II fogantyú profil 18mm 2,7m oliva új</t>
  </si>
  <si>
    <t>SEVROLL 02776-A Ergo rączka 2,7m jasny brąz new</t>
  </si>
  <si>
    <t>SEVROLL 03578-M Fala rączka 10mm 2,70m jasny brąz new</t>
  </si>
  <si>
    <t>SEVROLL 03579-M Polo rączka 10mm 2,70m jasny brąz new</t>
  </si>
  <si>
    <t>SEVROLL 04444-M spojovacia lišta Simple/Blue H28 3m (pre lamino 18mm) oliva new</t>
  </si>
  <si>
    <t>SEVROLL 04456-M horná vodiaca lišta Simple/Blue 1,5m (pre lamino 18mm) oliva new</t>
  </si>
  <si>
    <t>SEVROLL 04456-M tor dolny Simple/Blue 1,5m (do płyty lam. 18mm) jasny brąz new</t>
  </si>
  <si>
    <t>SEVROLL 04457-M horná vodiaca lišta Simple/Blue 2m (pre lamino 18mm) oliva new</t>
  </si>
  <si>
    <t>SEVROLL 04457-M tor górny Simple/Blue 2m (do płyty lam. 18mm) jasny brąz new</t>
  </si>
  <si>
    <t>SEVROLL 04448-M spodná krycia lišta Simple/Blue 1,5m (pre lamino 18mm) oliva new</t>
  </si>
  <si>
    <t>SEVROLL 04446-M spojovacia lišta Simple/Blue H21 3m (pre lamino 18mm) oliva new</t>
  </si>
  <si>
    <t>SEVROLL 04586-A Gemini II spodné vedenie  1,7m oliva new</t>
  </si>
  <si>
    <t>SEVROLL 04587-A Gemini II spodné vedenie  2,35m oliva new</t>
  </si>
  <si>
    <t>SEVROLL 04588-A Gemini II spodné vedenie  3m oliva new</t>
  </si>
  <si>
    <t>SEVROLL 04589-A Gemini II spodné vedenie  4,05m oliva new</t>
  </si>
  <si>
    <t>SEVROLL 04590-A Gemini II spodné vedenie  6m oliva new</t>
  </si>
  <si>
    <t>SEVROLL  04297-A zaślepka do toru Elegant II 2,35m jasny brąz new</t>
  </si>
  <si>
    <t>SEVROLL 04273-A Elegant II spodné vedenie  1,7m oliva new</t>
  </si>
  <si>
    <t>SEVROLL 04273-A Elegant II tor dolny 1,7m jasny brąz new</t>
  </si>
  <si>
    <t>SEVROLL 04747-A Rekord rączka 18mm 2,70m brąz new</t>
  </si>
  <si>
    <t>SEVROLL 04298-A zaślepka do toru Elegant II 3m jasny brąz new</t>
  </si>
  <si>
    <t>SEVROLL U profil stalowy 6 m srebrny</t>
  </si>
  <si>
    <t>SEVROLL oldalsó takaró elem Single + finomállító</t>
  </si>
  <si>
    <t>SEVROLL bočná krytka profilu Single+pozic.</t>
  </si>
  <si>
    <t>SEVROLL Zaślepka toru Single z pozycjonerem</t>
  </si>
  <si>
    <t>SEVROLL 10067-SV sada kovania ZSE-10 Plus</t>
  </si>
  <si>
    <t>SEVROLL 10069-SV sada kovania ZSE-18</t>
  </si>
  <si>
    <t>SEVROLL 10068-SV sada kovania ZSE-18 Plus</t>
  </si>
  <si>
    <t>SEVROLL 10084-SV sada kovania ZSE-18 U Plus</t>
  </si>
  <si>
    <t>SEVROLL Alfa II úchytová lišta 100m oliva new (vzorka)</t>
  </si>
  <si>
    <t>SEVROLL 222618 Wilson Držiak tyče</t>
  </si>
  <si>
    <t>SEVROLL 222615 Wilson nosník 2108mm strieborný</t>
  </si>
  <si>
    <t>SEVROLL Wilson wspornik 2108mm srebrny</t>
  </si>
  <si>
    <t>SEVROLL 222616 Wilson konzola 300mm strieborná</t>
  </si>
  <si>
    <t>SEVROLL 222617 Wilson konzola 500mm strieborná</t>
  </si>
  <si>
    <t>SEVROLL 222619 Wilson tyč priemer 25mm 1,2m strieborná</t>
  </si>
  <si>
    <t>SEVROLL 222620 Wilson montažný klip silver</t>
  </si>
  <si>
    <t>SEVROLL  Wilson klips montażowy srebrny</t>
  </si>
  <si>
    <t>SEVROLL 00102 úhelník Mini 17x11mm 1,7m stříbrná</t>
  </si>
  <si>
    <t>SEVROLL 00102 szögletvas Mini 17x11mm 1,7m ezüst</t>
  </si>
  <si>
    <t>SEVROLL 00102 úhelník Mini 17x11mm 1,7m strieborný</t>
  </si>
  <si>
    <t>SEVROLL 50233 Micra felső/alsó vezetés 1,7m nyers</t>
  </si>
  <si>
    <t>SEVROLL 50233 Micra horné/spodné vedenie 1,7m surová</t>
  </si>
  <si>
    <t>SEVROLL Micra tor górny / dolny 1,7 m, surowy</t>
  </si>
  <si>
    <t>SEVROLL20001  csavar 6,3x32 SEVROLL a Simple</t>
  </si>
  <si>
    <t>SEVROLL 20001 skrutkovrut 6,3x32 SEVROLL a Simple</t>
  </si>
  <si>
    <t>SEVROLL blachowkręt 6,3x32 SEVROLL i Simple</t>
  </si>
  <si>
    <t>SEVROLL 20041 csavar 2,5x18mm</t>
  </si>
  <si>
    <t>SEVROLL 20041 skrutka 2,5x18mm polguľatá hlava zinok biely</t>
  </si>
  <si>
    <t>SEVROLL wkręt 2,5x18mm</t>
  </si>
  <si>
    <t>SEVROLL 20080 finomállító HI-TEC alsó görgőhöz</t>
  </si>
  <si>
    <t>SEVROLL 20080 pozicionér spodného vozíka HI-TEC</t>
  </si>
  <si>
    <t>SEVROLL pozycjoner wózka dolnego HI-TEC</t>
  </si>
  <si>
    <t>Sevroll Smart felső görgő</t>
  </si>
  <si>
    <t>Sevroll Smart horný vozík</t>
  </si>
  <si>
    <t>Sevroll Smart wózek górny</t>
  </si>
  <si>
    <t>Sevroll Smart alsó görgő</t>
  </si>
  <si>
    <t>Sevroll Smart spodný vozík</t>
  </si>
  <si>
    <t>Sevroll Smart wózek dolny</t>
  </si>
  <si>
    <t>SEVROLL Exclusive fék gömbölyű alsó</t>
  </si>
  <si>
    <t>SEVROLL 20019 Exclusive brzda guľatá spodná</t>
  </si>
  <si>
    <t>SEVROLL Exclusive odbojnik kulisty</t>
  </si>
  <si>
    <t>SEVROLL 20106 tömítés üvegre 18/4-4,5mm aszimmetrikus</t>
  </si>
  <si>
    <t>SEVROLL 20106 tesnenie na sklo 18/4-4,5mm asymetrické</t>
  </si>
  <si>
    <t>SEVROLL uszczelka bezbarwna 18/4-4,5 mm asymetryczna</t>
  </si>
  <si>
    <t>SEVROLL alsó görgő WD 18C HI-TEC</t>
  </si>
  <si>
    <t>SEVROLL wózek dolny WD 18C HI-TEC</t>
  </si>
  <si>
    <t>SEVROLL20171 tömítés üvegre 10,1/8mm</t>
  </si>
  <si>
    <t>SEVROLL 20171 tesnenie na sklo 10,1/8mm</t>
  </si>
  <si>
    <t>SEVROLL uszczelka do szkła 10,1/8mm</t>
  </si>
  <si>
    <t>SEVROLL tömítés üvegre 18/4mm szimmetrikus</t>
  </si>
  <si>
    <t>SEVROLL 20102 tesnenie na sklo 18/4mm symetrické</t>
  </si>
  <si>
    <t>SEVROLL uszczelka bezbarwna 18/4mm symetryczne</t>
  </si>
  <si>
    <t>SEVROLL tömítés üvegre 18/8mm szimmetrikus</t>
  </si>
  <si>
    <t>SEVROLL 20145 tesnenie na sklo 18/8mm symetrické</t>
  </si>
  <si>
    <t>SEVROLL uszczelka bezbarwna 18/8mm symetryczne</t>
  </si>
  <si>
    <t>SEVROLL tömítés üvegre 10/6,4mm</t>
  </si>
  <si>
    <t>SEVROLL uszczelka bezbarwna 10/6,4mm</t>
  </si>
  <si>
    <t>SEVROLL 20208 fék Hide N és M profilhoz</t>
  </si>
  <si>
    <t>SEVROLL 20208 brzda k lište Hide N a M</t>
  </si>
  <si>
    <t>SEVROLL stoper do torów Hide N i M</t>
  </si>
  <si>
    <t>SEVROLL dorazový kartáč samolepiaci 6,7x4mm šedý</t>
  </si>
  <si>
    <t>SEVROLL szczotka odbojowa z klejem 6,7x4 mm szara</t>
  </si>
  <si>
    <t>SEVROLL 20223 takaró profil alsó vezetésre Simple/Blue átlátszó</t>
  </si>
  <si>
    <t>SEVROLL 20233 záslepka spodného vedenia Simple/Blue priesvitná, guma</t>
  </si>
  <si>
    <t>SEVROLL zaślepka gumowa do toru Simple/Blue przeźroczysta</t>
  </si>
  <si>
    <t>SEVROLL vezető tövis</t>
  </si>
  <si>
    <t>SEVROLL prowadnik 102 N</t>
  </si>
  <si>
    <t>SEVROLL 20223 kapocs támfalas keféhez</t>
  </si>
  <si>
    <t>SEVROLL 20223 spona dorazovej kefky</t>
  </si>
  <si>
    <t>SEVROLL klips do szczotki przeciwkurzowej</t>
  </si>
  <si>
    <t>SEVROLL Simple/Blue finomállító felső görgő-höz</t>
  </si>
  <si>
    <t>SEVROLL 20240 Simple/Blue pozícionér pre horný vozík</t>
  </si>
  <si>
    <t>SEVROLL Simple/Blue pozycjoner wózka górnego</t>
  </si>
  <si>
    <t>SEVROLL 10163 Simple/Blue finomállító alsó görgő-höz</t>
  </si>
  <si>
    <t>SEVROLL 10163 Simple/Blue pozicionér pre spodný vozík</t>
  </si>
  <si>
    <t>SEVROLL Simple/Blue pozycjoner wózka dolnego</t>
  </si>
  <si>
    <t>SEVROLL hordozó elem csillapítóhoz 11027</t>
  </si>
  <si>
    <t>SEVROLL zabierak do tłumienia 11027</t>
  </si>
  <si>
    <t>SEVROLL felső görgő Simple 18mm szimmetrikus J+B</t>
  </si>
  <si>
    <t>SEVROLL wózek górny Simple 18mm symetryczny L+P</t>
  </si>
  <si>
    <t>SEVROLL 20326 Fix Fix finomállító felső görgő-höz transzparens</t>
  </si>
  <si>
    <t>SEVROLL 20326 Fix pozicionér pre horný vozík transparentný</t>
  </si>
  <si>
    <t>SEVROLL Fix pozycjoner wózka górnego transparentny</t>
  </si>
  <si>
    <t>SEVROLL 10231 Micra fék (2db a csomagolásban)</t>
  </si>
  <si>
    <t>SEVROLL Micra stoper (2szt w opakowaniu)</t>
  </si>
  <si>
    <t>SEVROLL 20371 csavar Blue 6,3x45</t>
  </si>
  <si>
    <t>SEVROLL 20371 skrutkovrut Blue 6,3x45</t>
  </si>
  <si>
    <t>SEVROLL blachowkręt Blue 6,3x45</t>
  </si>
  <si>
    <t>SEVROLL alsó görgő Blue C keretes rendszer - 2db</t>
  </si>
  <si>
    <t>SEVROLL 10221 spodný vozík Blue C rámový systém - 2ks</t>
  </si>
  <si>
    <t>SEVROLL wózek dolny Blue C system ramowy - 2 szt.</t>
  </si>
  <si>
    <t>SEVROLL biztonsági fólia 500mm/400m</t>
  </si>
  <si>
    <t>SEVROLL bezpečnostná fólia 500mm/400m</t>
  </si>
  <si>
    <t>SEVROLL folia ochronna 500mm/400m</t>
  </si>
  <si>
    <t>SEVROLL 05747 alsó takaró profil Simple/Blue 2m (RL: 18 mm) fekete matt</t>
  </si>
  <si>
    <t>SEVROLL 05747 spodná krycia lišta Simple/Blue 2m (pre lamino 18mm) čierna mat</t>
  </si>
  <si>
    <t>SEVROLL 05747 dolna maskownica Simple/Blue 2m (do lamina18mm), czarny mat</t>
  </si>
  <si>
    <t>SEVROLL 05748 alsó takaró profil Simple/Blue 3m (RL: 18 mm) fekete matt</t>
  </si>
  <si>
    <t>SEVROLL 05748 spodná krycia lišta Simple/Blue 3m (pre lamino 18mm) čierna mat</t>
  </si>
  <si>
    <t>SEVROLL 05748 maskownica dolna Simple/Blue 3m (do płyty 18mm) czarny mat</t>
  </si>
  <si>
    <t>SEVROLL 05749 felső vezető profil Simple/Blue 2m (RL: 18mm) fekete matt</t>
  </si>
  <si>
    <t>SEVROLL 05749 horná vodiaca lišta Simple/Blue 2m (pre lamino 18mm) čierna mat</t>
  </si>
  <si>
    <t>SEVROLL 05749 górna listwa prowadząca Simple/Blue 2m (do lam. 18mm) czarny mat</t>
  </si>
  <si>
    <t>SEVROLL 05750  felső vezető profil Simple/Blue 3m (RL: 18mm) fekete matt</t>
  </si>
  <si>
    <t>SEVROLL 05750 horná vodiaca lišta Simple/Blue 3m (pre lamino 18mm) čierna mat</t>
  </si>
  <si>
    <t>SEVROLL 05750 tor dolny Simple/Blue 3m (do płyty 18mm) czarny mat</t>
  </si>
  <si>
    <t>SEVROLL 05746 összekötő profil Simple/Blue H21 3m (RL:18mm) fekete matt</t>
  </si>
  <si>
    <t>SEVROLL 05746 spojovacia lišta Simple/Blue H21 3m (pre lamino 18mm) čierna mat</t>
  </si>
  <si>
    <t>SEVROLL 05746 listwa łącząca Simple/Blue H21 3m (do płyty 18mm) czarny mat</t>
  </si>
  <si>
    <t>SEVROLL 05745 Era fogantyú profil 18mm 2,70m fekete matt</t>
  </si>
  <si>
    <t>SEVROLL 05745 Era úchytová lišta 18mm 2,70m čierna mat</t>
  </si>
  <si>
    <t>SEVROLL 05745 Rączka Era 18 mm 2,70 m czarny mat</t>
  </si>
  <si>
    <t>SEVROLL 05909 Rekord fogantyú profil 18mm 2,70m fekete matt</t>
  </si>
  <si>
    <t>SEVROLL 05909 Rekord úchytová lišta 18mm 2,70m čierna mat</t>
  </si>
  <si>
    <t>SEVROLL 05909 Rekord rączka 18mm 2,70m czarny mat</t>
  </si>
  <si>
    <t>SEVROLL 05751 Blue-V alsó vezetés 2m fekete matt</t>
  </si>
  <si>
    <t>SEVROLL 05751 Blue-V spodné vedenie 2m čierna mat</t>
  </si>
  <si>
    <t>SEVROLL 05751 Blue-V tor dolny 2m  czarny mat</t>
  </si>
  <si>
    <t>SEVROLL 05752 Blue-V alsó vezetés 3m fekete matt</t>
  </si>
  <si>
    <t>SEVROLL 05752 Blue-V spodné vedenie 3m čierna mat</t>
  </si>
  <si>
    <t>SEVROLL 05752 Blue-V tor dolny 3m czarny mat</t>
  </si>
  <si>
    <t>SEVROLL 05753 Blue-V alsó vezetés 6m fekete matt</t>
  </si>
  <si>
    <t>SEVROLL 05753 Blue-V spodné vedenie 6m čierna mat</t>
  </si>
  <si>
    <t>SEVROLL 05753 Blue-V tor dolny 6m czarny mat</t>
  </si>
  <si>
    <t>SEVROLL 05754 Blue felső vezetés 2m fekete matt</t>
  </si>
  <si>
    <t>SEVROLL 05754 Blue horné vedenie 2m čierna mat</t>
  </si>
  <si>
    <t>SEVROLL 05754 Blue tor gótny 2m czarny mat</t>
  </si>
  <si>
    <t>SEVROLL 05755 Blue felső vezetés 6m fekete matt</t>
  </si>
  <si>
    <t>SEVROLL 05755 Blue horné vedenie 3m čierna mat</t>
  </si>
  <si>
    <t>SEVROLL 05755 Blue tor górny 3m czarny mat</t>
  </si>
  <si>
    <t>SEVROLL 05756 Blue felső vezetés 3m fekete matt</t>
  </si>
  <si>
    <t>SEVROLL 05756 Blue horné vedenie 6m čierna mat</t>
  </si>
  <si>
    <t>SEVROLL 05756 Blue tor górny 6m czarny mat</t>
  </si>
  <si>
    <t>SEVROLL 05808 Concordia</t>
  </si>
  <si>
    <t>SEVROLL 05809 Concordia</t>
  </si>
  <si>
    <t>SEVROLL szett - Alfa II foganytú profil 2,7m ezüst + Görgő szett</t>
  </si>
  <si>
    <t>SEVROLL szett - Focus II foganytú profil 2,7m ezüst + Görgő szett</t>
  </si>
  <si>
    <t>SEVROLL szett - Alfa II foganytú profil + Vezető sínek + Görgők + Csillapítók</t>
  </si>
  <si>
    <t>SEVROLL szett - Focus II foganytú profil + Vezető sínek + Görgők + Csillapítók</t>
  </si>
  <si>
    <t>SEVROLL 05784 Porto GM 18 úchytová lišta 2,7m stříbrná</t>
  </si>
  <si>
    <t>SEVROLL 05784 Porto GM 18 fogantyú profil 2,7m ezüst</t>
  </si>
  <si>
    <t>SEVROLL 05784 Porto GM 18 úchytová lišta 2,7m strieborn</t>
  </si>
  <si>
    <t>SEVROLL 05784 Porto GM 18 rączka 2,7m srebrny</t>
  </si>
  <si>
    <t>SEVROLL 05785 Porto GM 18 úchytová lišta 3m stříbrná</t>
  </si>
  <si>
    <t>SEVROLL 05785 Porto GM 18 fogantyú profil 3m ezüst</t>
  </si>
  <si>
    <t>SEVROLL 05785 Porto GM 18 úchytová lišta 3m strieborn</t>
  </si>
  <si>
    <t>SEVROLL 05785 Porto GM 18 rączka 3m srebrny</t>
  </si>
  <si>
    <t>SEVROLL 05787 Porto GM 18 úchytová lišta 3m oliva</t>
  </si>
  <si>
    <t>SEVROLL 05787 Porto GM 18 fogantyú profil 2,7m oliva</t>
  </si>
  <si>
    <t>SEVROLL 05787 Porto GM 18 úchytová lišta 2,7m oliva</t>
  </si>
  <si>
    <t>SEVROLL 05787 Porto GM 18 rączka 2,7m j.brąz</t>
  </si>
  <si>
    <t>SEVROLL 05786 Porto GM 18 úchytová lišta 2,7m oliva</t>
  </si>
  <si>
    <t>SEVROLL 05786 Porto GM 18 fogantyú profil 2,7m oliva</t>
  </si>
  <si>
    <t>SEVROLL 05786 Porto GM 18 rączka 2,7m j.brąz</t>
  </si>
  <si>
    <t>SEVROLL 05790 Prosper GM 18 úchytová lišta 2,7m stříbrná</t>
  </si>
  <si>
    <t>SEVROLL 05790 Prosper GM 18 fogókorlát 2,7m ezüst</t>
  </si>
  <si>
    <t>SEVROLL 05790 Prosper GM 18 úch.lišta 2,7m strieborná</t>
  </si>
  <si>
    <t>SEVROLL 05790 Prosper GM 18 rączka 2,7m srebrny</t>
  </si>
  <si>
    <t>SEVROLL 05791 Prosper GM 18 úchytová lišta 2,7m oliva</t>
  </si>
  <si>
    <t>SEVROLL 05791 Prosper GM 18 fogantyú profil 2,7m oliva</t>
  </si>
  <si>
    <t>SEVROLL 05791 Prosper GM 18 úch lišta 2 7m oliva</t>
  </si>
  <si>
    <t>SEVROLL 05791 Prosper GM 18 rączka 2,7 m j.brąz</t>
  </si>
  <si>
    <t>SEVROLL 05788 Arte GM 18 úchytová lišta 2,7m stříbrná</t>
  </si>
  <si>
    <t>SEVROLL 05788 Arte GM 18 fogókorlát 2,7m ezüst</t>
  </si>
  <si>
    <t>SEVROLL 05788 Arte GM 18 úch.lišta 2,7m strieborná</t>
  </si>
  <si>
    <t>SEVROLL 05788 Arte GM 18 rączka 2,7m srebrny</t>
  </si>
  <si>
    <t>SEVROLL 05789 Arte GM 18 úchytová lišta 2,7m oliva</t>
  </si>
  <si>
    <t>SEVROLL 05789 Arte GM 18 fogókorlát 2,7m oliva</t>
  </si>
  <si>
    <t>SEVROLL 05789 Arte GM 18 úch.lišta 2,7m oliva</t>
  </si>
  <si>
    <t>SEVROLL 05789 Arte GM 18 rączka 2,7m j.brąz</t>
  </si>
  <si>
    <t>SEVROLL 05910 Arte GM 18 úchytová lišta 2,7m černá mat</t>
  </si>
  <si>
    <t>SEVROLL 05910 Arte GM 18 fogókorlát 2,7m fekete matt</t>
  </si>
  <si>
    <t>SEVROLL 05910 Arte GM 18 úchytová lišta 2,7m čierna mat</t>
  </si>
  <si>
    <t>SEVROLL 05910 Arte GM 18 rączka 2,7m czarny mat</t>
  </si>
  <si>
    <t>SEVROLL 05903 Focus II 18mm fogantyú profil 2,7m</t>
  </si>
  <si>
    <t>SEVROLL 05903 Focus II 18mm úchytová lišta 2,7m čierna mat</t>
  </si>
  <si>
    <t>SEVROLL 05903 Focus II 18mm rączka 2,7m</t>
  </si>
  <si>
    <t>SEVROLL 05900 Fox II úchytová lišta 2,7m bílá mat</t>
  </si>
  <si>
    <t>SEVROLL 05900 Fox II fogantyú profil 2,7m matt fehér</t>
  </si>
  <si>
    <t>SEVROLL 05900 Fox II úchytová lišta 2,7m biela mat</t>
  </si>
  <si>
    <t>SEVROLL 05900 Fox II rączka 2,7m biały mat</t>
  </si>
  <si>
    <t>SEVROLL 04831 Pax XL úchytová lišta 2,7m černá mat</t>
  </si>
  <si>
    <t>SEVROLL 04831 Pax XL fogantyú profil 2,7m matt fekete</t>
  </si>
  <si>
    <t>SEVROLL 04831 Pax XL úchytová lišta 2,7m čierna mat</t>
  </si>
  <si>
    <t>SEVROLL 04831 Pax XL rączka 2,7m czarny mat</t>
  </si>
  <si>
    <t>SEVROLL 04832 Pax XL úchytová lišta 3m černá mat</t>
  </si>
  <si>
    <t>SEVROLL 04832 Pax XL fogantyú profil 2,7m matt fekete</t>
  </si>
  <si>
    <t>SEVROLL 04832 Pax XL úchytová lišta 3m čierna mat</t>
  </si>
  <si>
    <t>SEVROLL 04832 Pax XL rączka 2,7m czarny mat</t>
  </si>
  <si>
    <t>SEVROLL 04415 Pax XL úchytová lišta 3m stříbrná</t>
  </si>
  <si>
    <t>SEVROLL 04415 Pax XL fogantyú profil 2,7m ezüst</t>
  </si>
  <si>
    <t>SEVROLL 04415 Pax XL rączka 2,7m srebrna</t>
  </si>
  <si>
    <t>SEVROLL 01706 Slim Line II rámová lišta 2,7m oliva</t>
  </si>
  <si>
    <t>SEVROLL 01706 Slim Line II keret profil 2,7m oliva</t>
  </si>
  <si>
    <t>SEVROLL 01706 Slim Line II profil ramowy 2,7 m j.brąz</t>
  </si>
  <si>
    <t>SEVROLL 02549 Secret Line II keret profil 2,7m oliva</t>
  </si>
  <si>
    <t>SEVROLL 02549 Secret Line II profil ramkowy 2,7 m j.brąz</t>
  </si>
  <si>
    <t>SEVROLL 05744 Secret Line II keret profil 2,7m matt fekete</t>
  </si>
  <si>
    <t>SEVROLL 05744 Secret Line II rámová lišta 2,7m čierna mat</t>
  </si>
  <si>
    <t>SEVROLL 05744 Secret Line II profil ramkowy 2,7m czarny mat</t>
  </si>
  <si>
    <t>SEVROLL 05982 Vitara fogantyú profil 2,7m fekete matt</t>
  </si>
  <si>
    <t>SEVROLL 05982 Vitara úchytová lišta 2,7m čierna mat</t>
  </si>
  <si>
    <t>SEVROLL Rączka Vitara 2,7m czarny mat</t>
  </si>
  <si>
    <t>Sevroll 05000 Lux III fogantyú profil 2,7m arany</t>
  </si>
  <si>
    <t>Sevroll 05000 Lux III rączka 2,7m złoty</t>
  </si>
  <si>
    <t>Sevroll 81002 Lux III fogantyú profil 3m ezüst</t>
  </si>
  <si>
    <t>Sevroll 81002 Lux III úchytová lišta 3m strieborná</t>
  </si>
  <si>
    <t>Sevroll 81002 Lux III rączka 3m srebrna</t>
  </si>
  <si>
    <t>SEVROLL 02782 Beta 16 fogantyú profil 2,70m oliva</t>
  </si>
  <si>
    <t>SEVROLL 02782 Beta 16 rączka 2,70 m oliwka</t>
  </si>
  <si>
    <t>SEVROLL Pax XL fogantyú profil 3m matt fehér</t>
  </si>
  <si>
    <t>SEVROLL Pax XL rączka 3m biały polysk</t>
  </si>
  <si>
    <t>Sevroll 85622 Lux III úchytová lišta 3m oliva</t>
  </si>
  <si>
    <t>Sevroll 85622  Lux III fogantyú profil 3m olívazöld</t>
  </si>
  <si>
    <t>Sevroll 85622  Lux III úchytová lišta 3m oliva</t>
  </si>
  <si>
    <t>Sevroll 85622 Lux III rączka 3m jasny brąz</t>
  </si>
  <si>
    <t>Sevroll 05001 Lux III fogantyú profil 3m arany</t>
  </si>
  <si>
    <t>Sevroll 05001 Lux III rączka 3m złoty</t>
  </si>
  <si>
    <t>SEVROLL 02306  dísz profil S10 3m fekete matt</t>
  </si>
  <si>
    <t>SEVROLL 02336 okrasná lišta S10 3m čierna mat</t>
  </si>
  <si>
    <t>SEVROLL 02336 Szpros S10 3m czarny mat</t>
  </si>
  <si>
    <t>SEVROLL 06033 "U" profil rétegelt lemezhez 18mm 3m grafit</t>
  </si>
  <si>
    <t>SEVROLL 06033 profil "U" pre lamino 18mm 3m grafit</t>
  </si>
  <si>
    <t>SEVROLL 06033 profil "U" do płyty laminowanej 18mm 3m grafit</t>
  </si>
  <si>
    <t>SEVROLL 06034 szögletvas Mini 17x11mm 1,7m grafit</t>
  </si>
  <si>
    <t>SEVROLL 06034 uholník Mini 17x11mm 1,7m grafit</t>
  </si>
  <si>
    <t>SEVROLL 06034 kątownik Mini 17x11 mm 1,7 m grafit</t>
  </si>
  <si>
    <t>SEVROLL 06035 szögletvas Mini 17x11mm 2,35m grafit</t>
  </si>
  <si>
    <t>SEVROLL 06035 uholník Mini 17x11mm 2,35m grafit</t>
  </si>
  <si>
    <t>SEVROLL 06035 kątownik Mini 17x11 mm 2,35m grafit</t>
  </si>
  <si>
    <t>SEVROLL 06036 szögletvas Mini 17x11mm 3m grafit</t>
  </si>
  <si>
    <t>SEVROLL 06036 uholník Mini 17x11mm 3m grafit</t>
  </si>
  <si>
    <t>SEVROLL 06036 kątownik Mini 17x11 mm 3 m grafit</t>
  </si>
  <si>
    <t>SEVROLL 06037 alsó takaró profil 1,7m 10mm grafit</t>
  </si>
  <si>
    <t>SEVROLL 06037 spodná krycia lišta 1,7m 10mm grafit</t>
  </si>
  <si>
    <t>SEVROLL 06037 listwa pozioma dolna 1,7m 10mm grafit</t>
  </si>
  <si>
    <t>SEVROLL 06038 alsó takaró profil 2,35m 10mm grafit</t>
  </si>
  <si>
    <t>SEVROLL 06038 spod.krycia lišta 2,35m 10mm grafit</t>
  </si>
  <si>
    <t>SEVROLL 06038 listwa pozioma dolna 2,35m 10mm grafit</t>
  </si>
  <si>
    <t>SEVROLL 05967 alsó takaró profil 3m 10mm grafit</t>
  </si>
  <si>
    <t>SEVROLL 05967 spodná krycia lišta 3m 10mm grafit</t>
  </si>
  <si>
    <t>SEVROLL 05967 listaw pozioma dolna 3m 10mm grafit</t>
  </si>
  <si>
    <t>SEVROLL 06039 felső vezető profil 1,7m grafit</t>
  </si>
  <si>
    <t>SEVROLL 06039 horná vodiaca lišta 1,7m grafit</t>
  </si>
  <si>
    <t>SEVROLL 06039 listwa pozioma górna 1,7m grafit</t>
  </si>
  <si>
    <t>SEVROLL 06040 felső vezető profil 2,35m grafit</t>
  </si>
  <si>
    <t>SEVROLL 06040 horná vod.lišta 2,35m grafit</t>
  </si>
  <si>
    <t>SEVROLL 06040 listwa pozioma górna 2,35m grafit</t>
  </si>
  <si>
    <t>SEVROLL 05966 felső vezető profil 3m grafit</t>
  </si>
  <si>
    <t>SEVROLL 05966 horná vodiaca lišta 3m grafit</t>
  </si>
  <si>
    <t>SEVROLL 05966 listwa pozioma górna 3m grafit</t>
  </si>
  <si>
    <t>SEVROLL 05971 összekötő profil H10 3m grafit</t>
  </si>
  <si>
    <t>SEVROLL 05971 spojovacia lišta H10 3m grafit</t>
  </si>
  <si>
    <t>SEVROLL 05971 listwa łącząca H10 3m grafit</t>
  </si>
  <si>
    <t>SEVROLL 06041 összekötő profil H18 3m grafit</t>
  </si>
  <si>
    <t>SEVROLL 06041 spojovacia lišta H18 3m grafit</t>
  </si>
  <si>
    <t>SEVROLL 06041 listwa łącząca H18 3m grafit</t>
  </si>
  <si>
    <t>SEVROLL 06053 Alfa II profil 18mm 2,7m grafit</t>
  </si>
  <si>
    <t>SEVROLL 06053 Alfa II rączka 18mm 2,7m grafit</t>
  </si>
  <si>
    <t>SEVROLL 06019 Fox II fogantyú profil 2,7m grafit</t>
  </si>
  <si>
    <t>SEVROLL 06019 Fox II úch.lišta 2,7m čierna grafit</t>
  </si>
  <si>
    <t>SEVROLL 06019 Fox II rączka 2,7m grafit</t>
  </si>
  <si>
    <t>SEVROLL 06042 Elegant II alsó vezetés 1,7m grafit</t>
  </si>
  <si>
    <t>SEVROLL 06042 Elegant II spodné vedenie 1,7m grafit</t>
  </si>
  <si>
    <t>SEVROLL 06042 Elegant II tor dolny 1,7 m grafit</t>
  </si>
  <si>
    <t>SEVROLL 06043 Elegant II alsó vezetés 2,35m grafit</t>
  </si>
  <si>
    <t>SEVROLL 06043 Elegant II spodné vedenie 2,35m grafit</t>
  </si>
  <si>
    <t>SEVROLL 06043 Elegant II tor dolny 2,35 m grafit</t>
  </si>
  <si>
    <t>SEVROLL 06020 Elegant II alsó vezetés 3m grafit</t>
  </si>
  <si>
    <t>SEVROLL 06020 Elegant II spodné vedenie 3m grafit</t>
  </si>
  <si>
    <t>SEVROLL 06020 Elegant II tor dolny 3 m grafit</t>
  </si>
  <si>
    <t>SEVROLL 06021 Elegant II alsó vezetés 4,05m grafit</t>
  </si>
  <si>
    <t>SEVROLL 06021 Elegant II spodné vedenie 4,05m grafit</t>
  </si>
  <si>
    <t>SEVROLL 06021 Elegant II tor dolny 4,05 m grafit</t>
  </si>
  <si>
    <t>SEVROLL 06044 Elegant II alsó vezetés 6m grafit</t>
  </si>
  <si>
    <t>SEVROLL 06044 Elegant II spodné vedenie 6m grafit</t>
  </si>
  <si>
    <t>SEVROLL 06044 Elegant II tor dolny 6m grafit</t>
  </si>
  <si>
    <t>SEVROLL 06045 Gemini felső vezetés 1,7m grafit</t>
  </si>
  <si>
    <t>SEVROLL 06045 Gemini horné vedenie 1,7m grafit</t>
  </si>
  <si>
    <t>SEVROLL 06045 Gemini tor górny 1,7 m grafit</t>
  </si>
  <si>
    <t>SEVROLL 06046 Gemini felső vezetés 2,35m grafit</t>
  </si>
  <si>
    <t>SEVROLL 06046 Gemini horné vedenie 2,35m grafit</t>
  </si>
  <si>
    <t>SEVROLL 06046 Gemini tor górny 2,35 m grafit</t>
  </si>
  <si>
    <t>SEVROLL 06022 Gemini felső vezetés 3m grafit</t>
  </si>
  <si>
    <t>SEVROLL 06022 Gemini horné vedenie 3m grafit</t>
  </si>
  <si>
    <t>SEVROLL 06022 Gemini tor górny 3 m grafit</t>
  </si>
  <si>
    <t>SEVROLL 06023 Gemini felső vezetés 4,05m grafit</t>
  </si>
  <si>
    <t>SEVROLL 06023 Gemini horné vedenie  4,05m grafit</t>
  </si>
  <si>
    <t>SEVROLL 06023 Gemini tor górny 4,05 m grafit</t>
  </si>
  <si>
    <t>SEVROLL 06047 Gemini felső vezetés 6m grafit</t>
  </si>
  <si>
    <t>SEVROLL 06047 Gemini horné vedenie 6m grafit</t>
  </si>
  <si>
    <t>SEVROLL 06047 Gemini tor górny 6m grafit</t>
  </si>
  <si>
    <t>SEVROLL 06048 takaró profil Elegant II 1,7m grafit</t>
  </si>
  <si>
    <t>SEVROLL 06048 zaślepka do toru Elegant II 1,7m grafit</t>
  </si>
  <si>
    <t>SEVROLL 06049 takaró profil Elegant II 2,35m grafit</t>
  </si>
  <si>
    <t>SEVROLL 06049 zaślepka do toru Elegant II 2,35m grafit</t>
  </si>
  <si>
    <t>SEVROLL 06050 takaró profil Elegant II 3m grafit</t>
  </si>
  <si>
    <t>SEVROLL 06050 maskownica do toru Elegant II 3m grafit</t>
  </si>
  <si>
    <t>SEVROLL 06051 takaró profil Elegant II 4,05m grafit</t>
  </si>
  <si>
    <t>SEVROLL 06051 zaślepka do toru Elegant II 4,05m grafit</t>
  </si>
  <si>
    <t>SEVROLL 06052 takaró profil Elegant II 6m grafit</t>
  </si>
  <si>
    <t>SEVROLL 06052 maskownica do toru Elegant II 6m grafit</t>
  </si>
  <si>
    <t>SEVROLL 05801 GM 18 alsó takaró profil 1,7m 18mm oliva</t>
  </si>
  <si>
    <t>SEVROLL 05801 GM 18 spodná krycia lišta 1,7m 18mm oliva</t>
  </si>
  <si>
    <t>SEVROLL 05801 GM 18 listwa pozioma dolna 1,7m 18mm srebrny</t>
  </si>
  <si>
    <t>SEVROLL 05913 GM 18 spodní krycí lišta 2,35m 18mm oliva</t>
  </si>
  <si>
    <t>SEVROLL 05913 GM 18 alsó takaró profil 2,35m 18mm oliva</t>
  </si>
  <si>
    <t>SEVROLL 05913 GM 18 spodná krycí lišta 2,35m 18mm</t>
  </si>
  <si>
    <t>SEVROLL 05913 GM 18 listwa pozioma dolna 2,35m, j.brąz</t>
  </si>
  <si>
    <t>SEVROLL 05803 GM 18 alsó takaró profil 3m 18mm oliva</t>
  </si>
  <si>
    <t>SEVROLL 05803 GM 18 spodná krycia lišta 3m 18mm oliva</t>
  </si>
  <si>
    <t>SEVROLL 05803 GM 18 listwa pozioma dolna 3m 18mm, jasny brąz</t>
  </si>
  <si>
    <t>SEVROLL 05912 GM 18 spodní krycí lišta 1,7m 18mm černá mat</t>
  </si>
  <si>
    <t>SEVROLL 05912 GM 18 alsó takaró profil 1,7m 18mm matt fekete</t>
  </si>
  <si>
    <t>SEVROLL 05912 GM 18 spodná krycia lišta 1,7m 18mm čierna mat</t>
  </si>
  <si>
    <t>SEVROLL 05912 GM 18 listwa pozioma dolna 1,7m 18mm czarny mat</t>
  </si>
  <si>
    <t>SEVROLL 05913 GM 18 alsó takaró profil 2,35m 18mm matt fekete</t>
  </si>
  <si>
    <t>SEVROLL 05913 GM 18 spodná krycí lišta 2,35m 18mm čierna mat</t>
  </si>
  <si>
    <t>SEVROLL 05913 GM 18 listwa pozioma dolna 2,35m, czarny mat</t>
  </si>
  <si>
    <t>SEVROLL 05803 GM 18 alsó takaró profil 3m 18mm matt fekete</t>
  </si>
  <si>
    <t>SEVROLL 05803 GM 18 spodná krycia lišta 3m 18mm čierna mat</t>
  </si>
  <si>
    <t>SEVROLL 05803 GM 18 listwa pozioma dolna 3m 18mm, czarny mat</t>
  </si>
  <si>
    <t>SEVROLL 05798 GM 18 spodní krycí lišta 1,7m 18mm stříbrná</t>
  </si>
  <si>
    <t>SEVROLL 05798 GM 18 alsó takaró profil 1,7m 18mm ezüst</t>
  </si>
  <si>
    <t>SEVROLL 05798 GM 18 spodná krycia lišta 1,7m 18mm strieborná</t>
  </si>
  <si>
    <t>SEVROLL 05798 GM 18 maskownica dolna 1,7 m, 18 mm, srebrna</t>
  </si>
  <si>
    <t>SEVROLL 05799 GM 18 spodní krycí lišta 2,35m 18mm stříbrná</t>
  </si>
  <si>
    <t>SEVROLL 05799 GM 18 alsó takaró profil 2,35m 18mm ezüst</t>
  </si>
  <si>
    <t>SEVROLL 05799 GM 18 spod.krycia lišta 2,35m 18mm strieborná</t>
  </si>
  <si>
    <t>SEVROLL 05799 GM 18 maskownica dolna 2,35 m, 18mm srebrna</t>
  </si>
  <si>
    <t>SEVROLL 05800 GM 18 spodní krycí lišta 3m 18mm stříbrná</t>
  </si>
  <si>
    <t>SEVROLL 05800 GM 18 alsó takaró profil 3m 18mm ezüst</t>
  </si>
  <si>
    <t>SEVROLL 05800 GM 18 spod.krycia lišta 3m 18mm strieborná</t>
  </si>
  <si>
    <t>SEVROLL 05800 GM 18 maskownica dolna 3 m, 18mm  srebrna</t>
  </si>
  <si>
    <t>SEVROLL 05795 GM 18 felső vezető profil 1,7m oliva</t>
  </si>
  <si>
    <t>SEVROLL 05795 GM 18 vodiaca lišta 1,7m oliva</t>
  </si>
  <si>
    <t>SEVROLL 05795 GM 18 listwa pozioma górna 1,7m j.brąz</t>
  </si>
  <si>
    <t>SEVROLL 05796 GM 18 vezető profil 2,35m oliva</t>
  </si>
  <si>
    <t>SEVROLL 05796 GM 18 vodiaca lišta 2,35m oliva</t>
  </si>
  <si>
    <t>SEVROLL 05796 GM 18 tor 2,35m, j.brąz</t>
  </si>
  <si>
    <t>SEVROLL 05797 GM 18 horní vodící lišta 3m oliva</t>
  </si>
  <si>
    <t>SEVROLL 05797 GM 18 vezető profil 3m oliva</t>
  </si>
  <si>
    <t>SEVROLL 05797 GM 18 vodiaca lišta 3m oliva</t>
  </si>
  <si>
    <t>SEVROLL 05797 GM 18 listwa pozioma górna 3m, jasny brąz</t>
  </si>
  <si>
    <t>SEVROLL 05918 GM 18 felső vezető profil 1,7m matt fekete</t>
  </si>
  <si>
    <t>SEVROLL 05918 GM 18 vodiaca lišta 1,7m čierna mat</t>
  </si>
  <si>
    <t>SEVROLL 05918 GM 18 listwa pozioma górna 1,7m czarny mat</t>
  </si>
  <si>
    <t>SEVROLL 05919 GM 18 vezető profil 2,35m matt fekete</t>
  </si>
  <si>
    <t>SEVROLL 05919 GM 18 vodiaca lišta 2,35m čierna mat</t>
  </si>
  <si>
    <t>SEVROLL 05919 GM 18 listwa pozioma górna 2,35m, czarny mat</t>
  </si>
  <si>
    <t>SEVROLL 05920 GM 18 vezető profil 3m matt fekete</t>
  </si>
  <si>
    <t>SEVROLL 05920 GM 18 vodiaca lišta 3m čierna mat</t>
  </si>
  <si>
    <t>SEVROLL 05920 GM 18 listwa pozioma górna 3m czarny mat</t>
  </si>
  <si>
    <t>SEVROLL 05792 GM 18 horní vodící lišta 1,7m stříbrná</t>
  </si>
  <si>
    <t>SEVROLL 05792 GM 18 vezető profil 1,7m ezüst</t>
  </si>
  <si>
    <t>SEVROLL 05792 GM 18 vodiaca lišta 1,7m strieborná</t>
  </si>
  <si>
    <t>SEVROLL 05792 GM 18 tor 1,7 m srebrny</t>
  </si>
  <si>
    <t>SEVROLL 05793 GM 18 horní vodící lišta 2,35m stříbrná</t>
  </si>
  <si>
    <t>SEVROLL 05793 GM 18 vezető profil 2,35m ezüst</t>
  </si>
  <si>
    <t>SEVROLL 05793 GM 18 vod. Lišta 2,35m strieborná</t>
  </si>
  <si>
    <t>SEVROLL 05793 GM 18 tor 2,35 m, srebrny</t>
  </si>
  <si>
    <t>SEVROLL 05794 GM 18 horní vodící lišta 3m stříbrná</t>
  </si>
  <si>
    <t>SEVROLL 05794 GM 18 Maxim vezető profil 3m ezüst</t>
  </si>
  <si>
    <t>SEVROLL 05794 GM 18 VOD.LIŠTA 3 M STRIEBORNA</t>
  </si>
  <si>
    <t>SEVROLL 05794 GM 18 Maxim tor 3 m, srebrny</t>
  </si>
  <si>
    <t>SEVROLL 05805 GM 18 összekötő profil H18 3m oliva</t>
  </si>
  <si>
    <t>SEVROLL 05805 GM 18 spojovacia lišta H18 3m oliva</t>
  </si>
  <si>
    <t>SEVROLL 05805 GM 18 listwa łącząca H18 3m jasny brąz</t>
  </si>
  <si>
    <t>SEVROLL 05924 GM 18 összekötő profil H18 3m matt fekete</t>
  </si>
  <si>
    <t>SEVROLL 05924 GM 18 spojovacia lišta H18 3m čierna mat</t>
  </si>
  <si>
    <t>SEVROLL 05924 GM 18 listwa łącząca H18 3m czarny mat</t>
  </si>
  <si>
    <t>SEVROLL 05804 GM 18 összekötő profil H18 3m ezüst</t>
  </si>
  <si>
    <t>SEVROLL 05804 GM 18 SPOJ.LIŠTA H18 3m str.</t>
  </si>
  <si>
    <t>SEVROLL 05804 GM 18 listwa łącząca H18 3m, srebrna</t>
  </si>
  <si>
    <t>SEVROLL 05807 GM 18 összekötő profil H25 3m oliva</t>
  </si>
  <si>
    <t>SEVROLL 05807 GM 18 spojovacia lišta H25 3m oliva</t>
  </si>
  <si>
    <t>SEVROLL 05807 GM 18 listwa łącząca H25 3m jasny brąz</t>
  </si>
  <si>
    <t>SEVROLL 05926 GM 18 összekötő profil H25 3m matt fekete</t>
  </si>
  <si>
    <t>SEVROLL 05926 GM 18 spojovacia lišta H25 3m čierna mat</t>
  </si>
  <si>
    <t>SEVROLL 05926 GM 18 listwa łącząca H25 3m czarny mat</t>
  </si>
  <si>
    <t>SEVROLL 05806 GM 18 összekötő profil H25 3m ezüst</t>
  </si>
  <si>
    <t>SEVROLL 05806 GM 18 SPOJ.LIŠTA H25 3m str.</t>
  </si>
  <si>
    <t>SEVROLL 05806 GM 18 listwa łącząca H25 3m, srebrna</t>
  </si>
  <si>
    <t>SEVROLL 05689 GM 18 board felső görgő 18mm - 2db</t>
  </si>
  <si>
    <t>SEVROLL 05689 GM 18 board horný vozík 18mm - 2ks</t>
  </si>
  <si>
    <t>SEVROLL 05689 GM 18 wózek górny 18mm - 2 szt.</t>
  </si>
  <si>
    <t>SEVROLL 05689 GM 18 felső görgő 18mm - 2db</t>
  </si>
  <si>
    <t>SEVROLL 05689 GM 18 horný vozík 18mm - 2ks</t>
  </si>
  <si>
    <t>SEVROLL 05691 GM 18 felső görgő 18mm - 2db</t>
  </si>
  <si>
    <t>SEVROLL 05691 GM 18 horný vozík 18mm - 2ks</t>
  </si>
  <si>
    <t>SEVROLL 05942 felső vezető profil 1,7m matt fehér</t>
  </si>
  <si>
    <t>SEVROLL 05942 horná vodiaca lišta 1,7m biela mat</t>
  </si>
  <si>
    <t>SEVROLL 05942 listwa pozioma górna 1,7m biały mat</t>
  </si>
  <si>
    <t>SEVROLL 05943 04065 felső vezető profil 2,35m matt fehér</t>
  </si>
  <si>
    <t>SEVROLL 05943 horná vodiaca lišta 2,35m biela mat</t>
  </si>
  <si>
    <t>SEVROLL 05943 listwa pozioma górna 2,35m biały mat</t>
  </si>
  <si>
    <t>SEVROLL 00169 felső vezető profil 3m matt fehér</t>
  </si>
  <si>
    <t>SEVROLL 00169 horná vodiaca lišta 3m biela mat</t>
  </si>
  <si>
    <t>SEVROLL listwa pozioma górna 3m biały mat</t>
  </si>
  <si>
    <t>SEVROLL 05181  összekötő profil H10 3m matt fehér</t>
  </si>
  <si>
    <t>SEVROLL 05181 spojovacia lišta H10 3m biela mat</t>
  </si>
  <si>
    <t>SEVROLL 05181 listwa łącząca H10 3m biały mat</t>
  </si>
  <si>
    <t>SEVROLL 10210 spodní vozík DTD 18mm-2ks+pozicionér</t>
  </si>
  <si>
    <t>SEVROLL alsó görgő DTD 18mm-2db+finomáll.</t>
  </si>
  <si>
    <t>SEVROLL spodný vozík DTD 18mm-2ks+pozicionér</t>
  </si>
  <si>
    <t>SEVROLL wózek dolny DTD 18 mm-2 szt. + pozycjoner</t>
  </si>
  <si>
    <t>SEVROLL vzorník Úchytové lišty 2023 - šanon</t>
  </si>
  <si>
    <t>SEVROLL vzorkovník Úchytkové lišty 2023 - šanon</t>
  </si>
  <si>
    <t>SEVROLL Fogantyúk 2023 - minta</t>
  </si>
  <si>
    <t>SEVROLL wzornik rączek 2023</t>
  </si>
  <si>
    <t>Victoria II</t>
  </si>
  <si>
    <t>Porto GM</t>
  </si>
  <si>
    <t>systém GM 18 (kombinace DTD 18mm a sklo) (rámový)</t>
  </si>
  <si>
    <t>Blue 18 mm (ramowy)</t>
  </si>
  <si>
    <t>GM 18 rendszer (FFL 18mm és üveg kombináció) (keretes)</t>
  </si>
  <si>
    <t>systém GM 18 (kombinácia DTD 18mm a sklo) (rámový)</t>
  </si>
  <si>
    <t>system GM 18 (kombinacja PW 18 mm i szkła) (ramowy)</t>
  </si>
  <si>
    <t>systém GM 18 (kombinace DTD 18mm a sklo) (bezrámový)</t>
  </si>
  <si>
    <t>GM 18 rendszer (FFL 18mm és üveg kombináció) (keret nélküli)</t>
  </si>
  <si>
    <t>systém GM 18 (kombinácia DTD 18mm a sklo) (bezrámovo)</t>
  </si>
  <si>
    <t>system GM 18 (kombinacja PW 18 mm i szkła) (bezramowe)</t>
  </si>
  <si>
    <t>délka těsnění na sklo na jednom křídle</t>
  </si>
  <si>
    <t>úchytová lišta</t>
  </si>
  <si>
    <t>Arte (bezrámový)</t>
  </si>
  <si>
    <t>Arte (keret nélküli)</t>
  </si>
  <si>
    <t>Arte (bezrámovo)</t>
  </si>
  <si>
    <t>Arte (bezramowe)</t>
  </si>
  <si>
    <t>Prosper GM (rámový)</t>
  </si>
  <si>
    <t>Prosper GM (bezrámový)</t>
  </si>
  <si>
    <t>Porto GM (rámový)</t>
  </si>
  <si>
    <t>Porto GM (bezrámový)</t>
  </si>
  <si>
    <t>Era (rámový)</t>
  </si>
  <si>
    <t>Era (bezrámový)</t>
  </si>
  <si>
    <t>Arte (rámový)</t>
  </si>
  <si>
    <t>Prosper GM (keretes)</t>
  </si>
  <si>
    <t>Prosper GM (keret nélküli)</t>
  </si>
  <si>
    <t>Porto GM (keretes)</t>
  </si>
  <si>
    <t>Porto GM (keret nélküli)</t>
  </si>
  <si>
    <t>Era (keretes)</t>
  </si>
  <si>
    <t>Era (keret nélküli)</t>
  </si>
  <si>
    <t>Rekord (keretes)</t>
  </si>
  <si>
    <t>Rekord (keret nélküli)</t>
  </si>
  <si>
    <t>Arte (keretes)</t>
  </si>
  <si>
    <t>Prosper GM (bezrámovo)</t>
  </si>
  <si>
    <t>Porto GM (bezrámovo)</t>
  </si>
  <si>
    <t>Era (bezrámovo)</t>
  </si>
  <si>
    <t>Rekord (bezrámovo)</t>
  </si>
  <si>
    <t>Prosper GM (ramowe)</t>
  </si>
  <si>
    <t>Prosper GM (bezramowe)</t>
  </si>
  <si>
    <t>Porto GM (ramowe)</t>
  </si>
  <si>
    <t>Porto GM (bezramowe)</t>
  </si>
  <si>
    <t>Era (ramowe)</t>
  </si>
  <si>
    <t>Era (bezramowe)</t>
  </si>
  <si>
    <t>Rekord (ramowe)</t>
  </si>
  <si>
    <t>Rekord (bezramowe)</t>
  </si>
  <si>
    <t>Arte (ramowe)</t>
  </si>
  <si>
    <t>Fox II</t>
  </si>
  <si>
    <t>Julia II</t>
  </si>
  <si>
    <t>System 10 II</t>
  </si>
  <si>
    <t>Katalog Kování 2024 str.</t>
  </si>
  <si>
    <t>2024 Bútorvasalat katalógus  old.</t>
  </si>
  <si>
    <t>Katalóg Kovania 2024 str.</t>
  </si>
  <si>
    <t>Katalog Okuć meblowych 2024 str.</t>
  </si>
  <si>
    <t>Lux III</t>
  </si>
  <si>
    <t>Future II</t>
  </si>
  <si>
    <t>SEVROLL 06126 Fox II úchytová lišta 2,7m černá strukturální</t>
  </si>
  <si>
    <t>SEVROLL 06439 Gemini 10 spodní krycí lišta 1,7m 10mm černá strukturální</t>
  </si>
  <si>
    <t>SEVROLL 06440 Gemini 10 spodní krycí lišta 2,35m 10mm černá strukturální</t>
  </si>
  <si>
    <t>SEVROLL 06123 Gemini 10 spodní krycí lišta 3m 10mm černá strukturální</t>
  </si>
  <si>
    <t>SEVROLL 06441 horní vodící lišta 1,7m černá strukturální</t>
  </si>
  <si>
    <t>SEVROLL 06442 horní vodící lišta 2,35m černá strukturální</t>
  </si>
  <si>
    <t>SEVROLL 06124 horní vodící lišta 3m černá strukturální</t>
  </si>
  <si>
    <t>SEVROLL 06125 spojovací lišta H10 3m černá strukturální</t>
  </si>
  <si>
    <t>SEVROLL 06269 Elegant II spodní vedení 1,7m černá strukturální</t>
  </si>
  <si>
    <t>SEVROLL 06270 Elegant II spodní vedení 2,35m černá strukturální</t>
  </si>
  <si>
    <t>SEVROLL 06271 Elegant II spodní vedení 3m černá strukturální</t>
  </si>
  <si>
    <t>SEVROLL 06272 Elegant II spodní vedení 4,05m černá strukturální</t>
  </si>
  <si>
    <t>SEVROLL 06128 Elegant II spodní vedení 6m černá strukturální</t>
  </si>
  <si>
    <t>SEVROLL 06285 Gemini horní vedení 1,7m černá strukturální</t>
  </si>
  <si>
    <t>SEVROLL 06286 Gemini horní vedení 2,35m černá strukturální</t>
  </si>
  <si>
    <t>SEVROLL 06287 Gemini horní vedení 3m černá strukturální</t>
  </si>
  <si>
    <t>SEVROLL 06288 Gemini horní vedení 4,05m černá strukturální</t>
  </si>
  <si>
    <t>SEVROLL 06154 Gemini horní vedení 6m černá strukturální</t>
  </si>
  <si>
    <t>SEVROLL 06301 maska Elegant II 1,7m černá strukturální</t>
  </si>
  <si>
    <t>SEVROLL 06302 maska Elegant II 2,35m černá strukturální</t>
  </si>
  <si>
    <t>SEVROLL 06303 maska Elegant II 3m černá strukturální</t>
  </si>
  <si>
    <t>SEVROLL 06304 maska Elegant II 4,05m černá strukturální</t>
  </si>
  <si>
    <t>SEVROLL 06157 maska Elegant II 6m černá strukturální</t>
  </si>
  <si>
    <t>SEVROLL 06370 Gemini úchytová lišta 2,7m černá strukturální</t>
  </si>
  <si>
    <t>SEVROLL 06438 Alfa II úchytová lišta 16/18mm 2,7m černá strukturální</t>
  </si>
  <si>
    <t>SEVROLL 06434 úhelník Mini 17x11mm 1,7m černá strukturální</t>
  </si>
  <si>
    <t>SEVROLL 06435 úhelník Mini 17x11mm 2,35m černá strukturální</t>
  </si>
  <si>
    <t>SEVROLL 06436 úhelník Mini 17x11mm 3m černá strukturální</t>
  </si>
  <si>
    <t>SEVROLL 06437 spojovací lišta H18 3m černá strukturální</t>
  </si>
  <si>
    <t>SEVROLL 06126 Fox II fogantyú profil 2,7m fekete szerkezeti</t>
  </si>
  <si>
    <t>SEVROLL 06126 Fox II úch.lišta 2,7m čierna štrukturálna</t>
  </si>
  <si>
    <t>SEVROLL 06126 Fox II rączka 2,7m czarny lakier strukturalny</t>
  </si>
  <si>
    <t>SEVROLL 06439 Gemini 10 alsó takaró profil 1,7m 10mm  fekete szerkezeti</t>
  </si>
  <si>
    <t>SEVROLL 06439 Gemini 10 spodná krycia lišta 1,7m 10mm čierna štrukturálna</t>
  </si>
  <si>
    <t>SEVROLL 06439 listwa pozioma dolna 1,7m 10mm czarny lakier strukturalny</t>
  </si>
  <si>
    <t>SEVROLL 06440 Gemini 10alsó takaró profil 2,35m 10mm  fekete szerkezeti</t>
  </si>
  <si>
    <t>SEVROLL 06440 Gemini 10 spodná krycia lišta 2,35m 10mm čierna štrukturálna</t>
  </si>
  <si>
    <t>SEVROLL 06440 listwa pozioma dolna 2,35m 10mm czarny lakier strukturalny</t>
  </si>
  <si>
    <t>SEVROLL 06123 alsó takaró profil 3m 10mm fekete szerkezeti</t>
  </si>
  <si>
    <t>SEVROLL 06123 Gemini 10 spodná krycia lišta 3m 10mm čierna štrukturálna</t>
  </si>
  <si>
    <t>SEVROLL 06123 listaw pozioma dolna 3m 10mm czarny lakier strukturalny</t>
  </si>
  <si>
    <t>SEVROLL 06441  felső vezető profil 1,7m  fekete szerkezeti</t>
  </si>
  <si>
    <t>SEVROLL 06441 horná vodiaca lišta 1,7m čierna štrukturálna</t>
  </si>
  <si>
    <t>SEVROLL 06441 listwa pozioma górna 1,7m czarny lakier strukturalny</t>
  </si>
  <si>
    <t>SEVROLL 06442 felső vezető profil 2,35m fekete szerkezeti</t>
  </si>
  <si>
    <t>SEVROLL 06442 horná vodiaca lišta 2,35m čierna štrukturálna</t>
  </si>
  <si>
    <t>SEVROLL 06442 listwa pozioma górna 2,35m czarny lakier strukturalny</t>
  </si>
  <si>
    <t>SEVROLL 06124  03605 felső vezető profil 3m fekete szerkezeti</t>
  </si>
  <si>
    <t>SEVROLL 06124 horná vodiaca lišta 3m čierna štrukturálna</t>
  </si>
  <si>
    <t>SEVROLL 06124 listwa pozioma górna 3m czarny lakier strukturalny</t>
  </si>
  <si>
    <t>SEVROLL 06125 összekötő profil H10 3m  fekete szerkezeti</t>
  </si>
  <si>
    <t>SEVROLL 06125 spojovacia lišta H10 3m čierna štrukturálna</t>
  </si>
  <si>
    <t>SEVROLL 06125 listwa łącząca H10 3m czarny lakier strukturalny</t>
  </si>
  <si>
    <t>SEVROLL 06269 Elegant II alsó vezetés 1,7m  fekete szerkezeti</t>
  </si>
  <si>
    <t>SEVROLL 06269 Elegant II spodné vedenie 1,7m čierna štrukturálna</t>
  </si>
  <si>
    <t>SEVROLL 06269 Elegant II tor dolny 1,7 m czarny lakier strukturalny</t>
  </si>
  <si>
    <t>SEVROLL 06270  Elegant II alsó vezetés 2,35m fekete szerkezeti</t>
  </si>
  <si>
    <t>SEVROLL 06270 Elegant II spodné vedenie 2,35m čierna štrukturálna</t>
  </si>
  <si>
    <t>SEVROLL 06270 Elegant II tor dolny 2,35 m czarny lakier strukturalny</t>
  </si>
  <si>
    <t>SEVROLL 06271 Elegant II alsó vezetés 3m fekete szerkezeti</t>
  </si>
  <si>
    <t>SEVROLL 06271 Elegant II spodné vedenie 3m čierna štrukturálna</t>
  </si>
  <si>
    <t>SEVROLL 06271 Elegant II tor dolny 3 m czarny lakier strukturalny</t>
  </si>
  <si>
    <t>SEVROLL 06272 Elegant II alsó vezetés 4,05m fekete szerkezeti</t>
  </si>
  <si>
    <t>SEVROLL 06272 Elegant II spodné vedenie 4,05m čierna štrukturálna</t>
  </si>
  <si>
    <t>SEVROLL 06272 Elegant II tor dolny 4,05 m czarny lakier strukturalny</t>
  </si>
  <si>
    <t>SEVROLL 06128 Elegant II alsó vezetés 6m fekete szerkezeti</t>
  </si>
  <si>
    <t>SEVROLL 06128 Elegant II spodné vedenie 6m čierna štrukturálna</t>
  </si>
  <si>
    <t>SEVROLL 06128 Elegant II tor dolny 6m czarny lakier strukturalny</t>
  </si>
  <si>
    <t>SEVROLL 06285 Gemini felső vezetés 1,7m fekete szerkezeti</t>
  </si>
  <si>
    <t>SEVROLL 06285 Gemini horné  vedenie 1,7m čierna štrukturálna</t>
  </si>
  <si>
    <t>SEVROLL 06285 Gemini tor górny 1,7 m czarny lakier strukturalny</t>
  </si>
  <si>
    <t>SEVROLL 06286 Gemini felső vezetés 2,35m  fekete szerkezeti</t>
  </si>
  <si>
    <t>SEVROLL 06286 Gemini horné vedenie 2,35m čierna štrukturálna</t>
  </si>
  <si>
    <t>SEVROLL 06286 Gemini tor górny 2,35 m czarny lakier strukturalny</t>
  </si>
  <si>
    <t>SEVROLL 06287 Gemini felső vezetés 3m fekete szerkezeti</t>
  </si>
  <si>
    <t>SEVROLL 06287 Gemini horné  vedenie 3m čierna štrukturálna</t>
  </si>
  <si>
    <t>SEVROLL 06287 Gemini tor górny 3 m czarny lakier strukturalny</t>
  </si>
  <si>
    <t>SEVROLL 06288  Gemini felső vezetés 4,05m fekete szerkezeti</t>
  </si>
  <si>
    <t>SEVROLL 06288 Gemini horné vedenie  4,05m čierna štrukturálna</t>
  </si>
  <si>
    <t>SEVROLL 06288 Gemini tor górny 4,05 m czarny lakier strukturalny</t>
  </si>
  <si>
    <t>SEVROLL 06154 Gemini felső vezetés 6m fekete szerkezeti</t>
  </si>
  <si>
    <t>SEVROLL 06154 Gemini horné vedenie 6m čierna štrukturálna</t>
  </si>
  <si>
    <t>SEVROLL 06154 Gemini tor górny 6m czarny lakier strukturalny</t>
  </si>
  <si>
    <t>SEVROLL 06301 takaró profil Elegant II 1,7m  fekete szerkezeti</t>
  </si>
  <si>
    <t>SEVROLL 06301 maska Elegant II 1,7m čierna štrukturálna</t>
  </si>
  <si>
    <t>SEVROLL 06301 zaślepka do toru Elegant II 1,7m czarny lakier strukturalny</t>
  </si>
  <si>
    <t>SEVROLL 06302 takaró profil Elegant II 2,35m  fekete szerkezeti</t>
  </si>
  <si>
    <t>SEVROLL 06302 maska Elegant II 2,35m čierna štrukturálna</t>
  </si>
  <si>
    <t>SEVROLL 06302 zaślepka do toru Elegant II 2,35m czarny lakier strukturalny</t>
  </si>
  <si>
    <t>SEVROLL 06303 takaró profil Elegant II 3m fekete szerkezeti</t>
  </si>
  <si>
    <t>SEVROLL 06303 maska Elegant II 3m čierna štrukturálna</t>
  </si>
  <si>
    <t>SEVROLL 06303 maskownica do toru Elegant II 3m czarny lakier strukturalny</t>
  </si>
  <si>
    <t>SEVROLL 06304 takaró profil Elegant II 4,05m fekete szerkezeti</t>
  </si>
  <si>
    <t>SEVROLL 06304 maska Elegant II 4,05m čierna štrukturálna</t>
  </si>
  <si>
    <t>SEVROLL 06304 zaślepka do toru Elegant II 4,05m czarny lakier strukturalny</t>
  </si>
  <si>
    <t>SEVROLL 06157 takaró profil Elegant II 6m matt fekete szerkezeti</t>
  </si>
  <si>
    <t>SEVROLL 06157 maska Elegant II 6m čierna štrukturálna</t>
  </si>
  <si>
    <t>SEVROLL 06157 maskownica do toru Elegant II 6m czarny lakier strukturalny</t>
  </si>
  <si>
    <t>SEVROLL 06370 Gemini fogantyú profil 2,7m fekete szerkezeti</t>
  </si>
  <si>
    <t>SEVROLL 06370 Gemini úchytová lišta 2,7m čierna štrukturálna</t>
  </si>
  <si>
    <t>SEVROLL 06370 Gemini rączka 2,7m czarny lakier strukturalny</t>
  </si>
  <si>
    <t>SEVROLL 06438 Alfa II profil 16/18mm 2,7m fekete szerkezeti</t>
  </si>
  <si>
    <t>SEVROLL 06438 Alfa II úchytková lišta 16/18mm 2,7m čierna štrukturálna</t>
  </si>
  <si>
    <t>SEVROLL 06438 Alfa II rączka 16/18mm 2,7m czarny lakier strukturalny</t>
  </si>
  <si>
    <t>SEVROLL 06434 szögletvas Mini 17x11mm 1,7m fekete szerkezeti</t>
  </si>
  <si>
    <t>SEVROLL 06434 uholník Mini 17x11mm 1,7m čierna štrukturálna</t>
  </si>
  <si>
    <t>SEVROLL 06434 kątownik Mini 17x11mm, 1,7 m czarny lakier strukturalny</t>
  </si>
  <si>
    <t>SEVROLL 06435 szögletvas 17x11mm 2,35m fekete szerkezeti</t>
  </si>
  <si>
    <t>SEVROLL 06435 uholník17x11mm 2,35m čierna štrukturálna</t>
  </si>
  <si>
    <t>SEVROLL 06435 kątownik Mini 17x11mm 2,35m czarny lakier strukturalny</t>
  </si>
  <si>
    <t>SEVROLL 06436 szögletvas Mini 17x11mm 3m fekete szerkezeti</t>
  </si>
  <si>
    <t>SEVROLL 06436 uholník Mini 17x11mm 3m čierna štrukturálna</t>
  </si>
  <si>
    <t>SEVROLL 06436 kątownik Mini 17x11 mm 3m czarny lakier strukturalny</t>
  </si>
  <si>
    <t>SEVROLL 06437 összekötő profil H18 3m fekete szerkezeti</t>
  </si>
  <si>
    <t>SEVROLL 06437 spojovacia  lišta H18 3m čierna štrukturálna</t>
  </si>
  <si>
    <t>SEVROLL 06437 listwa łącząca H18 3m czarny lakier strukturalny</t>
  </si>
  <si>
    <t>černá strukturální</t>
  </si>
  <si>
    <t>fekete szerkezeti</t>
  </si>
  <si>
    <t>czarny lakier strukturalny</t>
  </si>
  <si>
    <t>čierna štrukturálna</t>
  </si>
  <si>
    <t>A szárny maximális szélessége 1 100 mm lehet!!!</t>
  </si>
  <si>
    <t>2201 - 3300</t>
  </si>
  <si>
    <t>3301 - 4400</t>
  </si>
  <si>
    <t>dvě_křídla</t>
  </si>
  <si>
    <t>tři_křídla</t>
  </si>
  <si>
    <t>čtyři_křídla</t>
  </si>
  <si>
    <t>pět_křídel</t>
  </si>
  <si>
    <t>0 - 2200</t>
  </si>
  <si>
    <t>4401 - 5500</t>
  </si>
  <si>
    <t>5501 - 6000</t>
  </si>
  <si>
    <t>šest_křídel</t>
  </si>
  <si>
    <t>délka úchytového profilu (+ 2 mm )</t>
  </si>
  <si>
    <t>fogantyú profil hossza (+2mm)</t>
  </si>
  <si>
    <t>dĺžka úchytkového profilu (+2 mm)</t>
  </si>
  <si>
    <t>długość rączki (+ 2 mm )</t>
  </si>
  <si>
    <t>horní profil:</t>
  </si>
  <si>
    <t>felső profil</t>
  </si>
  <si>
    <t>horný profil:</t>
  </si>
  <si>
    <t>tor górny:</t>
  </si>
  <si>
    <t>spojovací profil H08/18 - 3metry</t>
  </si>
  <si>
    <t>Összekötő profil H08/18- 3 m</t>
  </si>
  <si>
    <t>spojovací profil H08/18 - 3 metre</t>
  </si>
  <si>
    <t>profil łączący H08/18 - 3metry</t>
  </si>
  <si>
    <t>IF-krytka nalepovací 13mm 20ks 06 oliva metalíza</t>
  </si>
  <si>
    <t>IF-ragasztott csavar takaró.13mm 20db 06 oliva metál</t>
  </si>
  <si>
    <t>IF-krytka nalepovacia13mm 20ks 06 oliva</t>
  </si>
  <si>
    <t>IF-nakładka samoprzylepna 13mm 20szt. 06 oliwkowy metalik</t>
  </si>
  <si>
    <t>ANB-bezpečnostní fólie 200mm/250m transparentní</t>
  </si>
  <si>
    <t>ANB-biztonsági fólia 200mm/250m transzparens</t>
  </si>
  <si>
    <t>ANB-bezp.fólia 200mm/250m transparentná</t>
  </si>
  <si>
    <t>ANB-folia ochronna 200mm/250m transparentna</t>
  </si>
  <si>
    <t>ANB-bezpečnostní fólie 250mm/250m transparentní</t>
  </si>
  <si>
    <t>ANB-biztonsági fólia 250mm/250m transzparens</t>
  </si>
  <si>
    <t>ANB-folia ochronna 250mm/250m transparentna</t>
  </si>
  <si>
    <t>ANB-bezpečnostní fólie 300mm/250m transparentní</t>
  </si>
  <si>
    <t>ANB-biztonsági fólia 300mm/250m transzparens</t>
  </si>
  <si>
    <t>ANB-bezp.fólia 300mm/250m transparentná</t>
  </si>
  <si>
    <t>ANB-folia ochronna 300mm/250m transparentna</t>
  </si>
  <si>
    <t>ANB-bezpečnostní fólie 400mm/250m transparentní</t>
  </si>
  <si>
    <t>ANB-biztonsági fólia 400mm/250m transzparens</t>
  </si>
  <si>
    <t>ANB-bezp.fólia 400transparentná</t>
  </si>
  <si>
    <t>ANB-folia ochronna 400mm/250m transparentna</t>
  </si>
  <si>
    <t>ANB-bezpečnostní fólie 500mm/250m transparentní</t>
  </si>
  <si>
    <t>ANB-biztonsági fólia 500mm/250m transzparens</t>
  </si>
  <si>
    <t>ANB-bezp.fólia 500mm/250m transparentná</t>
  </si>
  <si>
    <t>ANB-folia ochronna 500mm/250m transparentna</t>
  </si>
  <si>
    <t>SEVROLL 16377 vzorník Úchytkové lišty 2019 - šanon</t>
  </si>
  <si>
    <t>SEVROLL mintavevő Fogantyúk 2019 - iratgyűjtő</t>
  </si>
  <si>
    <t>SEVROLL vzorkovník Úchytkové lišty 2019 - šanon</t>
  </si>
  <si>
    <t>SEVROLL 16377 wzornik rączek 2019</t>
  </si>
  <si>
    <t>OKE-kartáč dorazový samolepící 6,7x4mm bílý</t>
  </si>
  <si>
    <t>OKE-támfalas kefe öntapadó 6,7x4mm fehér</t>
  </si>
  <si>
    <t>OKE-kartáč dorazový samolepiací 6,7x4mm bielý</t>
  </si>
  <si>
    <t>OKE-szczotka odbojowa samoprzylepna 6,7x4 mm biała</t>
  </si>
  <si>
    <t>OKE-kartáč dorazový samolepící 6,7x12mm bílý</t>
  </si>
  <si>
    <t>OKE-támfalas kefe öntapadó 6,7x12mm fehér</t>
  </si>
  <si>
    <t>OKE- kartáč dorazový samolepsiaci 6,7x12mm biely</t>
  </si>
  <si>
    <t>OKE-szczotka odbojowa samoprzylepna 6,7x12 mm, biała</t>
  </si>
  <si>
    <t>OKE-kartáč dorazový samolepící 6,7x3mm šedý</t>
  </si>
  <si>
    <t>OKE-öntapadó, támfalas kefe 6,7x3mm szürke</t>
  </si>
  <si>
    <t>OKE-kartáč dorazový samolepiaci 6,7x3mm šedý</t>
  </si>
  <si>
    <t>OKE-szczoteczka odbojowa samoprzylepna 6,7x3mm szara</t>
  </si>
  <si>
    <t>OKE-kartáč dorazový samolepící 6,7x5mm šedý</t>
  </si>
  <si>
    <t>OKE-öntapadó, támfalas kefe 6,7x5mm szürke</t>
  </si>
  <si>
    <t>OKE-kartáč dorazový samolepiaci 6,7x5mm šedý</t>
  </si>
  <si>
    <t>OKE-szczoteczka odbojowa samoprzylepna 6,7x5mm szara</t>
  </si>
  <si>
    <t>IC-úchytová lišta Rome 10mm alu EU 5,3m stříbrná</t>
  </si>
  <si>
    <t>IC-fogantyú profil Rome 10mm alu EU 5,3m ezüst</t>
  </si>
  <si>
    <t>IC-úch.lišta Rome 10mm alu EU 5,3m,strieborna</t>
  </si>
  <si>
    <t>IC-rączka Rome 10mm alu EU 5,3m srebrna</t>
  </si>
  <si>
    <t>S-Softclose S30/S42 Slidix T25</t>
  </si>
  <si>
    <t>S-kartáč protiprachový vysoký 4,8x12mm šedý</t>
  </si>
  <si>
    <t>S-porfogó kefe magas 4,8x12mm szürke</t>
  </si>
  <si>
    <t>S-kefa protiprachová vysoká 4,8x12mm sivá</t>
  </si>
  <si>
    <t>S-szcotka przezciwkurzowa wysoka 4,8x12mm szary</t>
  </si>
  <si>
    <t>IC-10mm lišta svislá široká Classic arktická stříbrná</t>
  </si>
  <si>
    <t>IC-10mm profil függőleges széles Classic sarkvidéki ezüst</t>
  </si>
  <si>
    <t>IC-10mm lišta zvislá široká Classic arktická strieborná</t>
  </si>
  <si>
    <t>IC-10mm Profil pionowy szeroki Classic arktyczny srebrny</t>
  </si>
  <si>
    <t>IC-kolejnička horní arktická stříbrná 2m</t>
  </si>
  <si>
    <t>IC-sín felső sarkvidéki ezüst 2m</t>
  </si>
  <si>
    <t>IC-koľajnička horná arktická strieborná 2m</t>
  </si>
  <si>
    <t>IC-tor górny arktyczny srebrny 2m</t>
  </si>
  <si>
    <t>IC-kolejnička dolní arktická stříbrná 2m</t>
  </si>
  <si>
    <t>IC-sín alsó sarkvidéki ezüst 2m</t>
  </si>
  <si>
    <t>IC-koľajnička dolná arktická strieborná 2m</t>
  </si>
  <si>
    <t>IC-tor dolny arktyczny srebrny 2m</t>
  </si>
  <si>
    <t>IC-10mm lišta svislá standard bílá 2,75m</t>
  </si>
  <si>
    <t>IC-10mm profil függőleges standard fehér 2,75m</t>
  </si>
  <si>
    <t>IC-10mm lišta zvislá štandard biela 2,75m</t>
  </si>
  <si>
    <t>IC-10 mm Profil pionowy standard, biały, 2,75 m</t>
  </si>
  <si>
    <t>IC-kolejnička horní bílá 2m</t>
  </si>
  <si>
    <t>IC-sín felső fehér 2m</t>
  </si>
  <si>
    <t>IC- kolajnička horná biela 2m</t>
  </si>
  <si>
    <t>IC-tor górny biały 2m</t>
  </si>
  <si>
    <t>IC-kolejnička spodní bílá 2m</t>
  </si>
  <si>
    <t>IC-sín alsó fehér 2m</t>
  </si>
  <si>
    <t>IC- kolajnička spodná biela 2m</t>
  </si>
  <si>
    <t>IC-tor dolny biały 2m</t>
  </si>
  <si>
    <t>IC-10mm lišta vodící bílá 2,4m</t>
  </si>
  <si>
    <t>IC-10mm vezető profil fehér 2,4m</t>
  </si>
  <si>
    <t>IC-10mm lišta vodiaca biela 2,4m</t>
  </si>
  <si>
    <t>IC-10 mm Profil prowadzący, biały, 2,4 m</t>
  </si>
  <si>
    <t>IC-10mm delící profil bílá 2,75m</t>
  </si>
  <si>
    <t>IC-10mm osztó profil fehér 2,75 m</t>
  </si>
  <si>
    <t>IC-10mm deliaci profil biela 2,75 m</t>
  </si>
  <si>
    <t>IC-10mm profil dzielący biały 2,75m</t>
  </si>
  <si>
    <t>IC-polohovač posuvných dveří transparentní</t>
  </si>
  <si>
    <t>IC-tolóajtó pozicionáló transzparens</t>
  </si>
  <si>
    <t>IC-polohovač posuvných dverí transparentný</t>
  </si>
  <si>
    <t>IC-pozycjoner do drzwi przesuwnych transparentny</t>
  </si>
  <si>
    <t>HAWA 061.3070.371 Eku-Forte 480mm, RAL 7035, nosnost 170 kg</t>
  </si>
  <si>
    <t>HAWA 061.3070.371 Eku-Forte 480mm, RAL 7035, teherbírása 170 kg</t>
  </si>
  <si>
    <t>HAWA 061.3070.371 Eku-Forte 480mm, RAL 7035, nosnosť 170 kg</t>
  </si>
  <si>
    <t>HAWA 061.3070.371 Eku-Forte 480mm, RAL 7035, nośność 170 kg</t>
  </si>
  <si>
    <t>IC-4mm lišta svislá Standard javor UP 2,75m</t>
  </si>
  <si>
    <t>IC-4mm profil függőleges Standard jávor UP 2,75m</t>
  </si>
  <si>
    <t>IC-4mm lišta zvislá Standard javor UP 2,75m</t>
  </si>
  <si>
    <t>IC-4mm Profil pionowy Standard klon UP 2,75m</t>
  </si>
  <si>
    <t>IC-lišta Standard 10mm javor UP 2,75m</t>
  </si>
  <si>
    <t>IC-profil Standard 10mm jávor UP 2,75m</t>
  </si>
  <si>
    <t>IC-Profil Standard 10 mm klon UP 2,75 m</t>
  </si>
  <si>
    <t>IC-horní vedení javor 2m</t>
  </si>
  <si>
    <t>IC-felső vezetés jávor 2m</t>
  </si>
  <si>
    <t>IC-horné vedenie javor 2m</t>
  </si>
  <si>
    <t>IC-tor górny klon 2m</t>
  </si>
  <si>
    <t>IC-spodní vedení javor 2m</t>
  </si>
  <si>
    <t>IC-alsó vezetés jávor 2m</t>
  </si>
  <si>
    <t>IC-spodné vedenie javor 2m</t>
  </si>
  <si>
    <t>IC-tor dolny koln 2m</t>
  </si>
  <si>
    <t>IC-10mm vodorovná lišta javor 2,4m</t>
  </si>
  <si>
    <t>IC-10mm vízszintes profil jávor 2,4m</t>
  </si>
  <si>
    <t>IC-10mm Profil poziomy klon 2,4m</t>
  </si>
  <si>
    <t>IC-4mm vodorovná lišta javor 2,4m</t>
  </si>
  <si>
    <t>IC-4mm vízszintes profil jávor 2,4m</t>
  </si>
  <si>
    <t>IC-4mm Profil poziomy klon 2,4m</t>
  </si>
  <si>
    <t>IC-10mm lišta svislá široká Classic buk</t>
  </si>
  <si>
    <t>IC-10mm profil függőleges széles Classic bükk</t>
  </si>
  <si>
    <t>IC-10mm lišta zvislá široká Classic buk</t>
  </si>
  <si>
    <t>IC-10mm Profil pionowy szeroki Classic buk</t>
  </si>
  <si>
    <t>IC-kolejnička horní buk 3m</t>
  </si>
  <si>
    <t>IC-sín felső bükk 3m</t>
  </si>
  <si>
    <t>IC-kolejnička horná buk 3m</t>
  </si>
  <si>
    <t>IC-tor górny buk 3m</t>
  </si>
  <si>
    <t>IC-kolejnička spodní buk 3m</t>
  </si>
  <si>
    <t>IC-sín alsó bükk 3m</t>
  </si>
  <si>
    <t>IC-kolejnička spodná buk 3m</t>
  </si>
  <si>
    <t>IC-tor dolny buk 3m</t>
  </si>
  <si>
    <t>IC-10mm vodorovná lišta buk 2,4m</t>
  </si>
  <si>
    <t>IC-10mm vízszintes profil bükk 2,4m</t>
  </si>
  <si>
    <t>IC-10mm Profil poziomy buk 2,4m</t>
  </si>
  <si>
    <t>S-Softclose S36 Slidix T25</t>
  </si>
  <si>
    <t>S-Softclose S36 Slidix T40</t>
  </si>
  <si>
    <t>S-narážecí profil 28mm 3,5m stříbrný</t>
  </si>
  <si>
    <t>S-rápattintható profil 28mm 3,5m ezüst</t>
  </si>
  <si>
    <t>S-narážací profil 28mm 3,5m strieborný</t>
  </si>
  <si>
    <t>S-S45 horní vodící profil 2,5m stříbrný</t>
  </si>
  <si>
    <t>S-S45 felső vezető profil 2,5m ezüst</t>
  </si>
  <si>
    <t>S-S45 horný vodiaci profil 2,5m strieborný</t>
  </si>
  <si>
    <t>S-S45 górny profil prowadzący 2,5m, srebrny</t>
  </si>
  <si>
    <t>S-profil S30/45 spodní elox 2,5m</t>
  </si>
  <si>
    <t>S-profil S30/45 alsó elox 2,5m</t>
  </si>
  <si>
    <t>S-profil S30/45 spodný elox 2,5m</t>
  </si>
  <si>
    <t>S-profil S30/45 dolny elox 2,5m</t>
  </si>
  <si>
    <t>S-Slidix T40 tlumení k sadě S45 přední</t>
  </si>
  <si>
    <t>S-Slidix T40 csillapító S45 szetthez elülső</t>
  </si>
  <si>
    <t>S-Slidix T40 tlmenie k sade S45 predné</t>
  </si>
  <si>
    <t>S-Slidix T40 tłumienie do kompletu S45 przednie</t>
  </si>
  <si>
    <t>S-Slidix T40 tlumení k sadě S45 zadní</t>
  </si>
  <si>
    <t>S-Slidix T40 csillapító S45 szetthez hátsó</t>
  </si>
  <si>
    <t>S-Slidix T40 tlmenie k sade S45 chrbtovné</t>
  </si>
  <si>
    <t>S-Slidix T40 tłumienie do kompletu S45 tylne</t>
  </si>
  <si>
    <t>TWIN napínací výztuha 2090mm</t>
  </si>
  <si>
    <t>TWIN feszítő merevítő 2090mm</t>
  </si>
  <si>
    <t>TWIN napínacia vzpera 2090mm</t>
  </si>
  <si>
    <t>TWIN wzmocnienie 2090mm</t>
  </si>
  <si>
    <t>S-S50 horní lišta alu elox 2m</t>
  </si>
  <si>
    <t>S-S50 felső profil alu elox 2m</t>
  </si>
  <si>
    <t>S-S50 horná lišta alu elox 2m</t>
  </si>
  <si>
    <t>S-S50 górna listwa alu elox 2m</t>
  </si>
  <si>
    <t>S-S50 lišta dolní alu elox 2m</t>
  </si>
  <si>
    <t>S-S50 alsó profil alu elox 2m</t>
  </si>
  <si>
    <t>S-S50 lišta dolná alu elox 2m</t>
  </si>
  <si>
    <t>S-S50 dolna listwa alu elox 2m</t>
  </si>
  <si>
    <t>S-U profil pro lamino 18mm 3m stříbrný</t>
  </si>
  <si>
    <t>S-U profil 18 mm-es rétegelt lemezre 3m ezüst</t>
  </si>
  <si>
    <t>S-U profil pro DTD 18mm 3m strieborný</t>
  </si>
  <si>
    <t>S-U profil do laminatu 18mm 3m srebrny</t>
  </si>
  <si>
    <t>S-S65 horní a střední profil 4/18mm 1,5m stříbrný</t>
  </si>
  <si>
    <t>S-S65 felső és középső profil 4/18mm 1,5m ezüst</t>
  </si>
  <si>
    <t>S-S65 horný a stredná profil 4/18mm 1,5m strieborný</t>
  </si>
  <si>
    <t>S-dělící profil "H" 2m stříbrný</t>
  </si>
  <si>
    <t>S-osztó profil "H" 2m ezüst</t>
  </si>
  <si>
    <t>S-deliací profil "H" 2m strieborný</t>
  </si>
  <si>
    <t>HAWA 053.3161.071 Eku Porta Glas posuvné interiérové kování držák skla</t>
  </si>
  <si>
    <t>HAWA 053.3161.071 Eku Porta Glas</t>
  </si>
  <si>
    <t>HAWA 053.3161.071 Eku Porta Glas posuvné interiérové kovanie držiak skla</t>
  </si>
  <si>
    <t>Vozík ke kování 1401 včetně plotničky a vrutů</t>
  </si>
  <si>
    <t>Görgő 1401 vasalathoz lemezzel és csavarokkal</t>
  </si>
  <si>
    <t>Vozík ku kovaniu 1401 vrátane plotničky a vrutov</t>
  </si>
  <si>
    <t>Wózek do okuć 1401 razem z płytką i wkrętami</t>
  </si>
  <si>
    <t>S-kartáč dorazový nízký 6,2x5mm šedý</t>
  </si>
  <si>
    <t>S-támfalas kefe alacsony 6,2x5mm szürke</t>
  </si>
  <si>
    <t>S-kartáč dorazový nízky 6,2x5mm šedý</t>
  </si>
  <si>
    <t>S-szczotka odbojowa niska 6,2x5 mm szary</t>
  </si>
  <si>
    <t>S-S06N krycí profil 2,5m stříbrný</t>
  </si>
  <si>
    <t>S-S06N takaró profil 2,5m ezüst</t>
  </si>
  <si>
    <t>S-S06NN krycí profil alu 2,5m strieb</t>
  </si>
  <si>
    <t>S-S06N profl maskujący 2,5m srebrny</t>
  </si>
  <si>
    <t>S-S06N krycí profil 3m stříbrný</t>
  </si>
  <si>
    <t>S-S06N takaró profil 3m ezüst</t>
  </si>
  <si>
    <t>S-S06NN krycí profil alu 3m strieb</t>
  </si>
  <si>
    <t>S-S06N profl maskujący 3m srebrny</t>
  </si>
  <si>
    <t>S-S06NN dolní vodící profil 2,5m stříbrný</t>
  </si>
  <si>
    <t>S-S06NN alsó vezető profil 2,5m ezüst</t>
  </si>
  <si>
    <t>S-SALU06 NN-dolný vodiaci profil 2,5 str</t>
  </si>
  <si>
    <t>S-S06NN dolny profil prowadzący 2,5m srebrny</t>
  </si>
  <si>
    <t>S-S06NN dolní vodící profil 3m stříbrný</t>
  </si>
  <si>
    <t>S-S06NN alsó vezető profil 3m ezüst</t>
  </si>
  <si>
    <t>S-SALU06 NN-dolný vodiaci profil 3m str.</t>
  </si>
  <si>
    <t>S-S06NN dolny profil prowadzący 3m srebrny</t>
  </si>
  <si>
    <t>S-brzda pro S06N/S06NN</t>
  </si>
  <si>
    <t>S-fék S06N/S06NN-hez</t>
  </si>
  <si>
    <t>S-brzda pre S06N/S06NN</t>
  </si>
  <si>
    <t>S-hamulec do S06N/S06NN</t>
  </si>
  <si>
    <t>S-S35C spodní vozík</t>
  </si>
  <si>
    <t>S-S35C alsó görgő</t>
  </si>
  <si>
    <t>S-S35C spodný vozík</t>
  </si>
  <si>
    <t>S-S35C wózek dolny</t>
  </si>
  <si>
    <t>S-profil S30/45 spodní elox 2m</t>
  </si>
  <si>
    <t>S-profil S30/45 alsó elox 2m</t>
  </si>
  <si>
    <t>S-profil S30/45 spodný elox 2m</t>
  </si>
  <si>
    <t>S-profil S30/45 dolny elox 2m</t>
  </si>
  <si>
    <t>S-sada vozíků S30 pro spodní vedení S30/45</t>
  </si>
  <si>
    <t>S-szett S30 alsó sín</t>
  </si>
  <si>
    <t>S-sada vozíkov S30 pre spodné vedenie S30/45</t>
  </si>
  <si>
    <t>S-komplet S30 dolny tor</t>
  </si>
  <si>
    <t>IC-horní vodící lišta EU 10mm 2m šampáň</t>
  </si>
  <si>
    <t>IC-felső vezető profil EU 10mm 2m pezsgő</t>
  </si>
  <si>
    <t>IC-Horná vodiaca lištaEU 10mm 2m šampáň</t>
  </si>
  <si>
    <t>IC-Górna listwa torowa EU 10 mm 2m szampan</t>
  </si>
  <si>
    <t>IC-spodní krycí lišta EU 10mm 2m šampáň</t>
  </si>
  <si>
    <t>IC-alsó takaró profil EU 10mm 2m pezsgő</t>
  </si>
  <si>
    <t>IC-spodná krycia lišta EU 10mm 2m šampáň</t>
  </si>
  <si>
    <t>IC-Dolna listwa maskująca  EU 10 mm 2m szampan</t>
  </si>
  <si>
    <t>IC-tlumič dorazu univerzální EU - 2ks</t>
  </si>
  <si>
    <t>IC-ütközés csillapító univerzális EU - 2db</t>
  </si>
  <si>
    <t>IC-tlumič dorazu univerzálny  EU - 2ks</t>
  </si>
  <si>
    <t>IC-tłumienie uniwersalne EU - 2szt.</t>
  </si>
  <si>
    <t>S-profil S11 nerez 2,7m</t>
  </si>
  <si>
    <t>S-profil S11 nemesacél 2,7m</t>
  </si>
  <si>
    <t>S-profil S11 stal nierdzewna 2,7m</t>
  </si>
  <si>
    <t>S-S05 horní vodící profil 2,5m nerez</t>
  </si>
  <si>
    <t>S-S05 felső vezető profil 2,5m nemesacél</t>
  </si>
  <si>
    <t>S-S05 horný vodiaci profil 2,5m nerez</t>
  </si>
  <si>
    <t>S-S05 górny profil prowadzący 2,5m stal nierdzewna</t>
  </si>
  <si>
    <t>S-S06NN spodní profil 2,5m elox nerez</t>
  </si>
  <si>
    <t>S-S06NN alsó profil 2,5m elox nemesacél</t>
  </si>
  <si>
    <t>S-S06NN spodný profil 2,5m elox nerez</t>
  </si>
  <si>
    <t>S-S06NN dolny profil 2,5m elox stal nierdzewna</t>
  </si>
  <si>
    <t>S-S06N krycí profil alu 2,5m nerez</t>
  </si>
  <si>
    <t>S-S06N takaró profil alu 2,5m nemesacél</t>
  </si>
  <si>
    <t>S-S06N profl maskujący alu 2,5m stal nierdzewna</t>
  </si>
  <si>
    <t>S-S65 horní a střední profil 2,5m nerez</t>
  </si>
  <si>
    <t>S-S65 felső és középső profil 2,5m nemesacél</t>
  </si>
  <si>
    <t>S-S65 horný a stredný profil 2,5m nerez</t>
  </si>
  <si>
    <t>S-S65 górny i środkowy profil 2,5m stal nierdzewna</t>
  </si>
  <si>
    <t>S-S65 dolní profil 4/18mm 2,5m nerez</t>
  </si>
  <si>
    <t>S-S65 alsó profil 4/18mm 2,5m nemesacél</t>
  </si>
  <si>
    <t>S-S65 dolný profil 4/18mm 2,5m nerez</t>
  </si>
  <si>
    <t>S-S65 dolny profil 4/18mm 2,5m stal nierdzewna</t>
  </si>
  <si>
    <t>S-S65 dolní profil 4/18mm 1,5m stříbrný</t>
  </si>
  <si>
    <t>S-S65 alsó profil 4/18mm 1,5m ezüst</t>
  </si>
  <si>
    <t>S-S65 dolný profil 4/18mm 1,5m strieborný</t>
  </si>
  <si>
    <t>S-S06N dolní vodící profil 1,5m stříbrný</t>
  </si>
  <si>
    <t>S-S06N alsó vezető profil 1,5m ezüst</t>
  </si>
  <si>
    <t>S-S06N dolný vodiaci profil 1,5m strieborný</t>
  </si>
  <si>
    <t>IC-horní vedení EU 2m  šampáň</t>
  </si>
  <si>
    <t>IC-felső vezetés EU 2m  pezsgő</t>
  </si>
  <si>
    <t>IC-tor górny EU 2m szampan</t>
  </si>
  <si>
    <t>IC-spodní vedení EU 2m  šampáň</t>
  </si>
  <si>
    <t>IC-alsó vezetés EU 2m  pezsgő</t>
  </si>
  <si>
    <t>IC- tor dolny EU 2m szampan</t>
  </si>
  <si>
    <t>IC-horní vodící lišta EU 10mm 4m  šampáň</t>
  </si>
  <si>
    <t>IC-felső vez.prof EU 10mm 4m  pezsgő</t>
  </si>
  <si>
    <t>IC-tor górny EU 10mm 4m szampan</t>
  </si>
  <si>
    <t>IC-spodní krycí lišta  EU 10mm 4m šampáň</t>
  </si>
  <si>
    <t>IC-alsó takaró profil EU 10mm 4m pezsgő</t>
  </si>
  <si>
    <t>IC-tor maskujący dolny  EU 10mm 4m szamp</t>
  </si>
  <si>
    <t>S-S45 horní vodící profil 4m stříbrný</t>
  </si>
  <si>
    <t>S-S45 felső vezető profil 4m ezüst</t>
  </si>
  <si>
    <t>S-S45 horný vodiaci profil 4m strieborný</t>
  </si>
  <si>
    <t>S-S45 górny profil prowadzący 4m srebrny</t>
  </si>
  <si>
    <t>S-sada kování S45 přední dveře</t>
  </si>
  <si>
    <t>S-vasalat szett S45 elülső ajtó</t>
  </si>
  <si>
    <t>S-sada kovania S45-predné dvere</t>
  </si>
  <si>
    <t>S-komplet okuć S45 przednie drzwi</t>
  </si>
  <si>
    <t>S-sada kování S45 zadní dveře</t>
  </si>
  <si>
    <t>S-vasalat szett S45 hátsó ajtó</t>
  </si>
  <si>
    <t>S-sada kovania S45 - zadné dvere</t>
  </si>
  <si>
    <t>S-komplet okuć S45 tylne drzwi</t>
  </si>
  <si>
    <t>S-Slidix T25 tlumení k sadě S45 přední</t>
  </si>
  <si>
    <t>S-Slidix T25 csillapító S45 szetthez elülső</t>
  </si>
  <si>
    <t>S-Slidix T25 tlmenie k sade S45 predné</t>
  </si>
  <si>
    <t>S-Slidix T25 tłumienie do kompletu S45 przednie</t>
  </si>
  <si>
    <t>S-Slidix T25 tlumení k sadě S45 zadní</t>
  </si>
  <si>
    <t>S-Slidix T25 csillapító S45 szetthez hátsó</t>
  </si>
  <si>
    <t>S-Slidix T25 tlmenie k sade S45 chrbtovné</t>
  </si>
  <si>
    <t>S-Slidix T25 tłumienie do kompletu S45 tylne</t>
  </si>
  <si>
    <t>K-StrongLine Barnio sada Big 2m bez tlumení, 40-45mm černá mat</t>
  </si>
  <si>
    <t>K-StrongLine Barnio szett Big 2m csillapítás nélkül, 40-45mm fekete matt</t>
  </si>
  <si>
    <t>K-StrongLine Barnio sada Big 2m bez tlmenia, 40-45mm čierna mat</t>
  </si>
  <si>
    <t>K-StrongLine Barnio zestaw Big 2 m bez tłumienia, 40-45 mm</t>
  </si>
  <si>
    <t>K-StrongLine Barnio sada Big 2m s tlumením, 40-45mm černá mat</t>
  </si>
  <si>
    <t>K-StrongLine Barnio szett Big 2m csillapítással, 40-45mm fekete matt</t>
  </si>
  <si>
    <t>K-StrongLine Barnio sada Big 2m s tlmením, 40-45mm čierna mat</t>
  </si>
  <si>
    <t>K-StrongLine Barnio zestaw Big 2 m z tłumieniem, 40-45 mm</t>
  </si>
  <si>
    <t>K-StrongLine Barnio sada Big 3m bez tlumení, 40-45mm černá mat</t>
  </si>
  <si>
    <t>K-StrongLine Barnio szett Big 3m csillapítás nélkül, 40-45mm fekete matt</t>
  </si>
  <si>
    <t>K-StrongLine Barnio sada Big 3m bez tlmenia, 40-45mm čierna mat</t>
  </si>
  <si>
    <t>K-StrongLine Barnio zestaw Big 3 m bez tłumienia, 40-45 mm</t>
  </si>
  <si>
    <t>K-StrongLine Barnio sada Big 3m s tlumením, 40-45mm černá mat</t>
  </si>
  <si>
    <t>K-StrongLine Barnio szett Big 3m csillapítással, 40-45mm fekete matt</t>
  </si>
  <si>
    <t>K-StrongLine Barnio sada Big 3m s tlmením, 40-45mm čierna mat</t>
  </si>
  <si>
    <t>K-StrongLine Barnio zestaw Big 3 m z tłumieniem, 40-45 mm</t>
  </si>
  <si>
    <t>K-StrongLine Barnio sada Simple 2m bez tlumení, 40-45mm černá mat</t>
  </si>
  <si>
    <t>K-StrongLine Barnio szett Simple 2m csillapítás nélkül, 40-45mm fekete matt</t>
  </si>
  <si>
    <t>K-StrongLine Barnio sada Simple 2m bez tlmenia, 40-45mm čierna mat</t>
  </si>
  <si>
    <t>K-StrongLine Barnio zestaw Simple 2 m bez tłumienia, 40-45 mm</t>
  </si>
  <si>
    <t>K-StrongLine Barnio sada Simple 2m s tlumením, 40-45mm černá mat</t>
  </si>
  <si>
    <t>K-StrongLine Barnio szett Simple 2m csillapítással, 40-45mm fekete matt</t>
  </si>
  <si>
    <t>K-StrongLine Barnio sada Simple 2m s tlmením, 40-45mm čierna mat</t>
  </si>
  <si>
    <t>K-StrongLine Barnio zestaw Simple 2 m z tłumieniem, 40-45 mm</t>
  </si>
  <si>
    <t>K-StrongLine Barnio sada Simple 3m bez tlumení, 40-45mm černá mat</t>
  </si>
  <si>
    <t>K-StrongLine Barnio szett Simple 3m csillapítás nélkül, 40-45mm fekete matt</t>
  </si>
  <si>
    <t>K-StrongLine Barnio sada Simple 3m bez tlmenia, 40-45mm čierna mat</t>
  </si>
  <si>
    <t>K-StrongLine Barnio zestaw Simple 3 m bez tłumienia, 40-45 mm</t>
  </si>
  <si>
    <t>K-StrongLine Barnio sada Simple 3m s tlumením, 40-45mm černá mat</t>
  </si>
  <si>
    <t>K-StrongLine Barnio szett Simple 3m csillapítással, 40-45mm fekete matt</t>
  </si>
  <si>
    <t>K-StrongLine Barnio sada Simple 3m s tlmením, 40-45mm čierna mat</t>
  </si>
  <si>
    <t>K-StrongLine Barnio zestaw Simple 3 m z tłumieniem, 40-45 mm</t>
  </si>
  <si>
    <t>K-StrongLine Barnio sada Square 2m bez tlumení, 40-45mm černá mat</t>
  </si>
  <si>
    <t>K-StrongLine Barnio szett Square 2m csillapítás nélkül, 40-45mm fekete matt</t>
  </si>
  <si>
    <t>K-StrongLine Barnio sada Square 2m bez tlmenia, 40-45mm čierna mat</t>
  </si>
  <si>
    <t>K-StrongLine Barnio zestaw Square 2 m bez tłumienia, 40-45 mm</t>
  </si>
  <si>
    <t>K-StrongLine Barnio sada Square 2m s tlumením, 40-45mm černá mat</t>
  </si>
  <si>
    <t>K-StrongLine Barnio szett Square 2m csillapítással, 40-45mm fekete matt</t>
  </si>
  <si>
    <t>K-StrongLine Barnio sada Square 2m s tlmením, 40-45mm čierna mat</t>
  </si>
  <si>
    <t>K-StrongLine Barnio zestaw Square 2 m z tłumieniem, 40-45 mm</t>
  </si>
  <si>
    <t>K-StrongLine Barnio sada Square 3m bez tlumení, 40-45mm černá mat</t>
  </si>
  <si>
    <t>K-StrongLine Barnio szett Square 3m csillapítás nélkül, 40-45mm fekete matt</t>
  </si>
  <si>
    <t>K-StrongLine Barnio sada Square 3m bez tlmenia, 40-45mm čierna mat</t>
  </si>
  <si>
    <t>K-StrongLine Barnio zestaw Square 3 m bez tłumienia, 40-45 mm</t>
  </si>
  <si>
    <t>K-StrongLine Barnio sada Square 3m s tlumením, 40-45mm černá mat</t>
  </si>
  <si>
    <t>K-StrongLine Barnio szett Square 3m csillapítással, 40-45mm fekete matt</t>
  </si>
  <si>
    <t>K-StrongLine Barnio sada Square 3m s tlmením, 40-45mm čierna mat</t>
  </si>
  <si>
    <t>K-StrongLine Barnio zestaw Square 3 m z tłumieniem, 40-45 mm</t>
  </si>
  <si>
    <t>Posuvné interiérové kování 1399 40kg 2x tlumič</t>
  </si>
  <si>
    <t>Csúsztatható belső szerelvények 1399 40kg 2x csappantyú</t>
  </si>
  <si>
    <t>Posuvné interiérové kovanie 1399 40kg 2x tlmič</t>
  </si>
  <si>
    <t>Okucia wewnętrzne przesuwne 1399 40kg 2x amortyzator</t>
  </si>
  <si>
    <t>Posuvné interiérové kování 1399/155 40kg 2x tlumič</t>
  </si>
  <si>
    <t>Beltéri tolóajtó vasalat 1399/155 40kg 2x csillapító</t>
  </si>
  <si>
    <t>Posuvné interiérové kovanie 1399/155 40kg 2x tlmič</t>
  </si>
  <si>
    <t>Okucie do drzwi przesuwnych do wnętrz 1399/155 40kg  2x tłumienie</t>
  </si>
  <si>
    <t>Posuvné interiérové kování 1399/190 40kg 2x tlumič</t>
  </si>
  <si>
    <t>Beltéri tolóajtó vasalat 1399/190 40kg 2x csillapító</t>
  </si>
  <si>
    <t>Posuvné interiérové kovanie 1399/190 40kg 2x tlmič</t>
  </si>
  <si>
    <t>Okucie do drzwi przesuwnych do wnętrz 1399/190 40kg  2x tłumienie</t>
  </si>
  <si>
    <t>Posuvné interiérové kování 1399/230 40kg 2x tlumič</t>
  </si>
  <si>
    <t>Beltéri tolóajtó vasalat 1399/230 40kg 2x csillapító</t>
  </si>
  <si>
    <t>Posuvné interiérové kovanie 1399/230 40kg 2x tlmič</t>
  </si>
  <si>
    <t>Okucie do drzwi przesuwnych do wnętrz 1399/230 40kg  2x tłumienie</t>
  </si>
  <si>
    <t>Posuvné interiérové kování 1399/280 40kg 2x tlumič</t>
  </si>
  <si>
    <t>Beltéri tolóajtó vasalat 1399/280 40kg 2x csillapító</t>
  </si>
  <si>
    <t>Posuvné interiérové kovanie 1399/280 40kg 2x tlmič</t>
  </si>
  <si>
    <t>Okucie do drzwi przesuwnych do wnętrz 1399/280 40kg 2x tłumienie</t>
  </si>
  <si>
    <t>Posuvné interiérové kování 1399/330 40kg 2x tlumič</t>
  </si>
  <si>
    <t>Beltéri tolóajtó vasalat 1399/330 40kg 2x csillapító</t>
  </si>
  <si>
    <t>Posuvné interiérové kovanie 1399/330 40kg 2x tlmič</t>
  </si>
  <si>
    <t>Okucie do drzwi przesuwnych do wnętrz 1399/330 40kg 2x tłumienie</t>
  </si>
  <si>
    <t>S-Softclose S30/S42 Slidix T60</t>
  </si>
  <si>
    <t>S-S06N dolní vodící profil 2m světlý bronz</t>
  </si>
  <si>
    <t>S-S06N alsó vezető profil 2m világos bronz</t>
  </si>
  <si>
    <t>S-S06N dolný vodiaci profil 2m svetlý bronz</t>
  </si>
  <si>
    <t>S-S06N krycí profil (maska) 2m světlý bronz</t>
  </si>
  <si>
    <t>S-S06N takaró profil 2m világos bronz</t>
  </si>
  <si>
    <t>S-S06N krycí profil (maska) 2m svetlý bronz</t>
  </si>
  <si>
    <t>S-S05 horní vodící profil 2m světlý bronz</t>
  </si>
  <si>
    <t>S-S05 felső vezető profil 2m világos bronz</t>
  </si>
  <si>
    <t>S-S05 horný vodiaci profil 2m svetlý bronz</t>
  </si>
  <si>
    <t>S-S65 horní a střední profil 4/18mm 2m světlý bronz</t>
  </si>
  <si>
    <t>S-S65 felső és középső profil 4/18mm 2m világos bronz</t>
  </si>
  <si>
    <t>S-S65 horný a stredná profil 4/18mm 2m svetlý bronz</t>
  </si>
  <si>
    <t>S-S65 dolní profil 4/18mm 2m světlý bronz</t>
  </si>
  <si>
    <t>S-S65 alsó profil 4/18mm 2m világos bronz</t>
  </si>
  <si>
    <t>S-S65 dolný profil 4/18mm 2m svetlý bronz</t>
  </si>
  <si>
    <t>StrongLine Barnio spojovací šroub na dveře 30-40mm černá mat</t>
  </si>
  <si>
    <t>StrongLine Barnio összekötő csavarok ajtókhoz 30-40mm,fekete matt</t>
  </si>
  <si>
    <t>StrongLine Barnio spojovacia skrutka na dvere 30-40mm čierna mat</t>
  </si>
  <si>
    <t>StrongLine Barnio śruba łącząca do drzwi 30-40 mm</t>
  </si>
  <si>
    <t>StrongLine Barnio spojovací šroub na dveře 40-45mm černá mat</t>
  </si>
  <si>
    <t>StrongLine Barnio összekötő csavarok ajtókhoz 40-45mm,fekete matt</t>
  </si>
  <si>
    <t>StrongLine Barnio spojovacia skrutka na dvere 40-45mm čierna mat</t>
  </si>
  <si>
    <t>StrongLine Barnio śruba łącząca do drzwi 40-45 mm</t>
  </si>
  <si>
    <t>WC Zavírač s indikátorem obsazeno/volno pro lamino 18 mm</t>
  </si>
  <si>
    <t>WC-záró foglalt/szabad jelzővel lamináltra 18 mm-es</t>
  </si>
  <si>
    <t>WC Zatvárač s indikátorom obsadené/voľné pre lamino 18 mm</t>
  </si>
  <si>
    <t>WC Zamek ze wskaźnikiem zajęte/wolne do płyty laminowanej 18 mm</t>
  </si>
  <si>
    <t>K-WC Rektifikační nožka VS-U univerzální 18 mm</t>
  </si>
  <si>
    <t>K-WC Állítható láb VS-U univerzális 18 mm</t>
  </si>
  <si>
    <t>K-WC rektifikačná nožka VS-U univerzální 18 mm</t>
  </si>
  <si>
    <t>K-WC Nóżka regulowana VS-U uniwersalna 18 mm</t>
  </si>
  <si>
    <t>WC Al elox profil U boční 18 mm, délka 2 m</t>
  </si>
  <si>
    <t>WC Al elox profil U 18 mm, hossz 2 m</t>
  </si>
  <si>
    <t>WC Al elox profil U bočný 18 mm, dĺžka 2 m</t>
  </si>
  <si>
    <t>WC Al elox profil U boczny 18 mm, długość  2 m</t>
  </si>
  <si>
    <t>WC Al elox profil U boční 13 mm, délka 2 m</t>
  </si>
  <si>
    <t>WC Al elox profil U 13 mm, hossz 2 m</t>
  </si>
  <si>
    <t>WC Al elox profil U bočný 13 mm, dĺžka 2 m</t>
  </si>
  <si>
    <t>WC Al elox profil U 13 mm, długość  2 m</t>
  </si>
  <si>
    <t>WC Al elox profil U boční 25 mm, délka 2 m</t>
  </si>
  <si>
    <t>WC Al elox profil U 25 mm, hossz 2 m</t>
  </si>
  <si>
    <t>WC Al elox profil U bočný 25 mm, dĺžka 2 m</t>
  </si>
  <si>
    <t>WC Al elox profil U 25 mm, długość  2 m</t>
  </si>
  <si>
    <t>S-Softclose S30/S42 Slidix T40</t>
  </si>
  <si>
    <t>S-sada kování S80</t>
  </si>
  <si>
    <t>S-vasalat szett S80</t>
  </si>
  <si>
    <t>S-sada kovania S80</t>
  </si>
  <si>
    <t>S-komplet okuć S80</t>
  </si>
  <si>
    <t>S-S40/80 horní lišta alu 2m</t>
  </si>
  <si>
    <t>S-S40/80 felső profil alu 2m</t>
  </si>
  <si>
    <t>S - S40/80 - horná lišta alu 2m</t>
  </si>
  <si>
    <t>S-S40/80 górna listwa alu 2m</t>
  </si>
  <si>
    <t>HAWA 053.3389.071 Frontino 20 H OS FS typ OS1 1200-1399mm</t>
  </si>
  <si>
    <t>HAWA 053.3389.071 Frontino 20 H OS FS típus S1 1200-1399mm</t>
  </si>
  <si>
    <t>HAWA 053.3389.071 Frontino 20 H OS FS typ S1 1200-1399 mm</t>
  </si>
  <si>
    <t>HAWA 053.3389.072 Frontino 20 H OS FS typ OS2 1400-1599mm</t>
  </si>
  <si>
    <t>HAWA 053.3389.072 Frontino 20 H OS FS típus S2 1400-1599mm</t>
  </si>
  <si>
    <t>HAWA 053.3389.072 Frontino 20 H OS FS typ S2 1400-1599 mm</t>
  </si>
  <si>
    <t>HAWA 053.3389.073 Frontino 20 H OS FS typ OS3 1600-1799mm</t>
  </si>
  <si>
    <t>HAWA 053.3389.073 Frontino 20 H OS FS típus S3 1600-1799mm</t>
  </si>
  <si>
    <t>HAWA 053.3389.073 Frontino 20 H OS FS typ S3 1600-1799 mm</t>
  </si>
  <si>
    <t>HAWA 053.3389.074 Frontino 20 H OS FS typ OS4 1800-1999mm</t>
  </si>
  <si>
    <t>HAWA 053.3389.074 Frontino 20 H OS FS típus S4 1800-1999mm</t>
  </si>
  <si>
    <t>HAWA 053.3389.074 Frontino 20 H OS FS typ S4 1800-1999 mm</t>
  </si>
  <si>
    <t>HAWA 053.3389.075 Frontino 20 H OS FS typ OS5 2000-2199mm</t>
  </si>
  <si>
    <t>HAWA 053.3389.075 Frontino 20 H OS FS típus S5 2000-2199mm</t>
  </si>
  <si>
    <t>HAWA 053.3389.075 Frontino 20 H OS FS typ S5 2000-2199 mm</t>
  </si>
  <si>
    <t>HAWA 053.3389.076 Frontino 20 H OS FS typ OS6 2200-2400mm</t>
  </si>
  <si>
    <t>HAWA 053.3389.076 Frontino 20 H OS FS típus S6 2200-2400mm</t>
  </si>
  <si>
    <t>HAWA 053.3389.076 Frontino 20 H OS FS typ S6 2200-2400 mm</t>
  </si>
  <si>
    <t>HAWA 053.3390.071 Frontino 20 H FS typ S1 1200-1399mm</t>
  </si>
  <si>
    <t>HAWA 053.3390.071 Frontino 20 H FS típus S1 1200-1399mm</t>
  </si>
  <si>
    <t>HAWA 053.3390.071 Frontino 20 H FS typ S1 1200-1399 mm</t>
  </si>
  <si>
    <t>HAWA 053.3390.072 Frontino 20 H FS typ S2 1400-1599mm</t>
  </si>
  <si>
    <t>HAWA 053.3390.072 Frontino 20 H FS típus S2 1400-1599mm</t>
  </si>
  <si>
    <t>HAWA 053.3390.072 Frontino 20 H FS typ S2 1400-1599 mm</t>
  </si>
  <si>
    <t>HAWA 053.3390.075 Frontino 20 H FS typ S5 2000-2199mm</t>
  </si>
  <si>
    <t>HAWA 053.3390.075 Frontino 20 H FS típus S5 2000-2199mm</t>
  </si>
  <si>
    <t>HAWA 053.3390.075 Frontino 20 H FS typ S5 2000-2199 mm</t>
  </si>
  <si>
    <t>HAWA 053.3390.076 Frontino 20 H FS typ S6 2200-2400mm</t>
  </si>
  <si>
    <t>HAWA 053.3390.076 Frontino 20 H FS típus S6 2200-2400mm</t>
  </si>
  <si>
    <t>HAWA 053.3390.076 Frontino 20 H FS typ S6 2200-2400 mm</t>
  </si>
  <si>
    <t>HAWA 053.3320.071 Frontino 40 H FS typ S 1200-1799mm sada kování</t>
  </si>
  <si>
    <t>HAWA 053.3320.071 Frontino 40 H FS típus S 1200-1799mm vasalat szett</t>
  </si>
  <si>
    <t>HAWA 053.3320.071 Frontino 40 H FS typ S 1200-1799mm sada kovanie</t>
  </si>
  <si>
    <t>HAWA 053.3320.071 Frontino 40 H FS typ S 1200-1799 mm komplet okuć</t>
  </si>
  <si>
    <t>HAWA 053.3320.072 Frontino 40 H FS typ M 1800-2199mm sada kování</t>
  </si>
  <si>
    <t>HAWA 053.3320.072 Frontino 40 H FS típus M 1800-2199mm vasalat szett</t>
  </si>
  <si>
    <t>HAWA 053.3320.072 Frontino 40 H FS typ M 1800-2199mm sada kovanie</t>
  </si>
  <si>
    <t>HAWA 053.3320.072 Frontino 40 H FS typ M 1800-2199 mm komplet okuć</t>
  </si>
  <si>
    <t>HAWA 053.3320.073 Frontino 40 H FS typ L 2200-2400mm sada kování</t>
  </si>
  <si>
    <t>HAWA 053.3320.073 Frontino 40 H FS típus L 2200-2400mm vasalat szett</t>
  </si>
  <si>
    <t>HAWA 053.3320.073 Frontino 40 H FS typ L 2200-2400mm sada kovanie</t>
  </si>
  <si>
    <t>HAWA 053.3320.073 Frontino 40 H FS typ L 2200-2400 mm komplet okuć</t>
  </si>
  <si>
    <t>HAWA 053.3321.180 Frontino 40 Typ S 1200-1799mm sada vedení</t>
  </si>
  <si>
    <t>HAWA 053.3321.180 Frontino 40 Típus S 1200-1799mm vezetés szett</t>
  </si>
  <si>
    <t>HAWA 053.3321.180 Frontino 40 Typ S 1200-1799mm sada vedenia</t>
  </si>
  <si>
    <t>HAWA 053.3321.180 Frontino 40 Typ S 1200-1799 mm komplet torów</t>
  </si>
  <si>
    <t>HAWA 053.3321.220 Frontino 40 Typ M 1800-2199mm sada vedení</t>
  </si>
  <si>
    <t>HAWA 053.3321.220 Frontino 40 Típus M 1800-2199mm vezetés szett</t>
  </si>
  <si>
    <t>HAWA 053.3321.220 Frontino 40 Typ M 1800-2199mm sada vedenia</t>
  </si>
  <si>
    <t>HAWA 053.3321.220 Frontino 40 Typ M 1800-2199 mm komplet torów</t>
  </si>
  <si>
    <t>HAWA 053.3321.240 Frontino 40 Typ L 2200-2400mm sada vedení</t>
  </si>
  <si>
    <t>HAWA 053.3321.240 Frontino 40 Típus L 2200-2400mm vezetés szett</t>
  </si>
  <si>
    <t>HAWA 053.3321.240 Frontino 40 Typ L 2200-2400mm sada vedenia</t>
  </si>
  <si>
    <t>HAWA 053.3321.240 Frontino 40 Typ L 2200-2400 mm komplet torów</t>
  </si>
  <si>
    <t>IC-spodní krycí lišta 10mm 3m stříbrná</t>
  </si>
  <si>
    <t>IC-alsó takaró profil 10mm 3m ezüst</t>
  </si>
  <si>
    <t>IC-spodná krycia lišta 10mm 3m strieborná</t>
  </si>
  <si>
    <t>IC-Dolna listwa maskująca  10mm 3m srebrna</t>
  </si>
  <si>
    <t>IC-spojovací H profil 10mm 3m  stříbrný</t>
  </si>
  <si>
    <t>IC-összekötő H profil 10 mm 3m ezüst</t>
  </si>
  <si>
    <t>IC-spojovací H profil 10mm 3m  strieborn</t>
  </si>
  <si>
    <t>IC-profil łączący H 10mm 3m srebrny</t>
  </si>
  <si>
    <t>IC-úchytová lišta Harmony 10mm 2,7m šampáň</t>
  </si>
  <si>
    <t>IC-fogantyú profil Harmony 10mm 2,7m pezsgő</t>
  </si>
  <si>
    <t>IC-úchwyt Harmony 10 mm 2,7 m szampan</t>
  </si>
  <si>
    <t>IC-horní vodící lišta 10mm 2m šampáň</t>
  </si>
  <si>
    <t>IC-felső vezető profil 10mm 2m pezsgő</t>
  </si>
  <si>
    <t>IC-Horná vodiaca lišta10mm 2m šampáň</t>
  </si>
  <si>
    <t>IC-Górna listwa torowa 10mm 2m szampan</t>
  </si>
  <si>
    <t>IC-horní vodící lišta 10mm 3m šampáň</t>
  </si>
  <si>
    <t>IC-felső vezető profil 10mm 3m pezsgő</t>
  </si>
  <si>
    <t>IC-Horná vodiaca lišta10mm 3m šampáň</t>
  </si>
  <si>
    <t>IC-Górna listwa torowa 10mm 3m szampan</t>
  </si>
  <si>
    <t>IC-horní vodící lišta 10mm 5m šampáň</t>
  </si>
  <si>
    <t>IC-felső vezető profil 10mm 5m pezsgő</t>
  </si>
  <si>
    <t>IC-Horná vodiaca lišta10mm 5m šampáň</t>
  </si>
  <si>
    <t>IC-Górna listwa torowa 10mm 5m szampan</t>
  </si>
  <si>
    <t>IC-spodní krycí lišta 10mm 2m šampáň</t>
  </si>
  <si>
    <t>IC-alsó takaró profil 10mm 2m pezsgő</t>
  </si>
  <si>
    <t>IC-spodná krycia lišta 10mm 2m šampáň</t>
  </si>
  <si>
    <t>IC-Dolna listwa maskująca 10 mm 2 m szampan</t>
  </si>
  <si>
    <t>IC-spodní krycí lišta 10mm 3m šampáň</t>
  </si>
  <si>
    <t>IC-alsó takaró profil 10mm 3m pezsgő</t>
  </si>
  <si>
    <t>IC-spodná krycia lišta 10mm 3m šampáň</t>
  </si>
  <si>
    <t>IC-Dolna listwa maskująca 10 mm 3 m szampan</t>
  </si>
  <si>
    <t>IC-spodní krycí lišta 10mm 5m šampáň</t>
  </si>
  <si>
    <t>IC-alsó takaró profil 10mm 5m pezsgő</t>
  </si>
  <si>
    <t>IC-spodná krycia lišta 10mm 5m šampáň</t>
  </si>
  <si>
    <t>IC-Dolna listwa maskująca 10 mm 5 m szampan</t>
  </si>
  <si>
    <t>IC-spojovací H profil 10mm 3m šampáň</t>
  </si>
  <si>
    <t>IC-összekötő H profil 10mm 3m pezsgő</t>
  </si>
  <si>
    <t>IC-profil łączący H 10mm 3m szampan</t>
  </si>
  <si>
    <t>IC-spojovací H profil 10mm 5m šampáň</t>
  </si>
  <si>
    <t>IC-összekötő H profil 10mm 5m pezsgő</t>
  </si>
  <si>
    <t>IC-profil łączący H 10mm 5m szampan</t>
  </si>
  <si>
    <t>S-Oboustranný tlumič Slidix Centro T40 S55/S60/S65</t>
  </si>
  <si>
    <t>S-Kétoldalú csillapító Slidix Centro T40 S55/S60/S65</t>
  </si>
  <si>
    <t>S-obojstranný tlmič Slidix Centro T40 S55/S60/S65</t>
  </si>
  <si>
    <t>S-tłumienie obustronne Slidix Centro T40 S55/S60/S65</t>
  </si>
  <si>
    <t>S-profil S11 světlý bronz 2,7m</t>
  </si>
  <si>
    <t>S-profil S11 világos bronz 2,7m</t>
  </si>
  <si>
    <t>S-profil S11 svetlý brondz 2,7m</t>
  </si>
  <si>
    <t>S-profil S11 jasny brąz 2,7m</t>
  </si>
  <si>
    <t>S-S05 horní vodící profil světlý bronz 3m</t>
  </si>
  <si>
    <t>S-S05 felső vezető profil világos bronz 3m</t>
  </si>
  <si>
    <t>S-S05 horný vodiaci profil svetlý bronz 3m</t>
  </si>
  <si>
    <t>S-S05 górny profil prowadzący jasny brąz 3m</t>
  </si>
  <si>
    <t>S-S06NN dolní vodící profil 3m světlý bronz</t>
  </si>
  <si>
    <t>S-S06NN alsó vezető profil 3m világos bronz</t>
  </si>
  <si>
    <t>S-S06NN dolný vodiaci profil 3m svetlý bronz</t>
  </si>
  <si>
    <t>S-S06NN dolny profil prowadzący 3m jasny brąz</t>
  </si>
  <si>
    <t>S-S65 horní a středový profil 3,5m světlý bronz</t>
  </si>
  <si>
    <t>S-S65 felső és közép profil 3,5m világos bronz</t>
  </si>
  <si>
    <t>S-S65 horný a stredový profil 3,5m svetlý bronz</t>
  </si>
  <si>
    <t>S-S65 górny a středový profil 3,5m jasny brąz</t>
  </si>
  <si>
    <t>S-S65 dolní profil 4/18mm 3,5m světlý bronz</t>
  </si>
  <si>
    <t>S-S65 alsó profil 4/18mm 3,5m világos bronz</t>
  </si>
  <si>
    <t>S-S65 dolný profil 4/18mm 3,5m svetlý bronz</t>
  </si>
  <si>
    <t>S-S65 dolny profil 4/18mm 3,5m jasny brąz</t>
  </si>
  <si>
    <t>S-S06N krycí profil maska 3m světlý bronz</t>
  </si>
  <si>
    <t>S-S06N takaró profil maszk 3m világos bronz</t>
  </si>
  <si>
    <t>S-S06N krycí profil maska 3m svetlý bronz</t>
  </si>
  <si>
    <t>S-S06N profl maskujący 3m jasny brąz</t>
  </si>
  <si>
    <t>S-S45-horní vodící profil 3m stříbrný</t>
  </si>
  <si>
    <t>S-S45-felső vezető profil 3m ezüst</t>
  </si>
  <si>
    <t>S-S45-horný vodiaci profil 3m strieborný</t>
  </si>
  <si>
    <t>S-S45-górny profil prowadzący 3m srebrny</t>
  </si>
  <si>
    <t>S-profil S30/45 spodní elox 3m</t>
  </si>
  <si>
    <t>S-profil S30/45 alsó elox 3m</t>
  </si>
  <si>
    <t>S-profil S30/45 spodný elox 3m</t>
  </si>
  <si>
    <t>S-profil S30/45 dolny elox 3m</t>
  </si>
  <si>
    <t>S-S40SD horní vedení 2m (dodat 85355)</t>
  </si>
  <si>
    <t>S-S40SD felső vezetés 2m (hozzáadni 85355)</t>
  </si>
  <si>
    <t>S-S40SD horné vedenie 2m (dodat 85355)</t>
  </si>
  <si>
    <t>S-S40SD górny tor 2m (dodać 85355)</t>
  </si>
  <si>
    <t>S-S40SD horní vedení 3m (dodat 85355)</t>
  </si>
  <si>
    <t>S-S40SD felső vezetés 3m (hozzáadni 85355)</t>
  </si>
  <si>
    <t>S-S40SD horné vedenie 3m (dodat 85355)</t>
  </si>
  <si>
    <t>S-S40SD górny tor 3m (dodać 85355)</t>
  </si>
  <si>
    <t>S-40SD dolní lišta alu surová 2m</t>
  </si>
  <si>
    <t>S-40SD alsó profil alu nyers 2m</t>
  </si>
  <si>
    <t>S-40SD dolná lišta alu surová 2m</t>
  </si>
  <si>
    <t>S-40SD dolna listwa alu surowa 2m</t>
  </si>
  <si>
    <t>S-40SD dolní lišta alu surová 2,5m</t>
  </si>
  <si>
    <t>S-40SD alsó profil alu nyers 2,5m</t>
  </si>
  <si>
    <t>S-40SD dolná lišta alu surová 2,5m</t>
  </si>
  <si>
    <t>S-40SD dolna listwa alu surowa 2,5m</t>
  </si>
  <si>
    <t>S-40SD dolní lišta alu surová 3m</t>
  </si>
  <si>
    <t>S-40SD alsó profil alu nyers 3m</t>
  </si>
  <si>
    <t>S-40SD dolná lišta alu surová 3m</t>
  </si>
  <si>
    <t>S-40SD dolna listwa alu surowa 3m</t>
  </si>
  <si>
    <t>S-S40SD sada kování levá</t>
  </si>
  <si>
    <t>S-S40SD vasalat szett balos</t>
  </si>
  <si>
    <t>S-S40SD sada kovania - ľavá</t>
  </si>
  <si>
    <t>S-S40SD komplet okuć lewy</t>
  </si>
  <si>
    <t>S-S40SD sada kování pravá</t>
  </si>
  <si>
    <t>S-S40SD vasalat szett jobbos</t>
  </si>
  <si>
    <t>S-S40SD sada kovania - pravá</t>
  </si>
  <si>
    <t>S-S40SD komplet okuć prawy</t>
  </si>
  <si>
    <t>S-40SD dolní lišta alu surová 5m</t>
  </si>
  <si>
    <t>S-40SD alsó profil alu nyers 5m</t>
  </si>
  <si>
    <t>S-40SD dolná lišta alu surová 5m</t>
  </si>
  <si>
    <t>S-40SD dolna listwa alu surowa 5m</t>
  </si>
  <si>
    <t>S-S20/30 brzda plastová</t>
  </si>
  <si>
    <t>S-S20/30 fék műanyag</t>
  </si>
  <si>
    <t>S-S20/30 hamulec plastikowy</t>
  </si>
  <si>
    <t>S-H50 brzda pravá</t>
  </si>
  <si>
    <t>S-H50 fék jobbos</t>
  </si>
  <si>
    <t>HH-H50 BRZDA - PRAVÁ</t>
  </si>
  <si>
    <t>S-H50 hamulec prawy</t>
  </si>
  <si>
    <t>S-S40SD doraz</t>
  </si>
  <si>
    <t>S-S40SD ütköző</t>
  </si>
  <si>
    <t>S-S40SD odbojnik</t>
  </si>
  <si>
    <t>S-S70C úchytová lišta 2,7m</t>
  </si>
  <si>
    <t>S-S70C fogantyú profil 2,7m</t>
  </si>
  <si>
    <t>S-S70C úchyt.lišta 2,7m</t>
  </si>
  <si>
    <t>S-S70C listwa uchwytowa 2,7m</t>
  </si>
  <si>
    <t>S-S06NN spodní profil 4m elox stř.</t>
  </si>
  <si>
    <t>S-S06NN alsó profil 4m ezüst elo.</t>
  </si>
  <si>
    <t>S-S06NN spodný profil 4m elox str.</t>
  </si>
  <si>
    <t>S-S06NN dolny profil 4m elox srebrny</t>
  </si>
  <si>
    <t>S-S06N krycí profil 4m stříbrný</t>
  </si>
  <si>
    <t>S-S06N takaró profil 4m ezüst</t>
  </si>
  <si>
    <t>S-S06N krycí profil 4m strieborný</t>
  </si>
  <si>
    <t>S-S06N profil maskujący 4m srebrny</t>
  </si>
  <si>
    <t>S-S05-horní vodící profil 6m stříbrný</t>
  </si>
  <si>
    <t>S-S05-felső vezető profil 6m ezüst</t>
  </si>
  <si>
    <t>S-S05-horný vodiaci profil 6m strieborný</t>
  </si>
  <si>
    <t>S-S05-górny profil prowadzący 6m srebrny</t>
  </si>
  <si>
    <t>S-profil S11 stříbrný elox 3,2m</t>
  </si>
  <si>
    <t>S-profil S11 ezüst elox 3,2m</t>
  </si>
  <si>
    <t>S-profil S11 str.elox 3,2m</t>
  </si>
  <si>
    <t>S-profil S11 srebrny elox 3,2m</t>
  </si>
  <si>
    <t>S-S06NN spodní profil 6m stříbrný</t>
  </si>
  <si>
    <t>S-S06NN alsó profil 6m ezüst</t>
  </si>
  <si>
    <t>S-S06NN spodný profil 6m strieborný</t>
  </si>
  <si>
    <t>S-S06NN dolny profil 6m srebrny</t>
  </si>
  <si>
    <t>S-S06N krycí profil 6m stříbrný</t>
  </si>
  <si>
    <t>S-S06N takaró profil 6m ezüst</t>
  </si>
  <si>
    <t>S-S06N krycí profil 6m strieborný</t>
  </si>
  <si>
    <t>S-S06N profl maskujący 6m srebrny</t>
  </si>
  <si>
    <t>S-S65 horní a střední profil 4/18mm 4m stříbrný</t>
  </si>
  <si>
    <t>S-S65 felső és középső profil 4/18mm 4m ezüst</t>
  </si>
  <si>
    <t>S-S65 horný a stredný profil 4/18mm 4m</t>
  </si>
  <si>
    <t>S-S65 górny i środkowy profil 4/18mm 4m srebrny</t>
  </si>
  <si>
    <t>S-S65 dolní profil 4/18mm 4m stříbrný</t>
  </si>
  <si>
    <t>S-S65 alsó profil 4/18mm 4m ezüst</t>
  </si>
  <si>
    <t>S-S65 dolný profil 4/18mm 4m strieborný</t>
  </si>
  <si>
    <t>S-S65 dolny profil 4/18mm 4m srebrny</t>
  </si>
  <si>
    <t>S-S05-1-horní vod.profil jednod. 2m stř.</t>
  </si>
  <si>
    <t>S-S05-1-felső vez.profil egyutas 2m ez.</t>
  </si>
  <si>
    <t>S-S05-1-horný vod.profil jednod. 2m str.</t>
  </si>
  <si>
    <t>S-S05-1-górny tor 2m srebrny</t>
  </si>
  <si>
    <t>S-S06N-1 spodní profil jedn.2m elox stř.</t>
  </si>
  <si>
    <t>S-S06N-1 alsó profil egyu.2m elox ez.</t>
  </si>
  <si>
    <t>S-S06N-1 spodný profil jedn.2m elox str.</t>
  </si>
  <si>
    <t>S-S06N-1 dolny tor 2m elox srebrny</t>
  </si>
  <si>
    <t>IC-4mm lišta svislá Standard bronzová 2,75m</t>
  </si>
  <si>
    <t>IC-4mm profil függőleges Standard bronz 2,75m</t>
  </si>
  <si>
    <t>IC-4mm lišta zvislá Standard bronzové 2,75m</t>
  </si>
  <si>
    <t>IC-4mm Profil pionowy Standard bronzowy 2,75m</t>
  </si>
  <si>
    <t>IC-horní vedení bronzová 2m</t>
  </si>
  <si>
    <t>IC-sín felső bronz 2m</t>
  </si>
  <si>
    <t>IC-horné vedenie bronzové 2m</t>
  </si>
  <si>
    <t>IC-tor górny brązowy 2m</t>
  </si>
  <si>
    <t>IC-spodní vedení bronzová 2m</t>
  </si>
  <si>
    <t>IC-alsó sín bronz 2m</t>
  </si>
  <si>
    <t>IC-spodné vedenie bronzové 2m</t>
  </si>
  <si>
    <t>IC-tor dolny brązowy 2m</t>
  </si>
  <si>
    <t>IC-4mm lišta vodorovná bronzová 2,4m</t>
  </si>
  <si>
    <t>IC-4mm profil vízszintes bronz 2,4m</t>
  </si>
  <si>
    <t>IC-4mm lišta vodorovná bronzové 2,4m</t>
  </si>
  <si>
    <t>IC-4mm Profil poziomy  bronzowy 2,4m</t>
  </si>
  <si>
    <t>StrongLine Barnio sada Simple černá mat</t>
  </si>
  <si>
    <t>StrongLine Barnio szett Simple fekete matt</t>
  </si>
  <si>
    <t>StrongLine Barnio sada Simple čierna mat</t>
  </si>
  <si>
    <t>StrongLine Barnio zestaw Simple</t>
  </si>
  <si>
    <t>StrongLine Barnio sada Square černá mat</t>
  </si>
  <si>
    <t>StrongLine Barnio szett Square fekete matt</t>
  </si>
  <si>
    <t>StrongLine Barnio sada Square čierna mat</t>
  </si>
  <si>
    <t>StrongLine Barnio zestaw Square</t>
  </si>
  <si>
    <t>StrongLine Barnio sada Big černá mat</t>
  </si>
  <si>
    <t>StrongLine Barnio szett Big fekete matt</t>
  </si>
  <si>
    <t>StrongLine Barnio sada Big čierna mat</t>
  </si>
  <si>
    <t>StrongLine Barnio zestaw Big</t>
  </si>
  <si>
    <t>StrongLine Barnio sada tlumičů</t>
  </si>
  <si>
    <t>StrongLine Barnio csillapító készlet</t>
  </si>
  <si>
    <t>StrongLine Barnio sada tlmičov</t>
  </si>
  <si>
    <t>StrongLine Barnio zestaw tłumienia</t>
  </si>
  <si>
    <t>StrongLine Barnio horní vedení 2m černá mat</t>
  </si>
  <si>
    <t>StrongLine Barnio felső sín 2m,fekete matt</t>
  </si>
  <si>
    <t>StrongLine Barnio horné vedenie 2m čierna mat</t>
  </si>
  <si>
    <t>StrongLine Barnio tor górny 2 m</t>
  </si>
  <si>
    <t>StrongLine Barnio horní vedení 3m černá mat</t>
  </si>
  <si>
    <t>StrongLine Barnio felső sín 3m,fekete matt</t>
  </si>
  <si>
    <t>StrongLine Barnio horné vedenie 3m čierna mat</t>
  </si>
  <si>
    <t>StrongLine Barnio tor górny 3 m</t>
  </si>
  <si>
    <t>StrongLine Barnio spojovací materiál na stěnu černá mat</t>
  </si>
  <si>
    <t>StrongLine Barnio összekötő anyag a falra,fekete matt</t>
  </si>
  <si>
    <t>StrongLine Barnio spojovací materiál na stenu čierna mat</t>
  </si>
  <si>
    <t>StrongLine Barnio materiał łączący do ściany czarny mat</t>
  </si>
  <si>
    <t>K-StrongLine Barnio sada Simple 2m s tlumením, 30-40mm černá mat</t>
  </si>
  <si>
    <t>K-StrongLine Barnio készlet Simple 2m csillapítással, 30-40mm, fekete matt</t>
  </si>
  <si>
    <t>K-StrongLine Barnio sada Simple 2m s tlmením, 30-40mm čierna mat</t>
  </si>
  <si>
    <t>K-StrongLine Barnio zestaw Simple 2 m z tłumieniem, 30-40 mm</t>
  </si>
  <si>
    <t>K-StrongLine Barnio sada Simple 3m s tlumením, 30-40mm černá mat</t>
  </si>
  <si>
    <t>K-StrongLine Barnio készlet Simple 3m csillapítással, 30-40mm fekete matt</t>
  </si>
  <si>
    <t>K-StrongLine Barnio sada Simple 3m s tlmením, 30-40mm čierna mat</t>
  </si>
  <si>
    <t>K-StrongLine Barnio zestaw Simple 3 m z tłumieniem, 30-40 mm</t>
  </si>
  <si>
    <t>K-StrongLine Barnio sada Square 2m s tlumením, 30-40mm černá mat</t>
  </si>
  <si>
    <t>K-StrongLine Barnio készlet 2m Square csillapítással, 30-40mm fekete matt</t>
  </si>
  <si>
    <t>K-StrongLine Barnio sada Square 2m s tlmením, 30-40mm čierna mat</t>
  </si>
  <si>
    <t>K-StrongLine Barnio zestaw Square 2 m z tłumieniem, 30-40 mm</t>
  </si>
  <si>
    <t>K-StrongLine Barnio sada Square 3m s tlumením, 30-40mm černá mat</t>
  </si>
  <si>
    <t>K-StrongLine Barnio Square 3m-es csillapítással, 30-40mm fekete matt</t>
  </si>
  <si>
    <t>K-StrongLine Barnio sada Square 3m s tlmením, 30-40mm čierna mat</t>
  </si>
  <si>
    <t>K-StrongLine Barnio zestaw Square 3 m z tłumieniem, 30-40 mm</t>
  </si>
  <si>
    <t>K-StrongLine Barnio sada Big 2m s tlumením, 30-40mm černá mat</t>
  </si>
  <si>
    <t>K-StrongLine Barnio készlet Big 2m csillapítással, 30-40mm fekete matt</t>
  </si>
  <si>
    <t>K-StrongLine Barnio sada Big 2m s tlmením, 30-40mm čierna mat</t>
  </si>
  <si>
    <t>K-StrongLine Barnio zestaw Big 2 m z tłumieniem, 30-40 mm</t>
  </si>
  <si>
    <t>K-StrongLine Barnio sada Big 3m s tlumením, 30-40mm černá mat</t>
  </si>
  <si>
    <t>K-StrongLine Barnio készlet Big 3m csillapítással, 30-40mm fekete matt</t>
  </si>
  <si>
    <t>K-StrongLine Barnio sada Big 3m s tlmením, 30-40mm čierna mat</t>
  </si>
  <si>
    <t>K-StrongLine Barnio zestaw Big 3 m z tłumieniem, 30-40 mm</t>
  </si>
  <si>
    <t>K-StrongLine Barnio sada Simple 2m bez tlumení, 30-40mm černá mat</t>
  </si>
  <si>
    <t>K-StrongLine Barnio készlet Simple 2m csillapítás nélkül, 30-40mm fekete matt</t>
  </si>
  <si>
    <t>K-StrongLine Barnio sada Simple 2m bez tlmenia, 30-40mm čierna mat</t>
  </si>
  <si>
    <t>K-StrongLine Barnio zestaw Simple 2 m bez tłumienia, 30-40 mm</t>
  </si>
  <si>
    <t>K-StrongLine Barnio sada Simple 3m bez tlumení, 30-40mm černá mat</t>
  </si>
  <si>
    <t>K-StrongLine Barnio készlet Simple 3m csillapítás nélkül, 30-40mm fekete matt</t>
  </si>
  <si>
    <t>K-StrongLine Barnio sada Simple 3m bez tlmenia, 30-40mm čierna mat</t>
  </si>
  <si>
    <t>K-StrongLine Barnio zestaw Simple 3 m bez tłumienia, 30-40 mm</t>
  </si>
  <si>
    <t>K-StrongLine Barnio sada Big 2m bez tlumení, 30-40mm černá mat</t>
  </si>
  <si>
    <t>K-StrongLine Barnio készlet Big 2m csillapítás nélkül, 30-40mm fekete matt</t>
  </si>
  <si>
    <t>K-StrongLine Barnio sada Big 2m bez tlmenia, 30-40mm čierna mat</t>
  </si>
  <si>
    <t>K-StrongLine Barnio zestaw Big 2 m bez tłumienia, 30-40 mm</t>
  </si>
  <si>
    <t>K-StrongLine Barnio sada Big 3m bez tlumení, 30-40mm černá mat</t>
  </si>
  <si>
    <t>K-StrongLine Barnio készlet Big 3m csillapítás nélkül, 30-40mm fekete matt</t>
  </si>
  <si>
    <t>K-StrongLine Barnio sada Big 3m bez tlmenia, 30-40mm čierna mat</t>
  </si>
  <si>
    <t>K-StrongLine Barnio zestaw Big 3 m bez tłumienia, 30-40 mm</t>
  </si>
  <si>
    <t>K-StrongLine Barnio sada Square 2m bez tlumení, 30-40mm černá mat</t>
  </si>
  <si>
    <t>K-StrongLine Barnio készlet 2m Square csillapítás nélkül, 30-40mm fekete matt</t>
  </si>
  <si>
    <t>K-StrongLine Barnio sada Square 2m bez tlmenia, 30-40mm čierna mat</t>
  </si>
  <si>
    <t>K-StrongLine Barnio zestaw Square 2 m bez tłumienia, 30-40 mm</t>
  </si>
  <si>
    <t>K-StrongLine Barnio sada Square 3m bez tlumení, 30-40mm černá mat</t>
  </si>
  <si>
    <t>K-StrongLine Barnio Square 3m-es csillapítás nélkül, 30-40mm fekete matt</t>
  </si>
  <si>
    <t>K-StrongLine Barnio sada Square 3m bez tlmenia, 30-40mm čierna mat</t>
  </si>
  <si>
    <t>K-StrongLine Barnio zestaw Square 3 m bez tłumienia, 30-40 mm</t>
  </si>
  <si>
    <t>IC-úchytová lišta Comfort 10mm 2,7m stříbrná</t>
  </si>
  <si>
    <t>IC-fogantyú profil Comfort 10mm 2,7m ezüst</t>
  </si>
  <si>
    <t>IC-úchytová lišta Comfort 10mm 2,7m strieborná</t>
  </si>
  <si>
    <t>IC-rączka Comfort 10mm 2,7m srebrna</t>
  </si>
  <si>
    <t>IC-úch.lišta Harmony 10mm 2,7m  stříbrná</t>
  </si>
  <si>
    <t>IC-Fog.profil Harmony 10 mm 2,6m ezüst</t>
  </si>
  <si>
    <t>IC-úch.lišta Harmony 10mm 2,7m strieborn</t>
  </si>
  <si>
    <t>IC-Llistwa uchwytowa Harmony 10mm 2,6m  srebrny</t>
  </si>
  <si>
    <t>IC-horní vodící lišta 10mm 3m  stříbrná</t>
  </si>
  <si>
    <t>IC-felső vez.prof.10 mm 3m  ezüst</t>
  </si>
  <si>
    <t>IC-horná vodiaca lišta 10mm 3m  striebor</t>
  </si>
  <si>
    <t>IC-górna listwa wodząca 10mm 3m srebrny</t>
  </si>
  <si>
    <t>IC-horní vodící lišta 10mm 5m stříbrná</t>
  </si>
  <si>
    <t>IC-felső vezető profil 10mm 5m ezüst</t>
  </si>
  <si>
    <t>IC-Horná vodiaca lišta10mm 5m strieborná</t>
  </si>
  <si>
    <t>IC-Górna listwa torowa 10mm 5m srebrna</t>
  </si>
  <si>
    <t>S-S80 sada kování 80kg (H80)</t>
  </si>
  <si>
    <t>S-S80 vasalat szett 80kg (H80)</t>
  </si>
  <si>
    <t>S-S80 sada kovania 80kg (H80)</t>
  </si>
  <si>
    <t>S-S80 komplet okuć 80kg (H80)</t>
  </si>
  <si>
    <t>S-profil S40/80 2m ocel</t>
  </si>
  <si>
    <t>S-profil S40/80 2m acél</t>
  </si>
  <si>
    <t>S-profil S40/80 2m-oceľ</t>
  </si>
  <si>
    <t>S-profil S40/80 2m stal</t>
  </si>
  <si>
    <t>S-profil S40/80 3m ocel</t>
  </si>
  <si>
    <t>S-profil S40/80 3m acél</t>
  </si>
  <si>
    <t>S-profil S40/80 3m oceľ</t>
  </si>
  <si>
    <t>S-profil S40/80 3m stal</t>
  </si>
  <si>
    <t>S-aretační brzda S40/S40H/S80</t>
  </si>
  <si>
    <t>S-rögzítőfék S40/S40H/S80</t>
  </si>
  <si>
    <t>S - aretačná brzda S40/S40H/S80</t>
  </si>
  <si>
    <t>S-hamulec do regulacji S40/S40H/S80</t>
  </si>
  <si>
    <t>S-S40 sada kování</t>
  </si>
  <si>
    <t>S-S40 vasalat szett</t>
  </si>
  <si>
    <t>S-S40  sada kovania</t>
  </si>
  <si>
    <t>S-S40 komplet okuć</t>
  </si>
  <si>
    <t>S-S50 lišta spodní elox alu 3m</t>
  </si>
  <si>
    <t>S-S50 alsó profil elox alu 3m</t>
  </si>
  <si>
    <t>S-S50 lišta spodná elox alu 3m</t>
  </si>
  <si>
    <t>S-S50 listwa dolna elox alu 3m</t>
  </si>
  <si>
    <t>S-S60H sada kování (H60)</t>
  </si>
  <si>
    <t>S-S60H vasalat szett (H60)</t>
  </si>
  <si>
    <t>S-S60H-SADA KOVANIA (H60)</t>
  </si>
  <si>
    <t>S-S60H komplet okuć (H60)</t>
  </si>
  <si>
    <t>S-S08 úchytový profil alu elox 2,7m</t>
  </si>
  <si>
    <t>S-S08 fogantyú profil alu elox 2,7m</t>
  </si>
  <si>
    <t>S-S08 profil uchwytowy alu elox 2,7m</t>
  </si>
  <si>
    <t>S-S03 vodící profil alu elox 1,25m</t>
  </si>
  <si>
    <t>S-S03 vezető profil alu elox 1,25m</t>
  </si>
  <si>
    <t>S-S03 vod.prof.alu elox 1,25m</t>
  </si>
  <si>
    <t>S-S03 profil prowadzący alu elox 1,25m</t>
  </si>
  <si>
    <t>S-S37 sada kování 1 křídlo</t>
  </si>
  <si>
    <t>S-S37 vasalat szett 1 ajtószárny</t>
  </si>
  <si>
    <t>S-S37 sada kovania 1 krídlo</t>
  </si>
  <si>
    <t>S-S37 komplet okuć 1 skrzydło</t>
  </si>
  <si>
    <t>S-S50 lišta horní zafrézovací alu surová 3m</t>
  </si>
  <si>
    <t>S-S50 felső profil bemarásra alu nyers 3m</t>
  </si>
  <si>
    <t>S-S50 lišta horná zafrézovacia alu surová 3m</t>
  </si>
  <si>
    <t>S-S50 górna listwa do zafrezowania aluminium surowe 3m</t>
  </si>
  <si>
    <t>S-S50 lišta horní zafrézovací alu surová 2m</t>
  </si>
  <si>
    <t>S-S50 felső profil bemarásra alu nyers 2m</t>
  </si>
  <si>
    <t>S-S50 lišta horná zafrézovacia alu surová 2m</t>
  </si>
  <si>
    <t>S-S50 górna listwa do zafrezowania aluminium surowe 2m</t>
  </si>
  <si>
    <t>S-S03 vodící profil alu elox 3m</t>
  </si>
  <si>
    <t>S-S03 vezető profil alu elox 3m</t>
  </si>
  <si>
    <t>S-S03 vodiaci profil alu elox 3m</t>
  </si>
  <si>
    <t>S-S03 profil prowadzący anoda 3m</t>
  </si>
  <si>
    <t>S-S03 vodící profil alu elox 2m</t>
  </si>
  <si>
    <t>S-S03 vezető profil alu elox 2m</t>
  </si>
  <si>
    <t>S-S03 vodiaci profil alu elox 2m</t>
  </si>
  <si>
    <t>S-S03 profil prowadzący anoda 2m</t>
  </si>
  <si>
    <t>S-S27AL sada kování pro alu dvířka 25 kg</t>
  </si>
  <si>
    <t>S-S27AL vasalat szett alu ajtókra 25 kg</t>
  </si>
  <si>
    <t>S-S27AL sada kovania pre alu dvierka 25 kg</t>
  </si>
  <si>
    <t>S-S27AL komplet okuć do drzwiczek aluminiowych 25 kg</t>
  </si>
  <si>
    <t>S-S37AL sada kování pro alu dvířka 35 kg</t>
  </si>
  <si>
    <t>S-S37AL vasalat szett alu ajtókra 35 kg</t>
  </si>
  <si>
    <t>S-S37AL sada kovania pre alu dvierka 35 kg</t>
  </si>
  <si>
    <t>S-S37AL komplet okuć do drzwiczek aluminiowych 35 kg</t>
  </si>
  <si>
    <t>S-S40H sada kování (H40HARD)</t>
  </si>
  <si>
    <t>S-S40H vasalat szett (H40HARD)</t>
  </si>
  <si>
    <t>S-S40H sada kovania (H40HARD)</t>
  </si>
  <si>
    <t>S-S40H komplet okuć (H40HARD)</t>
  </si>
  <si>
    <t>S-S20/30 vodítko černé/hnědé</t>
  </si>
  <si>
    <t>S-S20/30 vezető fekete/barna</t>
  </si>
  <si>
    <t>S-S20/30-vodítko čierne/hnedé</t>
  </si>
  <si>
    <t>S-S20/30 ogranicznik czarny/brązowy</t>
  </si>
  <si>
    <t>S-S40/80 vodítko</t>
  </si>
  <si>
    <t>S-S40/80 vezető</t>
  </si>
  <si>
    <t>S - S40/80 - vodítko</t>
  </si>
  <si>
    <t>S-S40/80 prowadzenie</t>
  </si>
  <si>
    <t>S-brzda S36 (H60) součást sady S36</t>
  </si>
  <si>
    <t>S-fék S36 (H60) a S36 szett része</t>
  </si>
  <si>
    <t>S-brzda S36 (H60) súčasť sady S36</t>
  </si>
  <si>
    <t>S-hamulec S36 (H60) część kompletu S36</t>
  </si>
  <si>
    <t>S-S40/80 příchytka stěnová (H40/80)</t>
  </si>
  <si>
    <t>S-S40/80 rögzítő elem falra (H40/80)</t>
  </si>
  <si>
    <t>S-S40/80 príchytka stenová (H40/80)</t>
  </si>
  <si>
    <t>S-S40/80 zawieszka ścienna (H40/80)</t>
  </si>
  <si>
    <t>S-S25 horní lišta alu elox 2m</t>
  </si>
  <si>
    <t>S-S25 felső profil alu elox 2m</t>
  </si>
  <si>
    <t>S-S25 horná lišta alu elox 2m</t>
  </si>
  <si>
    <t>S-S25 górna listwa alu elox 2m</t>
  </si>
  <si>
    <t>S-S25 horní lišta alu elox 3m</t>
  </si>
  <si>
    <t>S-S25 felső profil alu elox 3m</t>
  </si>
  <si>
    <t>S-S25- horná lišta alu elox 3m</t>
  </si>
  <si>
    <t>S-S25 górna listwa alu elox 3m</t>
  </si>
  <si>
    <t>S-S25 horní lišta alu surová 2m</t>
  </si>
  <si>
    <t>S-S25 felső profil alu nyers 2m</t>
  </si>
  <si>
    <t>S-S25 horná lišta alu surová 2m</t>
  </si>
  <si>
    <t>S-S25 górna listwa alu surowa 2m</t>
  </si>
  <si>
    <t>S-S03 vod.profil alu elox 2,5m</t>
  </si>
  <si>
    <t>S-SALU 03(S03) vez.profil alu elox 2,5m</t>
  </si>
  <si>
    <t>S-S03 vod.prof.alu elox 2,5m</t>
  </si>
  <si>
    <t>S-S03 profil wodzący alu elox 2,5m</t>
  </si>
  <si>
    <t>S-S20 sada kování 1 křídlo 20kg</t>
  </si>
  <si>
    <t>S-S20 vasalat szett 1 ajtószárny 20kg</t>
  </si>
  <si>
    <t>S-S20-sada kovania 1 krídlo 20 kg</t>
  </si>
  <si>
    <t>S-S20 komplet okuć 1 skrzydło 20kg</t>
  </si>
  <si>
    <t>S-S30 sada kování 1 křídlo 30kg</t>
  </si>
  <si>
    <t>S-S30 vasalat szett 1 ajtószárny 30kg</t>
  </si>
  <si>
    <t>S-S30 sada kovania 1 krídlo 30kg</t>
  </si>
  <si>
    <t>S-S30 komplet okuć 1 skrzydło 30 kg</t>
  </si>
  <si>
    <t>S-S20/30 lišta jednoduchá ocel 2m</t>
  </si>
  <si>
    <t>S-S20/30 profil szimpla acél 2m</t>
  </si>
  <si>
    <t>HH-H20/30-LIŠTA JEDNOD. OCEĽ (S20/30) 2m</t>
  </si>
  <si>
    <t>S-S20/30 listwa pojedyńcza stal 2m</t>
  </si>
  <si>
    <t>S-S20/30 lišta jednoduchá ocel 3m</t>
  </si>
  <si>
    <t>S-S20/30 profil szimpla acél 3m</t>
  </si>
  <si>
    <t>S-S20/30-lišta jednoduchá oceľ 3m</t>
  </si>
  <si>
    <t>S-S20/30 listwa pojedyńcza stal 3m</t>
  </si>
  <si>
    <t>S-S20/30 alu elox lišta dvojitá 2m</t>
  </si>
  <si>
    <t>S-S20/30 alu elox profil dupla 2m</t>
  </si>
  <si>
    <t>HH-H20/30 (S30) -ALU LIŠTA DVOJITÁ 2m</t>
  </si>
  <si>
    <t>S-S20/30 alu elox listwa podwójna 2m</t>
  </si>
  <si>
    <t>S-S20/30 alu elox lišta dvojitá 3m</t>
  </si>
  <si>
    <t>S-S20/30 alu elox profil dupla 3m</t>
  </si>
  <si>
    <t>HH-H20/30 (S30) -ALU LIŠTA DVOJITÁ 3m</t>
  </si>
  <si>
    <t>S-S20/30 alu elox listwa podwójna 3m</t>
  </si>
  <si>
    <t>S-S20/S30 brzda plastová</t>
  </si>
  <si>
    <t>S-S20/S30 fék műanyag</t>
  </si>
  <si>
    <t>HH-H20/30 (S30) -BRZDA PLASTOVÁ</t>
  </si>
  <si>
    <t>S-S20/S30 hamulec plastikowy</t>
  </si>
  <si>
    <t>S-S20/30 doraz + 2x vrut</t>
  </si>
  <si>
    <t>S-S20/30 ütköző+2x csavar</t>
  </si>
  <si>
    <t>S-S20/30 - doraz + 2x skrutka</t>
  </si>
  <si>
    <t>S-S20/30 odbojnik + 2x wkręt</t>
  </si>
  <si>
    <t>Posuv.int.kov. 1400 - lišta horní 6m</t>
  </si>
  <si>
    <t>TOLÓ AJT.INT.VAS1400-PROFIL FELSŐ 6M</t>
  </si>
  <si>
    <t>POSUV.INT.KOV 1400 - LIŠTA HORNÁ 6m</t>
  </si>
  <si>
    <t>PRZES.WEWN.OKUCIE 1400 - LISTWA GÓRNA 6m</t>
  </si>
  <si>
    <t>S-S50 lišta dolní alu elox (H35/60) 2m</t>
  </si>
  <si>
    <t>S-S50 alsó profil alu elox (H35/60) 2m</t>
  </si>
  <si>
    <t>S-S50 lišta dolná alu elox (H35/60) 2m</t>
  </si>
  <si>
    <t>S-S50 dolna listwa alu elox (H35/60) 2m</t>
  </si>
  <si>
    <t>Brzda k posuvnému interiovému kování</t>
  </si>
  <si>
    <t>Fék vasalathoz 1390/1391</t>
  </si>
  <si>
    <t>Brzda k posuvnému interiérovému kovaniu</t>
  </si>
  <si>
    <t>Hamulec do okucia 1390/1391</t>
  </si>
  <si>
    <t>Lišta horní alu 1390 / 330cm</t>
  </si>
  <si>
    <t>FELSŐ PROFIL ALU 1390 / 330cm</t>
  </si>
  <si>
    <t>LIŠTA HORNÁ ALU 1390 / 330cm</t>
  </si>
  <si>
    <t>LISTWA GÓRNA ALU 1390 / 330cm</t>
  </si>
  <si>
    <t>StrongLine alu profil 1030 horní 1,2m</t>
  </si>
  <si>
    <t>StrongLine alu profil 1030 felső 1,2m</t>
  </si>
  <si>
    <t>StrongLine alu profil 1030 horný 1,2m</t>
  </si>
  <si>
    <t>StrongLine alu profil 1030 górny 1,2m</t>
  </si>
  <si>
    <t>StrongLine alu profil 1030 horní 2m</t>
  </si>
  <si>
    <t>StrongLine alu profil 1030 felső 2m</t>
  </si>
  <si>
    <t>StrongLine alu profil 1030 horný 2m</t>
  </si>
  <si>
    <t>StrongLine alu profil 1030 górny 2m</t>
  </si>
  <si>
    <t>StrongLine alu profil 1030 horní 3m</t>
  </si>
  <si>
    <t>StrongLine alu profil 1030 felső 3m</t>
  </si>
  <si>
    <t>StrongLine alu profil 1030 horný 3m</t>
  </si>
  <si>
    <t>StrongLine alu profil 1030 górny 3m</t>
  </si>
  <si>
    <t>StrongLine alu profil 1030 spodní 1,2m</t>
  </si>
  <si>
    <t>StrongLine alu profil 1030 alsó 1,2m</t>
  </si>
  <si>
    <t>StrongLine alu profil 1030 dolný 1,2m</t>
  </si>
  <si>
    <t>StrongLine alu profil 1030 dolny 1,2m</t>
  </si>
  <si>
    <t>StrongLine alu profil 1030 spodní 2m</t>
  </si>
  <si>
    <t>StrongLine alu profil 1030 alsó 2m</t>
  </si>
  <si>
    <t>StrongLine alu profil 1030 dolný 2m</t>
  </si>
  <si>
    <t>StrongLine alu profil 1030 dolny 2m</t>
  </si>
  <si>
    <t>StrongLine alu profil 1030 spodní 3m</t>
  </si>
  <si>
    <t>StrongLine alu profil 1030 alsó 3m</t>
  </si>
  <si>
    <t>StrongLine alu profil 1030 dolný 3m</t>
  </si>
  <si>
    <t>StrongLine alu profil 1030 dolny 3m</t>
  </si>
  <si>
    <t>StrongLine alu profil 1030W spodní 1,2m</t>
  </si>
  <si>
    <t>StrongLine alu profil 1030W alsó 1,2m</t>
  </si>
  <si>
    <t>StrongLine alu profil 1030W spodný 1,2m</t>
  </si>
  <si>
    <t>StrongLine alu profil 1030W dolny 1,2m</t>
  </si>
  <si>
    <t>StrongLine alu profil 1030W spodní 2m</t>
  </si>
  <si>
    <t>StrongLine alu profil 1030W alsó 2m</t>
  </si>
  <si>
    <t>StrongLine alu profil 1030W spodný 2m</t>
  </si>
  <si>
    <t>StrongLine alu profil 1030W dolny 2m</t>
  </si>
  <si>
    <t>StrongLine alu profil 1030W spodní 3m</t>
  </si>
  <si>
    <t>StrongLine alu profil 1030W alsó 3m</t>
  </si>
  <si>
    <t>StrongLine alu profil 1030W spodný 3m</t>
  </si>
  <si>
    <t>StrongLine alu profil 1030W dolny 3m</t>
  </si>
  <si>
    <t>S-S35A horní jezdec posuvné kování</t>
  </si>
  <si>
    <t>S-S35A felső szán tolóajtó vasalat</t>
  </si>
  <si>
    <t>S-S35A horný jazdec posuvné kovanie</t>
  </si>
  <si>
    <t>S-S35A górny wózek okucia przesuwne</t>
  </si>
  <si>
    <t>S-S35B horní jezdec posuvné kování</t>
  </si>
  <si>
    <t>S-S35B felső szán tolóajtó vasalat</t>
  </si>
  <si>
    <t>S35B HORNÝ JAZDEC POS. KOVANIA</t>
  </si>
  <si>
    <t>S-S35B górny wózek do okucia przesuwnego</t>
  </si>
  <si>
    <t>S-S60N 1 sada kování pro 1 dveře</t>
  </si>
  <si>
    <t>S-S60N 1 vasalat szett 1 ajtóra</t>
  </si>
  <si>
    <t>S-S60N 1 sada kovania pre 1 dvere</t>
  </si>
  <si>
    <t>S-S60N 1 komplet okuć do 1 drzwi</t>
  </si>
  <si>
    <t>SALU- PROFIL U PRO DTD 18 3M ALU</t>
  </si>
  <si>
    <t>K-WC Horní upevňovací svorka T 18 mm</t>
  </si>
  <si>
    <t>K-Felső rögzítő kapocs T 18 mm</t>
  </si>
  <si>
    <t>K-WC Horná upevňovacia svorka T 18 mm</t>
  </si>
  <si>
    <t>K-WC Górny zacisk T 18 mm</t>
  </si>
  <si>
    <t>K-WC Závěs levý (šrouby) H70 18 mm</t>
  </si>
  <si>
    <t>K-WC Pánt balos (csavarok) H70 18 mm</t>
  </si>
  <si>
    <t>K-WC Záves  ľavý (skrutky ) H70 18 mm</t>
  </si>
  <si>
    <t>K-WC Zawias lewy (śrubki) H70 18 mm</t>
  </si>
  <si>
    <t>K-WC Závěs pravý (šrouby) H70 18 mm</t>
  </si>
  <si>
    <t>K-WC Pánt jobbos (csavarok) H70 18 mm</t>
  </si>
  <si>
    <t>K-WC Záves  pravý (skrutky ) H70 18 mm</t>
  </si>
  <si>
    <t>K-WC Zawias prawy (śrubki) H70 18 mm</t>
  </si>
  <si>
    <t>S-S50 lišta spodní RAL9005 mat alu 3m</t>
  </si>
  <si>
    <t>S-S50 alsó sín RAL9005  alu 3m</t>
  </si>
  <si>
    <t>S-S50 lišta spodná RAL9005 mat alu 3m</t>
  </si>
  <si>
    <t>S-S50 lišta horní RAL9005 mat alu 3m</t>
  </si>
  <si>
    <t>S-S50 felső sín RAL9005 matt alumínium 3m</t>
  </si>
  <si>
    <t>S-S50 lišta horná RAL9005 mat alu 3m</t>
  </si>
  <si>
    <t>StrongLine Planio sada pro 2 křídla plné tlumení,včetně 8 tlumičů,80kg</t>
  </si>
  <si>
    <t>StrongLine Planio készlet, 2 ajtószárny, teljes csillapításs, 8 csillapító, 80kg</t>
  </si>
  <si>
    <t>StrongLine Planio sada pre 2 krídla plné tlmenie, vrátane 8 tlmičov</t>
  </si>
  <si>
    <t>StrongLine Planio zestaw do 2 skrzydeł z pełnym tłumieniem,8 szt. tłumienia,80kg</t>
  </si>
  <si>
    <t>StrongLine Planio sada pro 3 křídla plné tlumení, včetně 10 tlumičů, antikolize</t>
  </si>
  <si>
    <t>StrongLine Planio készlet 3 ajtószárnyra teljes csillapítással, 10 csillapító</t>
  </si>
  <si>
    <t>StrongLine Planio sada pre 3 krídla plné tlmenie, vrátane 10 tlmičov,antikolizne</t>
  </si>
  <si>
    <t>StrongLine Planio zestaw do 3 skrzydeł z pełnym tłumieniem, antykolizyjny</t>
  </si>
  <si>
    <t>StrongLine Planio horní vedení elox 2m</t>
  </si>
  <si>
    <t>StrongLine Planio felső vezetés eloxált 2m</t>
  </si>
  <si>
    <t>StrongLine Planio horné vedenie elox 2m</t>
  </si>
  <si>
    <t>StrongLine Planio tor górny anodowany 2 m</t>
  </si>
  <si>
    <t>StrongLine Planio horní vedení elox 3m</t>
  </si>
  <si>
    <t>StrongLine Planio felső vezetés eloxált 3m</t>
  </si>
  <si>
    <t>StrongLine Planio horné vedenie elox 3m</t>
  </si>
  <si>
    <t>StrongLine Planio tor górny anodowany 3 m</t>
  </si>
  <si>
    <t>StrongLine Planio horní vedení elox 4m</t>
  </si>
  <si>
    <t>StrongLine Planio felső vezetés eloxált 4m</t>
  </si>
  <si>
    <t>StrongLine Planio horné vedenie elox 4m</t>
  </si>
  <si>
    <t>StrongLine Planio tor górny anodowany 4 m</t>
  </si>
  <si>
    <t>StrongLine Planio spodní vedení elox 2m</t>
  </si>
  <si>
    <t>StrongLine Planio alsó vezető eloxált 2m</t>
  </si>
  <si>
    <t>StrongLine Planio spodné vedenie elox 2m</t>
  </si>
  <si>
    <t>StrongLine Planio tor dolny anodowany 2 m</t>
  </si>
  <si>
    <t>StrongLine Planio spodní vedení elox 3m</t>
  </si>
  <si>
    <t>StrongLine Planio alsó vezető eloxált 3m</t>
  </si>
  <si>
    <t>StrongLine Planio spodné vedenie elox 3m</t>
  </si>
  <si>
    <t>StrongLine Planio tor dolny anodowany 3 m</t>
  </si>
  <si>
    <t>StrongLine Planio spodní vedení elox 4m</t>
  </si>
  <si>
    <t>StrongLine Planio alsó vezető eloxált 4m</t>
  </si>
  <si>
    <t>StrongLine Planio spodné vedenie elox 4m</t>
  </si>
  <si>
    <t>StrongLine Planio tor dolny anodowany 4 m</t>
  </si>
  <si>
    <t>StrongLine Planio krycí profil pro vnější dveře elox 2m</t>
  </si>
  <si>
    <t>StrongLine Planio takaró profil eloxált 2m</t>
  </si>
  <si>
    <t>StrongLine Planio krycí profil elox 3m</t>
  </si>
  <si>
    <t>StrongLine Planio profil maskujący do drzwi zewnętrznych, anodowany, 2 m</t>
  </si>
  <si>
    <t>S-kartáč dorazový nízký s lepidlem 4,8*5mm šedý</t>
  </si>
  <si>
    <t>Az S-kefe ütközője alacsony, ragasztó nélkül, 4,8x5mm szürke</t>
  </si>
  <si>
    <t>S-kartáč dorazový nízký s lepidlom 4,8*5mm sivý</t>
  </si>
  <si>
    <t>S-brush stop niski z klejem 4,8*5mm szary</t>
  </si>
  <si>
    <t>S-S60N-2 sada kování pro 1 dveře</t>
  </si>
  <si>
    <t>S-S60N-2 vasalat szett 1 ajtóra</t>
  </si>
  <si>
    <t>S-S60N-2 sada kovania pre 1 dvere</t>
  </si>
  <si>
    <t>S-S60N-2 komplet okuć do 1 drzwi</t>
  </si>
  <si>
    <t>S-dělící profil "T" 3m elox sříbrný</t>
  </si>
  <si>
    <t>S-osztó profil "T" 3m elox ezüst</t>
  </si>
  <si>
    <t>S-deliaci profil "T" 3m elox sríborný</t>
  </si>
  <si>
    <t>S-profil dzielący "T" 3m elox srebrny</t>
  </si>
  <si>
    <t>S-profil S04 stříbrný elox 2,7m</t>
  </si>
  <si>
    <t>S-profil 04 ezüst elox 2,7m</t>
  </si>
  <si>
    <t>S-profil S04 str.elox 2,7m</t>
  </si>
  <si>
    <t>S-profil S04 srebrny elox 2,7m</t>
  </si>
  <si>
    <t>S-S34 sada kování pro alu rámeček</t>
  </si>
  <si>
    <t>S-S34 vasalat szett alu keretre</t>
  </si>
  <si>
    <t>S-S34sada kovania pre alu rámček</t>
  </si>
  <si>
    <t>S-S34 komplet okuć do ramek aluminiowych</t>
  </si>
  <si>
    <t>IC-úchytová lišta Exclusive 10mm 2,7m stříbrná</t>
  </si>
  <si>
    <t>IC-fogantyú profil Exclusive 10mm 2,7m ezüst</t>
  </si>
  <si>
    <t>IC-úch.lišta Exclusive 10mm 2,7m str.</t>
  </si>
  <si>
    <t>IC-rączka Exclusive 10mm 2,7m srebrna</t>
  </si>
  <si>
    <t>IC-horní vodící lišta 10mm 2m stříbrná</t>
  </si>
  <si>
    <t>IC-felső vezető profil 10mm 2m ezüst</t>
  </si>
  <si>
    <t>IC-horná vodiaca lišta 10mm 2m strieborná</t>
  </si>
  <si>
    <t>IC-Górna listwa torowa 10mm 2m srebrna</t>
  </si>
  <si>
    <t>IC-spodní krycí lišta 10mm 2m stříbrná</t>
  </si>
  <si>
    <t>IC-alsó takaró profil 10mm 2m ezüst</t>
  </si>
  <si>
    <t>IC-spodná krycia lišta 10mm 2m strieborná</t>
  </si>
  <si>
    <t>IC-Dolna listwa maskująca  10mm 2m srebrna</t>
  </si>
  <si>
    <t>StrongLine Linio sada kování pro 2 křídla s tlumením 40kg</t>
  </si>
  <si>
    <t>StrongLine Linio szerelvénykészlet 2 szárnyhoz 40 kg-os csillapítással</t>
  </si>
  <si>
    <t>StrongLine Linio sada kovania pre 2 krídla s tlmením 40 kg</t>
  </si>
  <si>
    <t>StrongLine Linio komplet okuć do 2 skrzydeł z tłumieniem 40kg</t>
  </si>
  <si>
    <t>StrongLine Linio sada kování pro 3 křídla s tlumením 40kg</t>
  </si>
  <si>
    <t>StrongLine Linio szerelvénykészlet 3 szárnyhoz 40 kg-os csillapítással</t>
  </si>
  <si>
    <t>StrongLine Linio sada kovania pre 3 krídla s tlmením 40 kg</t>
  </si>
  <si>
    <t>StrongLine Linio komplet okuć do 3 skrzydeł z tłumieniem 40kg</t>
  </si>
  <si>
    <t>StrongLine Linio horní/spodní vedení elox 1,5m</t>
  </si>
  <si>
    <t>StrongLine Linio alsó/felső vezetés elox 1,5m</t>
  </si>
  <si>
    <t>StrongLine Linio horné/spodné vedenie elox 1,5m</t>
  </si>
  <si>
    <t>StrongLine Linio górny/dolny tor  elox 1,5m</t>
  </si>
  <si>
    <t>StrongLine Linio horní/spodní vedení elox 2m</t>
  </si>
  <si>
    <t>StrongLine Linio alsó/felső vezetés elox 2m</t>
  </si>
  <si>
    <t>StrongLine Linio horné/spodné vedenie elox 2m</t>
  </si>
  <si>
    <t>StrongLine Linio górny/dolny tor  elox 2m</t>
  </si>
  <si>
    <t>StrongLine Linio horní/spodní vedení elox 3m</t>
  </si>
  <si>
    <t>StrongLine Linio alsó/felső vezetés elox 3m</t>
  </si>
  <si>
    <t>StrongLine Linio horné/spodné vedenie elox 3m</t>
  </si>
  <si>
    <t>StrongLine Linio górny/dolny tor  elox 3m</t>
  </si>
  <si>
    <t>StrongLine Linio středový tlumič oboustranný</t>
  </si>
  <si>
    <t>StrongLine Linio közép csillapító kétoldalú</t>
  </si>
  <si>
    <t>StrongLine Linio stredový tlmič obojstranný</t>
  </si>
  <si>
    <t>StrongLine Linio dwustronne tłumienie środkowe</t>
  </si>
  <si>
    <t>StrongLine Baleo sada kování pro 1 křídlo 30kg</t>
  </si>
  <si>
    <t>StrongLine Baleo vasalat szett 1 ajtószárnyra 30kg</t>
  </si>
  <si>
    <t>StrongLine Baleo sada kovania pre 1 krídlo 30kg</t>
  </si>
  <si>
    <t>StrongLine Baleo komplet okuć do jednego skrzydła 30kg</t>
  </si>
  <si>
    <t>StrongLine Baleo vedení horní/spodní jednoduché 1,2m elox</t>
  </si>
  <si>
    <t>StrongLine Baleo alsó/felső vezetés 1,2m elox</t>
  </si>
  <si>
    <t>StrongLine Baleo vedenie horné/dolné jednoduché 1,2m elox</t>
  </si>
  <si>
    <t>StrongLine Baleo tor górny/dolny 1,2m elox</t>
  </si>
  <si>
    <t>StrongLine Baleo vedení horní/spodní jednoduché 2m elox</t>
  </si>
  <si>
    <t>StrongLine Baleo alsó/felső vezetés 2m elox</t>
  </si>
  <si>
    <t>StrongLine Baleo vedenie horné/dolné jednoduché 2m elox</t>
  </si>
  <si>
    <t>StrongLine Baleo tor górny/dolny 2m elox</t>
  </si>
  <si>
    <t>StrongLine Baleo vedení horní/spodní jednoduché 3m elox</t>
  </si>
  <si>
    <t>StrongLine Baleo alsó/felső vezetés 3m elox</t>
  </si>
  <si>
    <t>StrongLine Baleo vedenie horné/dolné 3m elox</t>
  </si>
  <si>
    <t>StrongLine Baleo tor górny/dolny 3m elox</t>
  </si>
  <si>
    <t>StrongLine Baleo vedení horní/spodní dvojité 1,2m elox</t>
  </si>
  <si>
    <t>StrongLine Baleo alsó/felső vezetés dupla 1,2m elox</t>
  </si>
  <si>
    <t>StrongLine Baleo vedenie horné/dolné dvojité 1,2m</t>
  </si>
  <si>
    <t>StrongLine Baleo tor górny/podwójny dolny  1,2m elox</t>
  </si>
  <si>
    <t>StrongLine Baleo vedení horní/spodní dvojité 2m elox</t>
  </si>
  <si>
    <t>StrongLine Baleo alsó/felső vezetés dupla 2m elox</t>
  </si>
  <si>
    <t>StrongLine Baleo vedenie horné/dolné dvojité 2m el</t>
  </si>
  <si>
    <t>StrongLine Baleo tor górny/podwójny dolny 2m elox</t>
  </si>
  <si>
    <t>StrongLine Baleo vedení horní/spodní dvojité 3m elox</t>
  </si>
  <si>
    <t>StrongLine Baleo alsó/felső vezetés dupla 3m elox</t>
  </si>
  <si>
    <t>StrongLine Baleo vedenie horné/dolné dvojité 3m el</t>
  </si>
  <si>
    <t>StrongLine Baleo tor górny/podwójny dolny 3m elox</t>
  </si>
  <si>
    <t>StrongLine Baleo záslepka dvojitého vedení 3m</t>
  </si>
  <si>
    <t>StrongLine Baleo végzáró dupla vezetésre 3m</t>
  </si>
  <si>
    <t>StrongLine Baleo záslepka dvojitého vedenia 3m</t>
  </si>
  <si>
    <t>StrongLine Baleo záslepka toru podwójnego 3m</t>
  </si>
  <si>
    <t>S-S05-1-horní vodící profil jednoduchý 1,5m stříbrná</t>
  </si>
  <si>
    <t>S-S05-1-felső vezető profil szimpla 1,5m ezüst</t>
  </si>
  <si>
    <t>S-S05-1-horný vodiaci profil jednoduchý 1,5m strieborná</t>
  </si>
  <si>
    <t>S-S06N-1 spodní profil jednoduchý 1,5m elox stříbrný</t>
  </si>
  <si>
    <t>S-S06N-1 alsó profil szimpla 1,5m elox ezüst</t>
  </si>
  <si>
    <t>S-S06N-1 spodný prefil jednoduchý 1,5m elox strieborný</t>
  </si>
  <si>
    <t>S-S50N sada kování</t>
  </si>
  <si>
    <t>S-S50N vasalat szett</t>
  </si>
  <si>
    <t>S-S50N sada kovánia</t>
  </si>
  <si>
    <t>S-S50N komplet okuć</t>
  </si>
  <si>
    <t>S-dělící profil "T" 2m stříbrný</t>
  </si>
  <si>
    <t>S-osztó profil "T" 2m ezüst</t>
  </si>
  <si>
    <t>SALU- deliaci PROFIL "T" 2M ALU</t>
  </si>
  <si>
    <t>S-profil dzielący "T" 2m srebrny</t>
  </si>
  <si>
    <t>S-úhelník S07 2m stříbrná</t>
  </si>
  <si>
    <t>S-szögletvas SALU 07 2m ezüst</t>
  </si>
  <si>
    <t>S-uholník SALU 07 (S07) 2m strieborná</t>
  </si>
  <si>
    <t>S-kątownik S07 2m srebrny</t>
  </si>
  <si>
    <t>S-úhelník S07 3m stříbrná</t>
  </si>
  <si>
    <t>S-szögletvas SALU 07 3m ezüst</t>
  </si>
  <si>
    <t>S-uholník SALU 07 (S07) 3m strieborná</t>
  </si>
  <si>
    <t>S-kątownik S07 3m srebrny</t>
  </si>
  <si>
    <t>S-S06N-S06N dolní vodící profil alu 3,5m</t>
  </si>
  <si>
    <t>S-S06N-S06N alsó vezető profil alu 3,5m</t>
  </si>
  <si>
    <t>SALU06 N-DOLNÝ VOD.PROFIL 3,5M ALU</t>
  </si>
  <si>
    <t>S-S06N-S06N dolny profil prowadzący alu 3,5m</t>
  </si>
  <si>
    <t>S-profil S12 2,7m stříbrný elox</t>
  </si>
  <si>
    <t>S-profil S12 2,7m ezüst elox</t>
  </si>
  <si>
    <t>PROFIL SALU 12 STR.ELOX 2,7M (S12)</t>
  </si>
  <si>
    <t>S-profil S12 2,7m srebrny elox</t>
  </si>
  <si>
    <t>S-S40/80 horní lišta alu 3m</t>
  </si>
  <si>
    <t>S-S40/80 felső profil alu 3m</t>
  </si>
  <si>
    <t>S-S40/80 horná lišta alu 3m</t>
  </si>
  <si>
    <t>S-S40/80 górna listwa alu 3m</t>
  </si>
  <si>
    <t>S-S06NN spodní profil 3,5m světlý bronz</t>
  </si>
  <si>
    <t>S-S06NN alsó profil 3,5m világos bronz</t>
  </si>
  <si>
    <t>S-S06NN spodný profil 3,5m svetlý brondz</t>
  </si>
  <si>
    <t>S-S06NN dolny profil 3,5m jasny brąz</t>
  </si>
  <si>
    <t>S-S06N krycí profil 3,5m světlý bronz</t>
  </si>
  <si>
    <t>S-S06N takaró profil 3,5m világos bronz</t>
  </si>
  <si>
    <t>S-S06N krycí profil 3,5m svetlý brondz</t>
  </si>
  <si>
    <t>S-S06N profl maskujący 3,5m jasny brąz</t>
  </si>
  <si>
    <t>S-S05 horní vodící profil 3,5m světlý bronz</t>
  </si>
  <si>
    <t>S-S05 felső vezető profil 3,5m világos bronz</t>
  </si>
  <si>
    <t>S-S05-hor.vod.profil 3,5m sv.br</t>
  </si>
  <si>
    <t>S-S05 górny profil prowadzący 3,5m jasny brąz</t>
  </si>
  <si>
    <t>S-dělící profil "T" 2m světlý bronz</t>
  </si>
  <si>
    <t>S-osztó profil "T" 2m világos bronz</t>
  </si>
  <si>
    <t>S-deliaci profil "T" 2m svetlý brondz</t>
  </si>
  <si>
    <t>S-profil dzielący "T" 2m jasny brąz</t>
  </si>
  <si>
    <t>S-dělící profil "T" 3m světlý bronz</t>
  </si>
  <si>
    <t>S-osztó profil "T" 3m világos bronz</t>
  </si>
  <si>
    <t>S-deliaci profil "T" 3m svetlý brondz</t>
  </si>
  <si>
    <t>S-profil dzielący "T" 3m jasny brąz</t>
  </si>
  <si>
    <t>S-profil S04N světlý bronz 2,7m</t>
  </si>
  <si>
    <t>S-profil S04N világos bronz 2,7m</t>
  </si>
  <si>
    <t>S-profil S04N svetlý bronz 2,7m</t>
  </si>
  <si>
    <t>S-profil S04N jasny brąz 2,7m</t>
  </si>
  <si>
    <t>S-S06NN spodní profil 2m elox stříbrný</t>
  </si>
  <si>
    <t>S-S06NN alsó profil 2m elox ezüst</t>
  </si>
  <si>
    <t>S-S06NN spodný profil 2m elox strieborný</t>
  </si>
  <si>
    <t>S-S06NN dolny profil 2m elox srebrny</t>
  </si>
  <si>
    <t>TWIN napínací výztuha 2690mm</t>
  </si>
  <si>
    <t>TWIN feszítő merevítő 2690mm</t>
  </si>
  <si>
    <t>TWIN napínacia výstuha 2690mm</t>
  </si>
  <si>
    <t>TWIN wzmocnienie 2690mm</t>
  </si>
  <si>
    <t>StrongLine Planio tlumič Central oboustranný+spodní antikolize</t>
  </si>
  <si>
    <t>StrongLine Planio Central csillapító - két oldalas + alsó ütközésgátló</t>
  </si>
  <si>
    <t>StrongLine Planio tlmič Central obojstranná+spodná antikolizia</t>
  </si>
  <si>
    <t>StrongLine Planio tłumienie środkowe obustronne + dolne antykolizyjne</t>
  </si>
  <si>
    <t>K-StrongLine Planio sada pro 3 křídla plné tlumení, středový tlumič, antikolize</t>
  </si>
  <si>
    <t>K-StrongLine Planio szett 3 szárnyhoz teljes csillapítás, középső csillapító</t>
  </si>
  <si>
    <t>K-StrongLine Planio sada pre 3 krídla plné tlmenie, stredový tlmič, antikolízia</t>
  </si>
  <si>
    <t>K-StrongLine Planio zestaw do 3 skrzydeł z pełnym tłumieniem, antykolizyjny</t>
  </si>
  <si>
    <t>S-profil S10N stříbrný elox 2,7m</t>
  </si>
  <si>
    <t>S-profil S10N ezüst elox 2,7m</t>
  </si>
  <si>
    <t>S-profil S10N strieborny elox 2,7m</t>
  </si>
  <si>
    <t>S-profil S10N srebrny elox 2,7m</t>
  </si>
  <si>
    <t>S-S65 horní a střední profil 4/18mm 6m stříbrná</t>
  </si>
  <si>
    <t>S-S65 felső és középső profil 4/18mm 6m ezüst</t>
  </si>
  <si>
    <t>S-S65 horný a stredný profil 4/18mm 6m sivá</t>
  </si>
  <si>
    <t>S-S65 górny i środkowy profil 4/18mm 6m srebrny</t>
  </si>
  <si>
    <t>S-S65 dolní profil 4/18mm 6m stříbrný</t>
  </si>
  <si>
    <t>S-S65-alsó profil 4/18mm ezüst 6m</t>
  </si>
  <si>
    <t>S-S65 dolný profil 4/18mm 6m strieborný</t>
  </si>
  <si>
    <t>S-S65 dolny profil 4/18mm 6m srebrny</t>
  </si>
  <si>
    <t>S-S06N dolní vodící profil 6m stříbrný</t>
  </si>
  <si>
    <t>S-S06N-alsó vezető profil 6m ezüst</t>
  </si>
  <si>
    <t>S-S06N dolný vodiaci profil 6m strieborný</t>
  </si>
  <si>
    <t>S-S06N dolny profil prowadzący 6m srebrny</t>
  </si>
  <si>
    <t>TWIN napínací výztuha 2390mm</t>
  </si>
  <si>
    <t>TWIN feszítő merevítő 2390mm</t>
  </si>
  <si>
    <t>TWIN napínacia vzpera 2390mm</t>
  </si>
  <si>
    <t>TWIN-wzmocnienie 2390mm</t>
  </si>
  <si>
    <t>StrongLine Synchrotec sada plynulého otevírání 1,35m</t>
  </si>
  <si>
    <t>StrongLine Synchrotec szett folyamatos nyitásra 1,35m</t>
  </si>
  <si>
    <t>StrongLine Synchrotec sada plynulého otvárania 1,35m</t>
  </si>
  <si>
    <t>StrongLine Synchrotec komplet płynnego otwierania 1,35m</t>
  </si>
  <si>
    <t>S-doraz dolní S06N/NN</t>
  </si>
  <si>
    <t>S- ütköző alsó S06N/NN</t>
  </si>
  <si>
    <t>S-doraz dolný S06N/NN</t>
  </si>
  <si>
    <t>S-odbojnik dolny S06N/NN</t>
  </si>
  <si>
    <t>S-šroub torx 4x40</t>
  </si>
  <si>
    <t>Sx csavar torx 4x40</t>
  </si>
  <si>
    <t>S-śruba torx 4x40</t>
  </si>
  <si>
    <t>S-brzda pozicionér horní S05 šedá</t>
  </si>
  <si>
    <t>S-fék finomállító felső S05</t>
  </si>
  <si>
    <t>S-brzda pozicionér horný S05</t>
  </si>
  <si>
    <t>IC-úchytová lišta Berlin 10mm EU šampáň 5,3m</t>
  </si>
  <si>
    <t>IC-fogantyú profil Berlin 10mm EU pezsgő 5,3m</t>
  </si>
  <si>
    <t>IC-rączka Berlin 10 mm EU szampan 5,3m</t>
  </si>
  <si>
    <t>IC-lišta krycí dolní koleje 3m alu</t>
  </si>
  <si>
    <t>IC-takaró profil alsó sín 3m alu</t>
  </si>
  <si>
    <t>IC-lišta krycia dolné koľaje 3m alu</t>
  </si>
  <si>
    <t>IC-Profil maskujący dolny 3m alu</t>
  </si>
  <si>
    <t>S-S45 horní vodící profil 2m stříbrný</t>
  </si>
  <si>
    <t>S-S45-felső vezető profil 2m ezüst</t>
  </si>
  <si>
    <t>S-S45 horný vodiaci profil 2m strieborný</t>
  </si>
  <si>
    <t>S-S45 górny profil prowadzący 2m, srebrny</t>
  </si>
  <si>
    <t>S-S05 horní vodící profil 2m nerez</t>
  </si>
  <si>
    <t>S-S05 felső vezető profil 2m nemesacél</t>
  </si>
  <si>
    <t>S-S05 horný vodiaci profil 2m nerez</t>
  </si>
  <si>
    <t>S-S05 górny profil prowadzący 2m stal nierdzewna</t>
  </si>
  <si>
    <t>S-S06NN spodní profil 2m elox nerez</t>
  </si>
  <si>
    <t>S-S06NN alsó profil 2m elox nemesacél</t>
  </si>
  <si>
    <t>S-S06NN spodný prefil 2m elox nerez</t>
  </si>
  <si>
    <t>S-S06NN dolny profil 2m elox stal nierdzewna</t>
  </si>
  <si>
    <t>S-S06N krycí profil alu 2m nerez</t>
  </si>
  <si>
    <t>S-S06N takaró profil alu 2m nemesacél</t>
  </si>
  <si>
    <t>S-S06N profl maskujący alu 2m stal nierdzewna</t>
  </si>
  <si>
    <t>S-S25 (H25SD) sada kování pro skládací dveře 25kg</t>
  </si>
  <si>
    <t>S-S25 (H25SD) vasalat szett harmonikaajtóra 25kg</t>
  </si>
  <si>
    <t>S-S25 (H25SD) sada kovania pre skladacie dvere 25kg</t>
  </si>
  <si>
    <t>S-S25 (H25SD) komplet okuć do drzwi składanych 25kg</t>
  </si>
  <si>
    <t>S-S25 (H25SD/DV) dolní profil 2m</t>
  </si>
  <si>
    <t>S-S25 (H25SD/DV) alsó profil 2m</t>
  </si>
  <si>
    <t>S-S25 (H25SD/DV) dolný profil 2m</t>
  </si>
  <si>
    <t>S-S25 (H25SD/DV) dolny profil 2m</t>
  </si>
  <si>
    <t>WC Horní upevňovací svorka T 12 mm</t>
  </si>
  <si>
    <t>WC Felső rögzítő kapocs T 12 mm</t>
  </si>
  <si>
    <t>WC horná upevňovacia svorka T 12 mm</t>
  </si>
  <si>
    <t>WC Górny zacisk T 12 mm</t>
  </si>
  <si>
    <t>WC Rektifikační nožka VS-U univerzální 12 mm</t>
  </si>
  <si>
    <t>WC Állítható láb VS-U univerzális 12 mm</t>
  </si>
  <si>
    <t>WC Rektifikačná nožka VS-U univerzálna 12 mm</t>
  </si>
  <si>
    <t>WC Nóżka regulowana VS-U uniwersalna 12 mm</t>
  </si>
  <si>
    <t>S-S65 horní a střední profil 2m nerez</t>
  </si>
  <si>
    <t>S-S65 felső és középső profil 2m nemesacél</t>
  </si>
  <si>
    <t>S-S65 horný a stredná profil 2m nerez</t>
  </si>
  <si>
    <t>S-S65 górny i środkowy profil 2m stal nierdzewna</t>
  </si>
  <si>
    <t>S-S65 dolní profil 4/18mm 2m nerez</t>
  </si>
  <si>
    <t>S-S65 alsó profil 4/18mm 2m nemesacél</t>
  </si>
  <si>
    <t>S-S65 dolný profil 4/18mm 2m nerez</t>
  </si>
  <si>
    <t>S-S65 dolny profil 4/18mm 2m stal nierdzewna</t>
  </si>
  <si>
    <t>S-kartáč dorazový nízký 12,8x4,6mm bílý</t>
  </si>
  <si>
    <t>S - támfalas kefe alacsony 12,8x4,6mm fehér</t>
  </si>
  <si>
    <t>S-szczotka odbojowa niska 13x5mm szary</t>
  </si>
  <si>
    <t>IC-horní vedení 5m šampáň</t>
  </si>
  <si>
    <t>IC-felső sín 5m pezsgő</t>
  </si>
  <si>
    <t>IC-horné vedenie 5m šampaň</t>
  </si>
  <si>
    <t>IC-tor górny 5m szampański</t>
  </si>
  <si>
    <t>IC-spodní vedení 5m šampáň</t>
  </si>
  <si>
    <t>IC-alsó sín 5m pezsgő</t>
  </si>
  <si>
    <t>IC-spodné vedenie 5m šampaň</t>
  </si>
  <si>
    <t>IC-tor dolny 5m szampański</t>
  </si>
  <si>
    <t>IC-horní vedení  2m  stříbrné</t>
  </si>
  <si>
    <t>IC-felső vezetés 2m ezüst</t>
  </si>
  <si>
    <t>IC-horné vedenie 2m  strieborné</t>
  </si>
  <si>
    <t>IC-tor górny 2m srebrny</t>
  </si>
  <si>
    <t>IC-horní vedení 3m  stříbrné</t>
  </si>
  <si>
    <t>IC-felső sín 3m ezüst</t>
  </si>
  <si>
    <t>IC-horné vedenie 3m  strieborné</t>
  </si>
  <si>
    <t>IC-tor górny 3m srebrny</t>
  </si>
  <si>
    <t>IC-horní vedení 5m stříbrné</t>
  </si>
  <si>
    <t>IC-felső vezetés 5m ezüst</t>
  </si>
  <si>
    <t>IC-horné vedenie 5m strieborné</t>
  </si>
  <si>
    <t>IC-tor górny 5m srebrny</t>
  </si>
  <si>
    <t>IC-spodní vedení 2m stříbrné</t>
  </si>
  <si>
    <t>IC-alsó vezetés 2m ezüst</t>
  </si>
  <si>
    <t>IC-spodné vedenie 2m strieborné</t>
  </si>
  <si>
    <t>IC-tor dolny 2m srebrny</t>
  </si>
  <si>
    <t>IC-spodní vedení 3m stříbrné</t>
  </si>
  <si>
    <t>IC-alsó vezetés 3m ezüst</t>
  </si>
  <si>
    <t>IC-spodné vedenie 3m strieborné</t>
  </si>
  <si>
    <t>IC-tor dolny 3m srebrny</t>
  </si>
  <si>
    <t>IC-spodní vedení 5m stříbrné</t>
  </si>
  <si>
    <t>IC-alsó vezetés 5m ezüst</t>
  </si>
  <si>
    <t>IC-spodné vedenie 5m strieborné</t>
  </si>
  <si>
    <t>IC-tor dolny 5m srebrny</t>
  </si>
  <si>
    <t>IC-sada vozíků Comfort 1 křídlo</t>
  </si>
  <si>
    <t>IC-görgő szett Comfort 1 ajtószárny</t>
  </si>
  <si>
    <t>IC-sada vozíkov Comfort 1 krídlo</t>
  </si>
  <si>
    <t>IC-komplet wózków Comfort 1 skrzydło</t>
  </si>
  <si>
    <t>IC-sada vozíků symetrická 1 křídlo</t>
  </si>
  <si>
    <t>IC-görgő szett szimmetrikus 1 ajtószárny</t>
  </si>
  <si>
    <t>IC-sada vozíkov symetrická - 1 krídlo</t>
  </si>
  <si>
    <t>IC-komplet wózków symetrycznych 1 skrzydło</t>
  </si>
  <si>
    <t>IC-pozicionér</t>
  </si>
  <si>
    <t>IC-finomállító</t>
  </si>
  <si>
    <t>IC-pozycjoner</t>
  </si>
  <si>
    <t>IC-spona dorazového kartáčku</t>
  </si>
  <si>
    <t>IC-kapocs támfalas keféhez</t>
  </si>
  <si>
    <t>IC-spona dorazového kartáču</t>
  </si>
  <si>
    <t>IC-złącze do szczotki odbojowej</t>
  </si>
  <si>
    <t>IC-tlumič dorazu pravý</t>
  </si>
  <si>
    <t>IC-ütközés csillapító jobbos</t>
  </si>
  <si>
    <t>IC-tlmič dorazu pravý</t>
  </si>
  <si>
    <t>IC-tłumienie prawe</t>
  </si>
  <si>
    <t>IC-tlumič dorazu levý</t>
  </si>
  <si>
    <t>IC-ütközés csillapító balos</t>
  </si>
  <si>
    <t>IC-tlmič dorazu ľavý</t>
  </si>
  <si>
    <t>IC-tłumienie lewe</t>
  </si>
  <si>
    <t>IC-těsnění na sklo 12/6,4mm</t>
  </si>
  <si>
    <t>IC-tömítés üvegre 12/6,4mm</t>
  </si>
  <si>
    <t>IC-tesnenie na sklo 12/6,4mm</t>
  </si>
  <si>
    <t>IC-uszczelka do szkła 12/6,4mm</t>
  </si>
  <si>
    <t>S-sada kování S25</t>
  </si>
  <si>
    <t>S-vasalat szett S25</t>
  </si>
  <si>
    <t>S-sada kovania S25</t>
  </si>
  <si>
    <t>S-komplet okuć S25</t>
  </si>
  <si>
    <t>S-horní lišta S25 1m</t>
  </si>
  <si>
    <t>S-felső profil S25 1m</t>
  </si>
  <si>
    <t>S-horná lišta S25 - 1m</t>
  </si>
  <si>
    <t>S-górna listwa S25 1m</t>
  </si>
  <si>
    <t>S-spodní lišta S25 1m</t>
  </si>
  <si>
    <t>S-alsó profil S25 1m</t>
  </si>
  <si>
    <t>S-spodná lišta S25 - 1m</t>
  </si>
  <si>
    <t>S-dolna listwa S25 1m</t>
  </si>
  <si>
    <t>IC-krycí lišta samolepící 3m šampáň</t>
  </si>
  <si>
    <t>IC-takaró profil öntapadó 3m pezsgő</t>
  </si>
  <si>
    <t>IC-krycia lišta samolepiaca  3m šampáň</t>
  </si>
  <si>
    <t>IC-Profil maskujący naklejany 3m szampan</t>
  </si>
  <si>
    <t>IC-oboustranná lepící páska čirá 14mm/50m</t>
  </si>
  <si>
    <t>IC-kétoldalas ragasztószalag átlátszó 14mm/50m</t>
  </si>
  <si>
    <t>IC-obojstranná lepiaca páska číra  14mm/50m</t>
  </si>
  <si>
    <t>IC-dwustronna taśma klejąca przezroczysta 14mm/50m</t>
  </si>
  <si>
    <t>S-madlo S70a 2,7m (profil H09)</t>
  </si>
  <si>
    <t>S-fogantyú S70a 2,7m (profil H09)</t>
  </si>
  <si>
    <t>S-madlo S70a - 2,7m (profil H09)</t>
  </si>
  <si>
    <t>S-uchwyt S70a 2,7m (profil H09)</t>
  </si>
  <si>
    <t>S-madlo S70c 2,7m (profil H11)</t>
  </si>
  <si>
    <t>S-fogantyú S70c 2,7m (profil H11)</t>
  </si>
  <si>
    <t>S-madlo S70c - 2,7m (profil H11)</t>
  </si>
  <si>
    <t>S-uchwyt S70c 2,7m (profil H11)</t>
  </si>
  <si>
    <t>S-brzda S35</t>
  </si>
  <si>
    <t>S-fék S35</t>
  </si>
  <si>
    <t>S-hamulec S35</t>
  </si>
  <si>
    <t>S-Softclose S65 (Slidix T40) tlumič</t>
  </si>
  <si>
    <t>S-Softclose S65 (Slidix T40) csillapító</t>
  </si>
  <si>
    <t>S-Softclose S65 (Slidix T40) tlmič</t>
  </si>
  <si>
    <t>S-Softclose S65 (Slidix T40) tłumienie</t>
  </si>
  <si>
    <t>S-profil S09 stř.elox 2,7m</t>
  </si>
  <si>
    <t>S-profil SALU 09 ez.elox 2,7m (S09)</t>
  </si>
  <si>
    <t>S-profil S09 str.elox 2,7m</t>
  </si>
  <si>
    <t>S-profil SALU 09 srebrny anodowany 2,7 m</t>
  </si>
  <si>
    <t>S-profil S40/80 4m ocel</t>
  </si>
  <si>
    <t>S-profil S40/80 4m acél</t>
  </si>
  <si>
    <t>S-profil S40/80 4m - ocel</t>
  </si>
  <si>
    <t>S-profil S40/80 4m. Metal</t>
  </si>
  <si>
    <t>IC-horní vedení EU 6m šampáň</t>
  </si>
  <si>
    <t>IC-felső vezetés EU 6m pezsgő</t>
  </si>
  <si>
    <t>IC-horné vedenie EU 6m šampáň</t>
  </si>
  <si>
    <t>IC-tor górny EU 6m szampański</t>
  </si>
  <si>
    <t>IC-spodní vedení EU 6m šampáň</t>
  </si>
  <si>
    <t>IC-alsó vezetés EU 6m pezsgő</t>
  </si>
  <si>
    <t>IC-spodné vedenie EU 6m šampáň</t>
  </si>
  <si>
    <t>IC-tor dolny EU 6m szampański</t>
  </si>
  <si>
    <t>IC-horní vodící lišta EU 10mm 6m šampáň</t>
  </si>
  <si>
    <t>IC-felső vezető profil EU 10mm 6m pezsgő</t>
  </si>
  <si>
    <t>IC-Horná vodiaca lištaEU 10mm 6m šampáň</t>
  </si>
  <si>
    <t>IC-Górna listwa torowa    EU 10mm 6m szampan</t>
  </si>
  <si>
    <t>IC-spodní krycí lišta EU 10mm 6m šampáň</t>
  </si>
  <si>
    <t>IC-alsó takaró profil EU 10mm 6m pezsgő</t>
  </si>
  <si>
    <t>IC-spodná krycia lišta EU 10mm 6m šampáň</t>
  </si>
  <si>
    <t>IC-Dolna listwa maskująca  EU 10mm 6m szampan</t>
  </si>
  <si>
    <t>HAWA 057.3133.072 Eku Porta 60 HM posuvné interiérové kování sada kování do 60kg</t>
  </si>
  <si>
    <t>HAWA 057.3133.072 Eku Porta 60 HM beltéri tolóajtó vasalat szett  60 kg-ig</t>
  </si>
  <si>
    <t>HAWA 057.3133.072 Eku Porta 60 HM pos.interiérové kovanie, sada kovanie do 60kg</t>
  </si>
  <si>
    <t>HAWA 057.3133.072 Eku Porta przesuwny zestaw zabudowy wewnętrznej okucia do 60kg</t>
  </si>
  <si>
    <t>HAWA 057.3016.201 Porta 60 posuvné interiérové kování 100kg horní vedení 2m elox</t>
  </si>
  <si>
    <t>HAWA 057.3016.201 Porta 60 beltéri tolóajtó vasalat 100kg felső vezető 2m anod</t>
  </si>
  <si>
    <t>HAWA 057.3016.201 Porta 60 pos.interiérové kovanie 100kg horné vedenie 2m elox</t>
  </si>
  <si>
    <t>HAWA 057.3016.201 Porta 60 okucia wewnętrzne przesuwne 100kg tor górny 2m elox</t>
  </si>
  <si>
    <t>HAWA 042.3102.072 Eku Porta 60 posuvné interiérové kování tlumič do 60kg</t>
  </si>
  <si>
    <t>HAWA 042.3102.072 Eku Porta 60</t>
  </si>
  <si>
    <t>HAWA 042.3102.072 Eku Porta 60 amortyzator do 60 kg</t>
  </si>
  <si>
    <t>S-S20/30 alu elox lišta dvojitá 3,5m</t>
  </si>
  <si>
    <t>S-S20/30 alu elox dupla profil 3,5m</t>
  </si>
  <si>
    <t>S-S20/30 alu elox listwa podwójna 3,5m</t>
  </si>
  <si>
    <t>S-S06NN dolní vodící profil 2m stříbrný</t>
  </si>
  <si>
    <t>S-S06NN alsó vezető profil 2m ezüst</t>
  </si>
  <si>
    <t>S-SALU06 NN-dolný vodiaci profil 2m str.</t>
  </si>
  <si>
    <t>S-S06NN tor dolny 2 m srebrny</t>
  </si>
  <si>
    <t>S-S06N krycí profil (maska) 2m stříbrný</t>
  </si>
  <si>
    <t>S-S06N takaró profil (maszk) 2m ezüst</t>
  </si>
  <si>
    <t>S-S06N krycí profil (maska) 2m str.</t>
  </si>
  <si>
    <t>S-S06N profl maskujący (maskownica) 2m srebrny</t>
  </si>
  <si>
    <t>S-S06N krycí profil 3,5m stříbrný elox</t>
  </si>
  <si>
    <t>S-S06N takaró profil 3,5m ezüst elox</t>
  </si>
  <si>
    <t>S-S06N krycí profil 3,5m strieborný elox</t>
  </si>
  <si>
    <t>S-S06N profl maskujący 3,5m srebrny elox</t>
  </si>
  <si>
    <t>S-sada kování S55B</t>
  </si>
  <si>
    <t>S-vasalat szett S55B</t>
  </si>
  <si>
    <t>S-sada kovania S55B</t>
  </si>
  <si>
    <t>S-komplet okuć S55B</t>
  </si>
  <si>
    <t>IC-těsnění na sklo 10/6mm</t>
  </si>
  <si>
    <t>IC-tömítés üvegre 10/6mm</t>
  </si>
  <si>
    <t>IC-tesnenie na sklo 10/6mm</t>
  </si>
  <si>
    <t>IC-uszczelka do szkła 10/6mm</t>
  </si>
  <si>
    <t>IC-horní vedení jednoduché 2m šampáň</t>
  </si>
  <si>
    <t>IC-felső vezetés szimpla 2m pezsgő</t>
  </si>
  <si>
    <t>IC-horné vedenie  jednoduché 2m šampáň</t>
  </si>
  <si>
    <t>IC-tor górny prosty 2m szampański</t>
  </si>
  <si>
    <t>IC-horní vedení jednoduché 3m šampáň</t>
  </si>
  <si>
    <t>IC-felső vezetés szimpla 3m pezsgő</t>
  </si>
  <si>
    <t>IC-horné vedenie  jednoduché 3m šampáň</t>
  </si>
  <si>
    <t>IC-tor górny prosty 3m szampański</t>
  </si>
  <si>
    <t>IC-horní vedení jednoduché 5m šampáň</t>
  </si>
  <si>
    <t>IC-felső vezetés szimpla 5m pezsgő</t>
  </si>
  <si>
    <t>IC-horné vedenie  jednoduché 5m šampáň</t>
  </si>
  <si>
    <t>IC-tor górny prosty 5m szampański</t>
  </si>
  <si>
    <t>IC-spodní vedení jednoduché 2m šampáň</t>
  </si>
  <si>
    <t>IC-alsó vezetés szimpla 2m pezsgő</t>
  </si>
  <si>
    <t>IC-spodné vedenie  jednoduché 2m šampáň</t>
  </si>
  <si>
    <t>IC-tor dolny prosty 2m szampański</t>
  </si>
  <si>
    <t>IC-spodní vedení jednoduché 3m šampáň</t>
  </si>
  <si>
    <t>IC-alsó vezetés szimpla 3m pezsgő</t>
  </si>
  <si>
    <t>IC-spodné vedenie  jednoduché 3m šampáň</t>
  </si>
  <si>
    <t>IC-tor dolny prosty 3m szampański</t>
  </si>
  <si>
    <t>IC-spodní vedení jednoduché 5m šampáň</t>
  </si>
  <si>
    <t>IC-alsó vezetés szimpla 5m pezsgő</t>
  </si>
  <si>
    <t>IC-spodné vedenie  jednoduché 5m šampáň</t>
  </si>
  <si>
    <t>IC-tor dolny prosty 5m szampański</t>
  </si>
  <si>
    <t>IC-úch.lišta Comfort 12mm 2,6m  šampáň</t>
  </si>
  <si>
    <t>IC-fog.profil Comfort 12mm 2,6m pezsgő</t>
  </si>
  <si>
    <t>IC-úch.lišta Comfort 12mm 2,6m šampáň</t>
  </si>
  <si>
    <t>IC-rączka Comfort 12mm 2,6m  szampan</t>
  </si>
  <si>
    <t>S-Softclose S65 (Slidix T60) tlumič</t>
  </si>
  <si>
    <t>S-Softclose S65 (Slidix T60)-csillapító</t>
  </si>
  <si>
    <t>S-Softclose S65 (Slidix T60) tlmič</t>
  </si>
  <si>
    <t>S-Softclose S65 (Slidix T60) tłumienie</t>
  </si>
  <si>
    <t>S-profil S04N stříbrný elox 2,7m</t>
  </si>
  <si>
    <t>S-profil S04N ezüst elox 2,7m</t>
  </si>
  <si>
    <t>S-profil S04N strieborný elox 2,7m</t>
  </si>
  <si>
    <t>S-profil S04N srebrny elox 2,7m</t>
  </si>
  <si>
    <t>S-S03 vodící profil alu elox 1,2m</t>
  </si>
  <si>
    <t>S-S03 vezető profil alu elox 1,2m</t>
  </si>
  <si>
    <t>S-S03 vodiaci profil alu elox 1,2m</t>
  </si>
  <si>
    <t>S-S03 profil prowadzący alu elox 1,2m</t>
  </si>
  <si>
    <t>S-S55 dolní příčka 3m stříbrná</t>
  </si>
  <si>
    <t>S-S55 alsó elosztó 3m ezüst</t>
  </si>
  <si>
    <t>S-S55 dolná priečka 3m strieborná</t>
  </si>
  <si>
    <t>S-S55 dolny poprzeczka 3m srebrny</t>
  </si>
  <si>
    <t>S-těsnění pro sklo 4mm</t>
  </si>
  <si>
    <t>S-tömítés üveghez 4mm</t>
  </si>
  <si>
    <t>S-tesnenie pre sklo 4mm</t>
  </si>
  <si>
    <t>S-uszczelka do szkła 4mm</t>
  </si>
  <si>
    <t>S-profil S16 2,7m stříbrná</t>
  </si>
  <si>
    <t>S-profil S16 2,7m ezüst</t>
  </si>
  <si>
    <t>S-profil S16 2,7m strieborna</t>
  </si>
  <si>
    <t>S-profil S16 2,7m srebrny</t>
  </si>
  <si>
    <t>TWIN napínací výztuha 1860mm</t>
  </si>
  <si>
    <t>TWIN feszítő merevítő 1860mm</t>
  </si>
  <si>
    <t>TWIN napínacia vzpera 1860mm</t>
  </si>
  <si>
    <t>TWIN-wzmocnienie 1860mm</t>
  </si>
  <si>
    <t>S-těsnění pro sklo 6mm</t>
  </si>
  <si>
    <t>S-tömítés üveghez 6mm</t>
  </si>
  <si>
    <t>S-tesnenie pre sklo 6mm</t>
  </si>
  <si>
    <t>S-uszczelka do szkła 6mm</t>
  </si>
  <si>
    <t>S-S55 dolní příčka 3,5m stříbrná</t>
  </si>
  <si>
    <t>S-S55 alsó elosztó 3,5m ezüst</t>
  </si>
  <si>
    <t>S-S55 dolná priečka 3,5m strieborná</t>
  </si>
  <si>
    <t>S-S55 dolny poprzeczka 3,5m srebrny</t>
  </si>
  <si>
    <t>S-S55 horní a středová příčka 3,5m stříbrná</t>
  </si>
  <si>
    <t>S-S55 felső a középre elosztó 3,5m ezüst</t>
  </si>
  <si>
    <t>S-S55 horná a stredová priečka 3,5m strieborná</t>
  </si>
  <si>
    <t>S-S55 górna i środkowa poprzeczka 3,5m srebrny</t>
  </si>
  <si>
    <t>S-profil S17 2,7m stříbrná</t>
  </si>
  <si>
    <t>S-profil S17 2,7m ezüst</t>
  </si>
  <si>
    <t>S-profil S17 2,7m srebrny</t>
  </si>
  <si>
    <t>S-Softclose Simple S55 T25 tlumič</t>
  </si>
  <si>
    <t>S-Softclose Simple S55 T25 csillapító</t>
  </si>
  <si>
    <t>S-Softclose Simple S55 T25 tlmič</t>
  </si>
  <si>
    <t>S-Softclose Simple S55 T25 tłumienie</t>
  </si>
  <si>
    <t>S-Softclose Simple S55 T40 tlumič</t>
  </si>
  <si>
    <t>S-Softclose Simple S55 T40 csillapító</t>
  </si>
  <si>
    <t>S-Softclose Simple S55 T40 tlmič</t>
  </si>
  <si>
    <t>S-Softclose Simple S55 T40 tłumienie</t>
  </si>
  <si>
    <t>S-Softclose Simple S55 T60 tlumič</t>
  </si>
  <si>
    <t>S-Softclose Simple S55 T60 csillapító</t>
  </si>
  <si>
    <t>S-Softclose Simple S55 T60 tlmič</t>
  </si>
  <si>
    <t>S-Softclose Simple S55 T60 tłumienie</t>
  </si>
  <si>
    <t>HAWA 061.3072.371 Eku-Forte 580mm, RAL 7035, nosnost 170 kg</t>
  </si>
  <si>
    <t>HAWA 061.3072.371 Eku-Forte 580mm, RAL 7035, teherbírása 170 kg</t>
  </si>
  <si>
    <t>HAWA 061.3072.371 Eku-Forte 580mm, RAL 7035, nosnosť 170 kg</t>
  </si>
  <si>
    <t>HAWA 061.3072.371 Eku-Forte 580mm, RAL 7035, obciążenie170 kg</t>
  </si>
  <si>
    <t>HAWA 061.3049.171 Eku-Forte tlumič</t>
  </si>
  <si>
    <t>HAWA 061.3049.171 Eku-Forte csillapító</t>
  </si>
  <si>
    <t>HAWA 061.3049.171 Eku-Forte tlmič</t>
  </si>
  <si>
    <t>HAWA 061.3049.171 Eku-Forte tłumienie</t>
  </si>
  <si>
    <t>S-S80 brzda</t>
  </si>
  <si>
    <t>S-S80 fék</t>
  </si>
  <si>
    <t>S - S80 - brzda</t>
  </si>
  <si>
    <t>S-S80 hamulec</t>
  </si>
  <si>
    <t>S-S40/80/100 vodítko</t>
  </si>
  <si>
    <t>S-S40/80/100 vezető elem</t>
  </si>
  <si>
    <t>S-S 40/80/100 prowadzenie</t>
  </si>
  <si>
    <t>HAWA 053.3115.071 Clipo 15 H IS</t>
  </si>
  <si>
    <t>S-Softclose Simple S60 T25 tlumič</t>
  </si>
  <si>
    <t>S-Softclose Simple S60 T25 csillapító</t>
  </si>
  <si>
    <t>S-Softclose Simple S60 T25 tlmič</t>
  </si>
  <si>
    <t>S-U profil pro lamino 18mm 2m stříbrný</t>
  </si>
  <si>
    <t>S-U profil laminóhoz 18mm 2m ezüst</t>
  </si>
  <si>
    <t>S-U profil pre lamino 18mm 2m strieborný</t>
  </si>
  <si>
    <t>S-narážecí profil 28mm 2m stříbrný</t>
  </si>
  <si>
    <t>S-rápattintható profil 28mm 2m ezüst</t>
  </si>
  <si>
    <t>S-narážací profil 28mm 2m strieborný</t>
  </si>
  <si>
    <t>Vodící trn Omge 1390/1400 šedý</t>
  </si>
  <si>
    <t>Vezető tövis Omge 1390/1400</t>
  </si>
  <si>
    <t>vodiací tŕň Omge 1390/1400</t>
  </si>
  <si>
    <t>Trzpień torowy Omge 1390/1400</t>
  </si>
  <si>
    <t>WC Al elox profil horní 13/18 mm pro kabinky, délka 3,2m</t>
  </si>
  <si>
    <t>WC kabin felső profil 13/18mm, 3,2m hossú, eloxált alumínium</t>
  </si>
  <si>
    <t>WC Al elox profil horný 13/18 mm pre kabinky, dĺžka 3,2m</t>
  </si>
  <si>
    <t>WC Al profil górny anod. 13/18 mm do kabin WC, délka 3,2m</t>
  </si>
  <si>
    <t>WC Al elox profil horní 10/25 mm pro kabinky, délka 3,2m</t>
  </si>
  <si>
    <t>WC kabin felső profil 10/25 mm, 3200mm, eloxált alumínium</t>
  </si>
  <si>
    <t>WC Al elox profil horný 10/25 mm pre kabinky, dĺžka 3,2m</t>
  </si>
  <si>
    <t>WC Al elox profil górny 10/25 mm do kabin WC, délka 3,2m</t>
  </si>
  <si>
    <t>S-Softclose Simple S60 T40 tlumič</t>
  </si>
  <si>
    <t>S-Softclose Simple S60 T40 csillapító</t>
  </si>
  <si>
    <t>S-Softclose Simple S60 T40 tlmič</t>
  </si>
  <si>
    <t>S-Softclose Simple S60 T40 tłumienie</t>
  </si>
  <si>
    <t>S-Softclose Simple S60 T60 tlumič</t>
  </si>
  <si>
    <t>S-Softclose Simple S60 T60 csillapító</t>
  </si>
  <si>
    <t>S-Softclose Simple S60 T60 tlmič</t>
  </si>
  <si>
    <t>S-Softclose Simple S60 T60 tłumienie</t>
  </si>
  <si>
    <t>IC-horní vedení EU 4m šampáň</t>
  </si>
  <si>
    <t>IC-felső vezetés EU 4m pezsgő</t>
  </si>
  <si>
    <t>IC-horné vedenie EU 4m šampáň</t>
  </si>
  <si>
    <t>IC-tor górny EU 4 m szampan</t>
  </si>
  <si>
    <t>IC-spodní vedení EU 4m šampáň</t>
  </si>
  <si>
    <t>IC-alsó vezetés EU 4m pezsgő</t>
  </si>
  <si>
    <t>IC-spodné vedenie EU 4m šampáň</t>
  </si>
  <si>
    <t>IC-tor dolny EU 4m szampański</t>
  </si>
  <si>
    <t>IC-sada horních vozíků (2ks) pro Rome</t>
  </si>
  <si>
    <t>IC-felső görgő szett (2db) Rome-hoz</t>
  </si>
  <si>
    <t>IC-sada horných vozíkov (2ks) pre  Rome</t>
  </si>
  <si>
    <t>IC-komplet wózków górnych (2szt.) do Rome</t>
  </si>
  <si>
    <t>IC-sada spodních vozíků (2ks) pro Rome</t>
  </si>
  <si>
    <t>IC-alsó görgő szett (2db) Rome-hoz</t>
  </si>
  <si>
    <t>IC-sada spodných vozíkov (2ks) pre Rome</t>
  </si>
  <si>
    <t>IC-komplet wózków dolnych (2szt.) do Rome</t>
  </si>
  <si>
    <t>S-S45-kryt předních dveří 2m stříbrný</t>
  </si>
  <si>
    <t>S-S45-takaró el.ajtóra 2m ezüst</t>
  </si>
  <si>
    <t>S-S45-kryt předných dverí 2m strieborny</t>
  </si>
  <si>
    <t>S-S45-pokrywa przednich drzwi 2m srebrny</t>
  </si>
  <si>
    <t>IC-dorazový kartáč zásuvný 14,5x4mm</t>
  </si>
  <si>
    <t>IC-ütköző kefe becsúszt. 14,5x4mm</t>
  </si>
  <si>
    <t>IC-szczotka odbojowa wsuwana 14,5x4mm</t>
  </si>
  <si>
    <t>DI spodní vozík</t>
  </si>
  <si>
    <t>DI-alsó görgő</t>
  </si>
  <si>
    <t>DI spodný vozík</t>
  </si>
  <si>
    <t>DI-wózek dolny</t>
  </si>
  <si>
    <t>DI horní vozík</t>
  </si>
  <si>
    <t>DI-felső görgő</t>
  </si>
  <si>
    <t>DI horný vozík</t>
  </si>
  <si>
    <t>DI-wózek górny</t>
  </si>
  <si>
    <t>S-S50 horní lišta alu surová 2m</t>
  </si>
  <si>
    <t>S-S50 felső profil alu nyers 2m</t>
  </si>
  <si>
    <t>S-S50-horná lišta alu surová 2m</t>
  </si>
  <si>
    <t>S-S50 górna listwa alu surowa 2m</t>
  </si>
  <si>
    <t>S-S50 horní lišta alu surová 3m</t>
  </si>
  <si>
    <t>S-S50 felső profil alu nyers 3m</t>
  </si>
  <si>
    <t>S-S50-horná lišta alu surová 3m</t>
  </si>
  <si>
    <t>S-S50 górna listwa alu surowa 3m</t>
  </si>
  <si>
    <t>S-S50 spodní lišta alu surová 2m</t>
  </si>
  <si>
    <t>S-S50 alsó profil alu nyers 2m</t>
  </si>
  <si>
    <t>S-S50-spodná lišta alu surová 2m</t>
  </si>
  <si>
    <t>S-S50 dolny listwa alu surowa 2m</t>
  </si>
  <si>
    <t>S-sada kování S65-2</t>
  </si>
  <si>
    <t>S-vasalat szett S65-2</t>
  </si>
  <si>
    <t>S-sada kovania S65-2</t>
  </si>
  <si>
    <t>S-komplet okuć S65-2</t>
  </si>
  <si>
    <t>S-profil S10 stříbrný elox 2,7m</t>
  </si>
  <si>
    <t>S-profil S10 ezüst elox 2,7m</t>
  </si>
  <si>
    <t>S-profil S10 str.elox 2,7m</t>
  </si>
  <si>
    <t>S-profil S10 srebrny elox 2,7m</t>
  </si>
  <si>
    <t>StrongLine Výztuha dveří max. 2250mm černá</t>
  </si>
  <si>
    <t>StrongLine Ajtó merevítő max. 2250mm fekete</t>
  </si>
  <si>
    <t>StrongLine Výztuha dverí max. 2250mm čierna</t>
  </si>
  <si>
    <t>StrongLine Wzmocnienie drzwi maks. 2250mm czarny</t>
  </si>
  <si>
    <t>StrongLine Výztuha dveří max. 2250mm bílá</t>
  </si>
  <si>
    <t>StrongLine Ajtómerevítő max. 2250mm fehér</t>
  </si>
  <si>
    <t>StrongLine Výstuha dverí max. 2250mm biela</t>
  </si>
  <si>
    <t>StrongLine Wzmocnienie drzwi maks. 2250mm białe</t>
  </si>
  <si>
    <t>S-Softclose S60/S60N (Slidix T40) tlumič</t>
  </si>
  <si>
    <t>S-Softclose S60/S60N (Slidix T40) csillapító</t>
  </si>
  <si>
    <t>S-Softclose S60/S60N (Slidix T40) tlmič</t>
  </si>
  <si>
    <t>S-Softclose S60/S60N (Slidix T40) tłumienie</t>
  </si>
  <si>
    <t>S-profil S22 2,7m stříbrná</t>
  </si>
  <si>
    <t>S-profil S22 2,7m ezüst</t>
  </si>
  <si>
    <t>S-profil S22 2,7m strieborná</t>
  </si>
  <si>
    <t>S-profil S22 2,7m srebrny</t>
  </si>
  <si>
    <t>S-S55 horní a středová příčka 2,5m stříbrná</t>
  </si>
  <si>
    <t>S-S55 felső és közép elosztó 2,5m ezüst</t>
  </si>
  <si>
    <t>S-S55 horná a stredová priečka 2,5m strieborná</t>
  </si>
  <si>
    <t>S-S55 dolní příčka 2,5m stříbrná</t>
  </si>
  <si>
    <t>S-S55 dolná priečka 2,5m strieborná</t>
  </si>
  <si>
    <t>S-S06N dolní vodící profil 2,5m stříbrná</t>
  </si>
  <si>
    <t>S-S06N alsó vezető profil 2,5m ezüst</t>
  </si>
  <si>
    <t>S-S06N dolný vodiaci profil 2,5m strieborná</t>
  </si>
  <si>
    <t>S-S06N dolny profil prowadzący 2,5m srebrny</t>
  </si>
  <si>
    <t>S-sada kování S90-W1 inox 2,0m</t>
  </si>
  <si>
    <t>S-vasalat szett S90-W1 inox 2,0m</t>
  </si>
  <si>
    <t>S - sada kovania S90-W1 inox 2,0m</t>
  </si>
  <si>
    <t>S-komplet okuć S90-W1 inox 2,0m</t>
  </si>
  <si>
    <t>S-sada kování S80SC doplňková</t>
  </si>
  <si>
    <t>S-vasalat szett S80SC kiegészítő</t>
  </si>
  <si>
    <t>S-sada kovania S80SC-doplnková</t>
  </si>
  <si>
    <t>S-komplet okuć S80SC dopełnienie</t>
  </si>
  <si>
    <t>S-sada kování S36</t>
  </si>
  <si>
    <t>S-vasalat szett S36</t>
  </si>
  <si>
    <t>S-sada kovania S36</t>
  </si>
  <si>
    <t>S-komplet okuć S36</t>
  </si>
  <si>
    <t>S-S05-1-horní vod.profil jednod. 3m stř.</t>
  </si>
  <si>
    <t>S-S05-1-felső vez.profil egyutas 3m ez.</t>
  </si>
  <si>
    <t>S-S05-1-horný vod.profil jednod. 3m str.</t>
  </si>
  <si>
    <t>S-S55 horní a středová příčka 3m stříbrná</t>
  </si>
  <si>
    <t>S-S55 felső és középső válaszfal 3m ezüst</t>
  </si>
  <si>
    <t>S-S55 horná a stredová priečka 3m strieborná</t>
  </si>
  <si>
    <t>WC Horní upevňovací svorka T 18 mm (bez šroubů)</t>
  </si>
  <si>
    <t>WC Górny zacisk montażowy T 18 mm (bez śruby)</t>
  </si>
  <si>
    <t>WC Závěs levý (šrouby) H70 18 mm (bez šroubů)</t>
  </si>
  <si>
    <t>WC Pánt balos (csavarok) H70 18 mm</t>
  </si>
  <si>
    <t>WC  záves ľavý (skrutky) H70 18 mm</t>
  </si>
  <si>
    <t>WC Zawias lewy (śrubki) H70 18 mm</t>
  </si>
  <si>
    <t>S-S06NN spodní profil 2,5m elox stříbrný</t>
  </si>
  <si>
    <t>S-S06NN alsó profil 2,5m ezüst elox</t>
  </si>
  <si>
    <t>S-S06NN spodný profil 2,5m elox strieborný</t>
  </si>
  <si>
    <t>S-S06NN dolny profil 2,5m elox srebrny</t>
  </si>
  <si>
    <t>S-profil S13B 2,7m stříbrný elox</t>
  </si>
  <si>
    <t>S-profil S13B 2,7 m ezüst eloxált</t>
  </si>
  <si>
    <t>S-sada kování SPS PV</t>
  </si>
  <si>
    <t>S-vasalat szett SPS PV</t>
  </si>
  <si>
    <t>S-sada kovania SPS PV</t>
  </si>
  <si>
    <t>S-sada kování SPS ZV</t>
  </si>
  <si>
    <t>S-vasalat szett SPS ZV</t>
  </si>
  <si>
    <t>S-sada kovania SPS ZV</t>
  </si>
  <si>
    <t>S-vodicí lišta SPS pro šikmé dveře 3m stříbrná</t>
  </si>
  <si>
    <t>S-vezető profil SPS ferde ajtóra 3m ezüst</t>
  </si>
  <si>
    <t>S-vodiaca lišta SPS pro šikmé dvere 3m strieborná</t>
  </si>
  <si>
    <t>S-S06N-dolní vodící profil 4,5m stříbrný</t>
  </si>
  <si>
    <t>S-S06N-alsó vezető profil 4,5m ezüst</t>
  </si>
  <si>
    <t>S-S06N-dolný vodiaci profil 4,5m strieborný</t>
  </si>
  <si>
    <t>S-S05-horní vodící profil 5m stříbrný</t>
  </si>
  <si>
    <t>S-S05-felső vezető profil 5m ezüst</t>
  </si>
  <si>
    <t>S-S05-horný vodiaci profil 5m strieborný</t>
  </si>
  <si>
    <t>S-kartáč dorazový nízký bez lepidla 4,8x6mm šedý</t>
  </si>
  <si>
    <t>Az S-kefe ütközője alacsony, ragasztó nélkül, 4,8x6mm szürke</t>
  </si>
  <si>
    <t>Posuvné interiérové kování 01499/2AM/27/1900/10 80kg</t>
  </si>
  <si>
    <t>Beltéri tolóajtó vasalat 01499/2AM/27/1900/10 80kg</t>
  </si>
  <si>
    <t>Okucie do drzwi przesuwnych do wnętrz 01499/2AM/27/1900/10 80kg</t>
  </si>
  <si>
    <t>Kartáč zásuvný 6,7x7mm šedý</t>
  </si>
  <si>
    <t>Beczúsztatható porkefe 6,7x7mm szürke</t>
  </si>
  <si>
    <t>Szczotka wsuwana 6,7x7mm szara</t>
  </si>
  <si>
    <t>S-sada kování S65</t>
  </si>
  <si>
    <t>S-vasalat szett S65</t>
  </si>
  <si>
    <t>S-sada kovania S65</t>
  </si>
  <si>
    <t>S-komplet okuć S65</t>
  </si>
  <si>
    <t>S-S05 horní vodící profil 3,5m stříbrný</t>
  </si>
  <si>
    <t>S-S05 felső vezető profil 3,5m ezüst</t>
  </si>
  <si>
    <t>S-S05 horný vod.profil 3,5m,str</t>
  </si>
  <si>
    <t>S-S05 górny profil prowadzący 3,5m srebrny</t>
  </si>
  <si>
    <t>S-S05 horní vod profil 4m stříbrný</t>
  </si>
  <si>
    <t>S-S05 felső vezető profil 4m ezüst</t>
  </si>
  <si>
    <t>S-S05 horný vod.profil 4m,str</t>
  </si>
  <si>
    <t>S-S05 górny profil prowadzący 4m srebrny</t>
  </si>
  <si>
    <t>S-S06 dolní vodící profil alu 3m</t>
  </si>
  <si>
    <t>S-S06 alsó vezető profil alu 3m</t>
  </si>
  <si>
    <t>S-S06 DOLNÝ VOD.profil 3m alu</t>
  </si>
  <si>
    <t>S-S06 dolny profil prowadzący alu 3m</t>
  </si>
  <si>
    <t>Posuvné interiérové kování 1390 40kg</t>
  </si>
  <si>
    <t>Beltéri tolóajtó vasalat 1390 40kg</t>
  </si>
  <si>
    <t>Posuvné interiérové kovanie 1390 40kg</t>
  </si>
  <si>
    <t>Okucie do drzwi przesuwnych do wnętrz 1390 40kg</t>
  </si>
  <si>
    <t>Posuvné interiérové kování 1391/120 40kg</t>
  </si>
  <si>
    <t>Beltéri tolóajtó vasalat 1391/120 40kg</t>
  </si>
  <si>
    <t>Posuvné interiérové kovanie 1391/120 - 40kg</t>
  </si>
  <si>
    <t>Okucie do drzwi przesuwnych do wnętrz 1391/120 40kg</t>
  </si>
  <si>
    <t>Posuvné interiérové kování 1391/155 40kg</t>
  </si>
  <si>
    <t>Csúszó belső szerelvények 1391/155 40kg</t>
  </si>
  <si>
    <t>Posuvné interiérové kovanie 1391/155 40kg</t>
  </si>
  <si>
    <t>Okucie do drzwi przesuwnych do wnętrz 1391/155 40 kg</t>
  </si>
  <si>
    <t>Posuvné interiérové kování 1391/190 40kg</t>
  </si>
  <si>
    <t>Csúszó belső szerelvények 1391/190 40kg</t>
  </si>
  <si>
    <t>Posuvné interiérové kovanie 1391/190 40kg</t>
  </si>
  <si>
    <t>Okucie do drzwi przesuwnych do wnętrz 1391/190 40 kg</t>
  </si>
  <si>
    <t>Posuvné interiérové kování 1391/230 40kg</t>
  </si>
  <si>
    <t>Posuvné interiérové kovanie 1391/230 40kg</t>
  </si>
  <si>
    <t>Okucie do drzwi przesuwnych do wnętrz 1391/230 40 kg</t>
  </si>
  <si>
    <t>Posuvné interiérové kování 1391/280 40kg</t>
  </si>
  <si>
    <t>Beltéri tolóajtó vasalat 1391/280 40kg</t>
  </si>
  <si>
    <t>Posuvné interiérové kovanie 1391/280 40kg</t>
  </si>
  <si>
    <t>Okucie do drzwi przesuwnych do wnętrz 1391/280 40kg</t>
  </si>
  <si>
    <t>Posuvné interiérové kování 1391/330 40kg</t>
  </si>
  <si>
    <t>Beltéri tolóajtó vasalat 1391/330 40kg</t>
  </si>
  <si>
    <t>Posuv.int.kov. 1391/330 - 40kg</t>
  </si>
  <si>
    <t>Okucie do drzwi przesuwnych do wnętrz 1391/330 40kg</t>
  </si>
  <si>
    <t>S-Softclose S60/S60N - plíšek</t>
  </si>
  <si>
    <t>S-Softclose S60/S60N - lemez</t>
  </si>
  <si>
    <t>S-Softclose S60/S60N – pliešok</t>
  </si>
  <si>
    <t>S-Softclose S60/S60N - blaszka</t>
  </si>
  <si>
    <t>S-sada kování S80SC včetně tlumiče</t>
  </si>
  <si>
    <t>S - vasalat szett S80SC csillapítóval</t>
  </si>
  <si>
    <t>S-sada kovania S80SC vrátane tlmiča</t>
  </si>
  <si>
    <t>S-komplet okuć S80SC razem z tłumieniem</t>
  </si>
  <si>
    <t>S-profil S11 stříbrný elox 2,7m</t>
  </si>
  <si>
    <t>S-profil S11 ezüst elox 2,7m</t>
  </si>
  <si>
    <t>S-profi S11 strieborný elox 2,7m</t>
  </si>
  <si>
    <t>S-profil S11 srebrny elox 2,7m</t>
  </si>
  <si>
    <t>WC Zavírač s indikátorem obsazeno/volno 12-18 mm</t>
  </si>
  <si>
    <t>WC zatvárač s indikátorom 12-18mm</t>
  </si>
  <si>
    <t>Samodomykacz do WC ze wskaźnikiem zajęte/wolne 12-18 mm</t>
  </si>
  <si>
    <t>WC Zavírač s indikátorem obsazeno/volno, pro odsazený závěs, pro lamino 12 mm</t>
  </si>
  <si>
    <t>WC-záró foglalt/szabad jelzővel lamináltra 12 mm-es</t>
  </si>
  <si>
    <t>WC Zatvárač s indikátorom obsadené/voľné, pre odsadený  záves, pre lamino 12 mm</t>
  </si>
  <si>
    <t>WC Zamek ze wskaźnikiem zajęte/wolne, do zawiasu z uskokiem, do płyty 12 mm</t>
  </si>
  <si>
    <t>WC Dveřní doraz</t>
  </si>
  <si>
    <t>Ütköző WC ajtóra</t>
  </si>
  <si>
    <t>WC Dverný doraz</t>
  </si>
  <si>
    <t>WC Odbojnik do drzwi</t>
  </si>
  <si>
    <t>WC Dveřní úchytka H38</t>
  </si>
  <si>
    <t>WC Ajtókilincs H38</t>
  </si>
  <si>
    <t>WC Dverná úchytka H38</t>
  </si>
  <si>
    <t>WC Uchwyt drzwiowy H38</t>
  </si>
  <si>
    <t>WC úhelník (přichycení ke zdi)</t>
  </si>
  <si>
    <t>WC szögletvas (rögzítés falra)</t>
  </si>
  <si>
    <t>WC uholník (prichytenie ku stene)</t>
  </si>
  <si>
    <t>WC kątownik (mocowanie do ściany)</t>
  </si>
  <si>
    <t>WC Závěs levý (šrouby) H70 12 mm</t>
  </si>
  <si>
    <t>WC Pánt balos (csavarok) H70</t>
  </si>
  <si>
    <t>WC  záves ľavý (skrutky) H70 12 mm</t>
  </si>
  <si>
    <t>WC Zawias lewy (śrubki) H70 12 mm</t>
  </si>
  <si>
    <t>WC Závěs pravý (šrouby) H70 12 mm</t>
  </si>
  <si>
    <t>WC Pánt jobbos (csavarok) H70 12 mm</t>
  </si>
  <si>
    <t>WC  záves pravý (skrutky) H70 12 mm</t>
  </si>
  <si>
    <t>WC Zawias prawy (śrubki) H70 12 mm</t>
  </si>
  <si>
    <t>WC Závěs levý (vruty) SH70 12 mm</t>
  </si>
  <si>
    <t>WC Pánt balos (csavarok) SH70 12 mm</t>
  </si>
  <si>
    <t>WC Záves ľavý (vruty) SH70 12 mm</t>
  </si>
  <si>
    <t>WC Zawias lewy (wkręty) SH70 12 mm</t>
  </si>
  <si>
    <t>WC Závěs pravý (vruty) SH70 12 mm</t>
  </si>
  <si>
    <t>WC Pánt jobbos (csavarok) SH70 12 mm</t>
  </si>
  <si>
    <t>WC Záves pravý (vruty) SH70 12 mm</t>
  </si>
  <si>
    <t>WC Zawias prawy (wkręty) SH70 12 mm</t>
  </si>
  <si>
    <t>WC Závěs levý odsazený (vruty) VSH70</t>
  </si>
  <si>
    <t>WC Pánt balos eltolással (csavarok) VSH70</t>
  </si>
  <si>
    <t>WC  záves ľavý odsadený (vruty) VSH70</t>
  </si>
  <si>
    <t>WC Zawias lewy z uskokiem (wkręty) VSH70</t>
  </si>
  <si>
    <t>WC Závěs pravý odsazený (vruty) VSH70</t>
  </si>
  <si>
    <t>WC Pánt jobbos eltolással (csavarok) VSH70</t>
  </si>
  <si>
    <t>WC  záves pravý odsadený (vruty) VSH70</t>
  </si>
  <si>
    <t>WC Zawias prawy z uskokiem (wkręty) VSH70</t>
  </si>
  <si>
    <t>WC Spojovací trubka 32 mm - 3 m</t>
  </si>
  <si>
    <t>WC Összekötő cső 32 mm - 3 m</t>
  </si>
  <si>
    <t>WC Spojovacia trubka 32 mm - 3 m</t>
  </si>
  <si>
    <t>WC C Rura łącząca 32 mm - 3 m</t>
  </si>
  <si>
    <t>WC Přichycení trubky na zeď</t>
  </si>
  <si>
    <t>WC Cső rögzítése a falra</t>
  </si>
  <si>
    <t>WC Prichytenie trubky na stenu</t>
  </si>
  <si>
    <t>WC Mocowanie rur do ściany</t>
  </si>
  <si>
    <t>WC Rohový spoj trubky 90stupňů</t>
  </si>
  <si>
    <t>WC Sarokcsatlakozó a csőre 90 fok</t>
  </si>
  <si>
    <t>WC Rohový spoj trubky 90 stupňov</t>
  </si>
  <si>
    <t>WC Narożne łącze do rur 90 stopni</t>
  </si>
  <si>
    <t>WC Spojnice trubky T</t>
  </si>
  <si>
    <t>WC T csatlakozó a csőre</t>
  </si>
  <si>
    <t>WC Łącze do rur T</t>
  </si>
  <si>
    <t>WC horní upevňující svorka 90° pro KD 12mm</t>
  </si>
  <si>
    <t>WC Felső rögzítő kapocs 90° fok 12mm</t>
  </si>
  <si>
    <t>WC horná upevňovacia svorka 90° pre KD 12mm</t>
  </si>
  <si>
    <t>WC Górny zacisk 90° 12mm</t>
  </si>
  <si>
    <t>S-S15 úchytový profil + krycí profil alu 2,7m</t>
  </si>
  <si>
    <t>S-S15 fogantyú profil + takaró profil alu 2,7m</t>
  </si>
  <si>
    <t>S-S15-úch.profil+krycí pr. alu 2,7m</t>
  </si>
  <si>
    <t>S-S15 profil uchwytowy + profl maskujący alu 2,7m</t>
  </si>
  <si>
    <t>S-sada kování S55A</t>
  </si>
  <si>
    <t>S-vasalat szett S55A</t>
  </si>
  <si>
    <t>S-sada kovania S55A</t>
  </si>
  <si>
    <t>S-komplet okuć S55A</t>
  </si>
  <si>
    <t>IC-spojka na šikmé Comfort hliníkové dveře</t>
  </si>
  <si>
    <t>IC-összekötő elem Comfort ferde alumínium ajtóra</t>
  </si>
  <si>
    <t>IC-spojka na šikmé Comfort hliníkové dvere</t>
  </si>
  <si>
    <t>IC-łącznik do skośnych aluminiowych drzwi Comfort</t>
  </si>
  <si>
    <t>S-kartáč dorazový nízký 12,8x4,6mm šedý</t>
  </si>
  <si>
    <t>S - Támfalas kefe alacsony 13x5mm szürke</t>
  </si>
  <si>
    <t>S-karáč dorazový nízky 12,8x4,6 mm šedý</t>
  </si>
  <si>
    <t>S-szczotka odbojowa niska 13x5 mm, szara</t>
  </si>
  <si>
    <t>IC-úchytová lišta Portland 10mm 2,7m stříbrná</t>
  </si>
  <si>
    <t>IC-fogantyú profil Portland 10mm 2,7m ezüst</t>
  </si>
  <si>
    <t>IC-úchytová lišta Portland 10mm 2,7m strieborná</t>
  </si>
  <si>
    <t>IC-rączka Portland 10mm 2,7m srebrna</t>
  </si>
  <si>
    <t>S-oboustranný tlumič Slidix Centro T25 S55/S60/S65</t>
  </si>
  <si>
    <t>S-kétoldalú csillapító Slidix Centro T25 S55/S60/S65</t>
  </si>
  <si>
    <t>S-obojstranný tlmič Slidix Centro T25 S55/S60/S65</t>
  </si>
  <si>
    <t>S-tłumienie obustronne Slidix Centro T25 S55/S60/S65</t>
  </si>
  <si>
    <t>IC-spodní vedení 3m arktické stříbro</t>
  </si>
  <si>
    <t>IC-alsó vezetés 3m sarkvidéki ezüst</t>
  </si>
  <si>
    <t>IC-spodné vedenie  3m arktické striebro</t>
  </si>
  <si>
    <t>IC-tor dolny 3 m arktyczne srebro</t>
  </si>
  <si>
    <t>IC-vodorovná lišta 10mm 2,4m arktické stříbro</t>
  </si>
  <si>
    <t>IC-vízszintes profil 10mm 2,4m sarkvidéki ezüst</t>
  </si>
  <si>
    <t>IC-vodiaca lišta 10mm, 2,4m elox str.</t>
  </si>
  <si>
    <t>IC-Profil  10mm 2,4m arktyczne srebro</t>
  </si>
  <si>
    <t>S-S06NN spodní profil 3m elox stříbrný</t>
  </si>
  <si>
    <t>S-S06NN alsó profil 3m elox ezüst</t>
  </si>
  <si>
    <t>S-S06NN spodný profil 3m elox strieborný</t>
  </si>
  <si>
    <t>S-S06NN dolny profil 3m elox srebrny</t>
  </si>
  <si>
    <t>S-Softclose S60/S60N (Slidix T25) tlumič</t>
  </si>
  <si>
    <t>S-Softclose S60/S60N (Slidix T25) csillapító</t>
  </si>
  <si>
    <t>S-Softclose S60/S60N (Slidix T25) tlmič</t>
  </si>
  <si>
    <t>S-Softclose S60/S60N (Slidix T25) tłumienie</t>
  </si>
  <si>
    <t>IC-horní vedení jednoduché 2m stříbrné</t>
  </si>
  <si>
    <t>IC-felső vezetés szimpla 2m ezüst</t>
  </si>
  <si>
    <t>IC-horné vedenie  jednoduché 2m strieborné</t>
  </si>
  <si>
    <t>IC-tor górny prosty 2m srebrny</t>
  </si>
  <si>
    <t>IC-horní vedení jednoduché 3m stříbrné</t>
  </si>
  <si>
    <t>IC-felső vezetés szimpla 3m ezüst</t>
  </si>
  <si>
    <t>IC-horné vedenie  jednoduché 3m strieborné</t>
  </si>
  <si>
    <t>IC-tor górny prosty 3m srebrny</t>
  </si>
  <si>
    <t>IC-spodní vedení jednoduché 2m stříbrné</t>
  </si>
  <si>
    <t>IC-alsó vezetés szimpla 2m ezüst</t>
  </si>
  <si>
    <t>IC-spodné vedenie  jednoduché 2m strieborné</t>
  </si>
  <si>
    <t>IC-tor dolny prosty 2m srebrny</t>
  </si>
  <si>
    <t>IC-spodní vedení jednoduché 3m stříbrné</t>
  </si>
  <si>
    <t>IC-alsó vezetés szimpla 3m ezüst</t>
  </si>
  <si>
    <t>IC-spodné vedenie  jednoduché 3m strieborné</t>
  </si>
  <si>
    <t>IC-tor dolny prosty 3m srebrny</t>
  </si>
  <si>
    <t>IC-spodní vedení jednoduché 5m stříbrné</t>
  </si>
  <si>
    <t>IC-alsó vezetés szimpla 5m ezüst</t>
  </si>
  <si>
    <t>IC-spodné vedenie  jednoduché 5m strieborné</t>
  </si>
  <si>
    <t>IC-tor dolny prosty 5m srebrny</t>
  </si>
  <si>
    <t>S-S06N dolní vodící profil 3m stříbrná</t>
  </si>
  <si>
    <t>S-S06N alsó vezető profil 3m ezüst</t>
  </si>
  <si>
    <t>SALU06 N-dolný vodiaci profil 3m str.</t>
  </si>
  <si>
    <t>S-S06N dolny profil prowadzący 3m srebrny</t>
  </si>
  <si>
    <t>S-S06N krycí profil (maska) 3m stříbrná</t>
  </si>
  <si>
    <t>S-S06N takaró profil (maszk) 3m ezüst</t>
  </si>
  <si>
    <t>SALU-S06N KRYCÍ PROFIL 3M ALU</t>
  </si>
  <si>
    <t>S-S06N profl maskujący (maskownica) 3m srebrny</t>
  </si>
  <si>
    <t>DI horní jednokolej 5m oliva</t>
  </si>
  <si>
    <t>DI-felső szimpla sín 5m oliva</t>
  </si>
  <si>
    <t>DI horná jednokoľaj 5m oliva</t>
  </si>
  <si>
    <t>DI-pojedynczy profil górny 5m</t>
  </si>
  <si>
    <t>PROFIL S08 STŘÍBRNÝ 2,7 M</t>
  </si>
  <si>
    <t>PROFIL S08 EZÜST 2,7 M</t>
  </si>
  <si>
    <t>PROFIL S08 STRIEBORNÝ 2,7 M</t>
  </si>
  <si>
    <t>PROFIL S08 srebrny 2,7 M</t>
  </si>
  <si>
    <t>S-S03 vodící profil alu elox 2,5m</t>
  </si>
  <si>
    <t>S-S03 vezető profil alu elox 2,5m</t>
  </si>
  <si>
    <t>S-S03 profil prowadzący alu elox 2,5m</t>
  </si>
  <si>
    <t>S-S03 eloxált alumínium vezetőprofil 3m</t>
  </si>
  <si>
    <t>S-S03 profil prowadzący alu elox 3m</t>
  </si>
  <si>
    <t>S-profil S30 dvojitý elox 4,5m</t>
  </si>
  <si>
    <t>S-profil S30 dupla elox 4,5m</t>
  </si>
  <si>
    <t>PROFIL S30 DVOJTÝ ELOX. 4,5 M</t>
  </si>
  <si>
    <t>PROFIL S30 podwójny ELOX. 4,5 M</t>
  </si>
  <si>
    <t>S-kartáč protiprachový vysoký 6,7x12mm šedý</t>
  </si>
  <si>
    <t>S-porfogó kefe magas 6,7x12mm szürke</t>
  </si>
  <si>
    <t>S-kartáč protiprachový vysoký 6,7x12mm sivý</t>
  </si>
  <si>
    <t>S-szcotka przeciwkurzowa wysoka 6,7x12 mm szara</t>
  </si>
  <si>
    <t>S-Softclose S60/S60N (Slidix T60) tlumič</t>
  </si>
  <si>
    <t>S-Softclose S60/S60N (Slidix T60) csillapító</t>
  </si>
  <si>
    <t>S-Softclose S60/S60N (Slidix T60) tlmič</t>
  </si>
  <si>
    <t>S-Softclose S60/S60N (Slidix T60) tłumienie</t>
  </si>
  <si>
    <t>S-S06-dolní vodící profil 2m alu</t>
  </si>
  <si>
    <t>S-S06-alsó vezető profil 2m alu</t>
  </si>
  <si>
    <t>S-Salu 06(S06)-DOLNÝ VOD.profil 2m alu</t>
  </si>
  <si>
    <t>S-S06-dolny profil prowadzący 2m alu</t>
  </si>
  <si>
    <t>S-S06 dolní vodící profil 3,5m stříbrný</t>
  </si>
  <si>
    <t>S-S06 alsó vezető profil 3,5m ezüst</t>
  </si>
  <si>
    <t>S-Salu 06(S06)-DOLNÝ VOD.profil 3,5m str</t>
  </si>
  <si>
    <t>S-S06 dolny profil prowadzący 3,5m srebrny</t>
  </si>
  <si>
    <t>S-S05 horní vodící profil 2m stříbrný</t>
  </si>
  <si>
    <t>S-S05 felső vezető profil 2m ezüst</t>
  </si>
  <si>
    <t>S-S05 horný vodiaci profil 2m strieborný</t>
  </si>
  <si>
    <t>S-S05 górny profil prowadzący 2m srebrny</t>
  </si>
  <si>
    <t>S-S05 horní vodící profil 2,5m stříbrný</t>
  </si>
  <si>
    <t>S-S05 felső vezető profil 2,5m ezüst</t>
  </si>
  <si>
    <t>S-S05 -horný vod.profil 2,5m,str</t>
  </si>
  <si>
    <t>S-S05 górny profil prowadzący 2,5m srebrny</t>
  </si>
  <si>
    <t>S-S05 horní vodící profil 3m stříbrný</t>
  </si>
  <si>
    <t>S-S05 felső vezető profil 3m ezüst</t>
  </si>
  <si>
    <t>S-S05 -horný vod.profil 3m,str</t>
  </si>
  <si>
    <t>S-S05 górny profil prowadzący 3m srebrny</t>
  </si>
  <si>
    <t>S-S06N dolní vodící profil 2m stříbrný</t>
  </si>
  <si>
    <t>S-S06N alsó vezető profil 2m ezüst</t>
  </si>
  <si>
    <t>S-S06N dolný vodiaci profil 2m strieborný</t>
  </si>
  <si>
    <t>S-S06N dolny profil prowadzący 2m srebrny</t>
  </si>
  <si>
    <t>S-S06 dolní vodící profil 2,5m stříbrný</t>
  </si>
  <si>
    <t>S-S06 alsó vezető profil 2,5m ezüst</t>
  </si>
  <si>
    <t>S-S06 -horný vod.profil 2,5m,str</t>
  </si>
  <si>
    <t>S-S06 dolny profil prowadzący 2,5m srebrny</t>
  </si>
  <si>
    <t>S-S06 dolní vodící profil alu 4m</t>
  </si>
  <si>
    <t>S-S06 alsó vezető profil alu 4m</t>
  </si>
  <si>
    <t>S-S06 -dolný vod.profil alu 4m</t>
  </si>
  <si>
    <t>S-S06 dolny profil prowadzący alu 4m</t>
  </si>
  <si>
    <t>S-S10 úchytový profil + krycí profil alu 2,7m</t>
  </si>
  <si>
    <t>S-S10 fogantyú profil + takaró profil alu 2,7m</t>
  </si>
  <si>
    <t>S-S10 profil uchwytowy + profl maskujący alu 2,7m</t>
  </si>
  <si>
    <t>S-S65 horní a střední profil 4/18mm 2m stříbrný</t>
  </si>
  <si>
    <t>S-S65 felső és középső profil 4/18mm 2m ezüst</t>
  </si>
  <si>
    <t>S-S65 horný a stredná profil 4/18mm 2m strieborný</t>
  </si>
  <si>
    <t>S-S65 górny i środkowy profil 4/18mm 2m srebrny</t>
  </si>
  <si>
    <t>S-S65 horní a střední profil 4/18mm 3m stříbrný</t>
  </si>
  <si>
    <t>S-S65 felső és középső profil 4/18mm 3m ezüst</t>
  </si>
  <si>
    <t>S-S65 horný a stredný profil 4/18mm 3m strieborný</t>
  </si>
  <si>
    <t>S-S65 górny i środkowy profil 4/18mm 3m srebrny</t>
  </si>
  <si>
    <t>S-S65 dolní profil 4/18mm 2m stříbrný</t>
  </si>
  <si>
    <t>S-S65 alsó profil 4/18mm 2m ezüst</t>
  </si>
  <si>
    <t>S-S65 dolný profil 4/18mm 2m strieborný</t>
  </si>
  <si>
    <t>S-S65 dolny profil 4/18mm 2m srebrny</t>
  </si>
  <si>
    <t>S-S65 dolní profil 4/18mm 3m stříbrný</t>
  </si>
  <si>
    <t>S-S65 alsó profil 4/18mm 3m ezüst</t>
  </si>
  <si>
    <t>S-S65 dolný profil 4/18mm 3m  strieborný</t>
  </si>
  <si>
    <t>S-S65 dolny profil 4/18mm 3m srebrny</t>
  </si>
  <si>
    <t>S-sada kování S60</t>
  </si>
  <si>
    <t>S-vasalat szett S60</t>
  </si>
  <si>
    <t>S-sada kovania S60</t>
  </si>
  <si>
    <t>S-komplet okuć  S60</t>
  </si>
  <si>
    <t>S-S06N krycí profil alu 2,5m</t>
  </si>
  <si>
    <t>S-S06N takaró profil alu 2,5m</t>
  </si>
  <si>
    <t>SALU-S06N KRYCÍ PROFIL 2,5M ALU</t>
  </si>
  <si>
    <t>S-S06N profl maskujący alu 2,5m</t>
  </si>
  <si>
    <t>S-S65 dolní profil 4/18mm 3,5m stříbrný</t>
  </si>
  <si>
    <t>S-S65 alsó profil 4/18mm 3,5m ezüst</t>
  </si>
  <si>
    <t>S-S65 dolní profil 4/18mm 3,5m strieborný</t>
  </si>
  <si>
    <t>S-S65 dolny profil 4/18mm 3,5m srebrny</t>
  </si>
  <si>
    <t>S-S06NN dolní vodící profil alu 3,5m</t>
  </si>
  <si>
    <t>S-S06NN alsó vezető profil alu 3,5m</t>
  </si>
  <si>
    <t>SALU06 NN-DOLNÝ VOD.PROFIL 3,5M ALU</t>
  </si>
  <si>
    <t>S-S06NN dolny profil prowadzący alu 3,5m</t>
  </si>
  <si>
    <t>SALU-S06N KRYCÍ PROFIL 3,5M ALU</t>
  </si>
  <si>
    <t>S-S65 horní a střední profil 3,5m stříbrný</t>
  </si>
  <si>
    <t>S-S65 felső és középső profil 3,5m ezüst</t>
  </si>
  <si>
    <t>S-65 horný a stredný profil 3,5m strieborný</t>
  </si>
  <si>
    <t>S-S65 górny i środkowy profil 3,5m srebrny</t>
  </si>
  <si>
    <t>S-S65-dolní profil 4/18mm 3,5m stříbrný</t>
  </si>
  <si>
    <t>S-S65-alsó profil 4/18mm 3,5m ezüst</t>
  </si>
  <si>
    <t>S-S65-dolný profil 4/18mm 3,5m strieborný</t>
  </si>
  <si>
    <t>S-S65-dolny profil 4/18mm 3,5m srebrny</t>
  </si>
  <si>
    <t>Domino sada 3 křídla max. 21mm 50kg</t>
  </si>
  <si>
    <t>Domino szett 3 ajtószárny max. 21mm 50kg</t>
  </si>
  <si>
    <t>Domino sada 3 kr.,max.21mm,50kg</t>
  </si>
  <si>
    <t>Domino komplet 3 skrzydła  max. 21mm 50kg</t>
  </si>
  <si>
    <t>Domino sada 3 křídla max. 28mm 50kg</t>
  </si>
  <si>
    <t>Domino szett 3 ajtószárny max. 28mm 50kg</t>
  </si>
  <si>
    <t>Domino sada 3 kr.,max.28mm,50kg</t>
  </si>
  <si>
    <t>Domino komplet 3 skrzydła  max. 28mm 50kg</t>
  </si>
  <si>
    <t>Domino sada 2 tlumičů 40 Nm</t>
  </si>
  <si>
    <t>Domino 2 csillapító szett 40 Nm</t>
  </si>
  <si>
    <t>Domino sada 2 tlmičov 40 Nm</t>
  </si>
  <si>
    <t>Domino komplet 2 tłumień 40 Nm</t>
  </si>
  <si>
    <t>Domino horní vedení alu elox 3m</t>
  </si>
  <si>
    <t>Domino felső sín alu elox 3m</t>
  </si>
  <si>
    <t>Domino horné vedenie alu elox 3 m</t>
  </si>
  <si>
    <t>Domino tor górny aluminium anodowane 3m</t>
  </si>
  <si>
    <t>Domino spodní vedení alu elox 3m</t>
  </si>
  <si>
    <t>Domino alsó vezetés alu elox 3m</t>
  </si>
  <si>
    <t>Domino spodné vedenie alu elox 3 m</t>
  </si>
  <si>
    <t>Domino tor dolny alu elox 3m</t>
  </si>
  <si>
    <t>IC-lišta Standard 10mm wenge 2,75m</t>
  </si>
  <si>
    <t>IC-profil Standard 10mm wenge 2,75m</t>
  </si>
  <si>
    <t>IC-Profil  Standard 10mm wenge 2,75m</t>
  </si>
  <si>
    <t>IC-horní vedení WE 10mm wenge 2m</t>
  </si>
  <si>
    <t>IC-felső sín WE 10 mm, wenge 2m</t>
  </si>
  <si>
    <t>IC-horné vedenie WE 10mm wenge 2m</t>
  </si>
  <si>
    <t>IC-tor górny WE 10mm wenge 2m</t>
  </si>
  <si>
    <t>IC-spodní vedení wenge 2m</t>
  </si>
  <si>
    <t>IC-alsó vezetés wenge 2m</t>
  </si>
  <si>
    <t>IC-spodné vedenie wenge 2m</t>
  </si>
  <si>
    <t>IC-tor dolny wenge 2m</t>
  </si>
  <si>
    <t>IC-10mm vodorovná lišta wenge 2,4m</t>
  </si>
  <si>
    <t>IC-10mm vízszintes profil wenge 2,4m</t>
  </si>
  <si>
    <t>IC-10mm Profil poziomy wenge 2,4m</t>
  </si>
  <si>
    <t>IC-krycí lišta 14mm 3,6m anodovaný šampáň</t>
  </si>
  <si>
    <t>IC-takaró profil 14mm 3,6m pezsgő</t>
  </si>
  <si>
    <t>IC-krycia lišta 14mm 3,6m anodovaný šampáň</t>
  </si>
  <si>
    <t>IC-Listwa maskująca  14mm 3,6m szampan oksydowany</t>
  </si>
  <si>
    <t>IC-dělící profil WE wenge 2,75m</t>
  </si>
  <si>
    <t>IC-osztó profil WE wenge 2,75m</t>
  </si>
  <si>
    <t>IC-deliaci profil WE wenge 2,75m</t>
  </si>
  <si>
    <t>IC-profil łączący WE wenge 2,75m</t>
  </si>
  <si>
    <t>K-HAWA Frontino 40 H FS typ S 1200-1799mm sada kování + vedení</t>
  </si>
  <si>
    <t>K-HAWA Frontino 40 H FS típus S 1200-1799mm vasalat szett + vezetés</t>
  </si>
  <si>
    <t>K-HAWA Frontino 40 H FS typ S 1200-1799mm sada kovanie + vedenia</t>
  </si>
  <si>
    <t>K-HAWA Frontino 40 H FS typ S 1200-1799 mm, komplet okuć + tory</t>
  </si>
  <si>
    <t>K-HAWA Frontino 40 H FS typ M 1800-2199mm sada kování + vedení</t>
  </si>
  <si>
    <t>K-HAWA Frontino 40 H FS típus M 1800-2199mm vasalat szett + vezetés</t>
  </si>
  <si>
    <t>K-HAWA Frontino 40 H FS typ M 1800-2199mm sada kovanie + vedenia</t>
  </si>
  <si>
    <t>K-HAWA Frontino 40 H FS typ M 1800-2199 mm, komplet okuć + tory</t>
  </si>
  <si>
    <t>K-HAWA Frontino 40 H FS typ L 2200-2400mm sada kování + vedení</t>
  </si>
  <si>
    <t>K-HAWA Frontino 40 H FS típus L 2200-2400mm vasalat szett + vezetés</t>
  </si>
  <si>
    <t>K-HAWA Frontino 40 H FS typ L 2200-2400mm sada kovanie + vedenia</t>
  </si>
  <si>
    <t>K-HAWA Frontino 40 H FS typ L 2200-2400 mm, komplet okuć + tory</t>
  </si>
  <si>
    <t>S-S20/30 alu lišta dvojitá 6m elox</t>
  </si>
  <si>
    <t>S-S20/30 alu profil dupla 6m elox</t>
  </si>
  <si>
    <t>S-S20/30 alu listwa podwójna 6m elox</t>
  </si>
  <si>
    <t>S-S06N krycí profil alu 2m</t>
  </si>
  <si>
    <t>IC-úchytová lišta Standard 2,75m 4mm arktik stříbrný</t>
  </si>
  <si>
    <t>IC-fogantyú profil Standard 2,75m 4mm sarkvidéki ezüst</t>
  </si>
  <si>
    <t>IC-úchytová lišta Standard 2,75m 4mm arktik strieborný</t>
  </si>
  <si>
    <t>IC-rączka Standard 2,75 m 4 mm arktyczne srebro</t>
  </si>
  <si>
    <t>IC-sada vozíků Standard/Classic 1 křídlo</t>
  </si>
  <si>
    <t>IC-görgő szett Standard/Classic 1 ajtószárny</t>
  </si>
  <si>
    <t>IC-sada vozíkov Standard/Classic 1 krídl</t>
  </si>
  <si>
    <t>IC-komplet wózków Standard/Classic 1 skrzydło</t>
  </si>
  <si>
    <t>S-S05 horní vodící profil 1,5m stříbrný</t>
  </si>
  <si>
    <t>S-S05 felső vezető profil 1,5m ezüst</t>
  </si>
  <si>
    <t>S-S05 horný vodiaci profil 1,5m strieborný</t>
  </si>
  <si>
    <t>S-S05 górny profil prowadzący 1,5m srebrny</t>
  </si>
  <si>
    <t>S-S06NN spodní profil 1,5m elox stříbrný</t>
  </si>
  <si>
    <t>S-S06NN alsó profil 1,5m elox ezüst</t>
  </si>
  <si>
    <t>S-S06NN spodný profil 1,5m elox strieborný</t>
  </si>
  <si>
    <t>S-S06NN dolny profil 1,5m elox srebrny</t>
  </si>
  <si>
    <t>S-S06N krycí profil (maska) 1,5m stříbrný</t>
  </si>
  <si>
    <t>S-S06N takaró profil (maszk) 1,5m ezüst</t>
  </si>
  <si>
    <t>S-S06N krycí profil (maska) 1,5m strieborný</t>
  </si>
  <si>
    <t>S-S06N profl maskujący (maskownica) 1,5m srebrny</t>
  </si>
  <si>
    <t>S-S65 horní a střední profil 2,5m stříbrný</t>
  </si>
  <si>
    <t>S-S65 felső és középső profil 2,5m ezüst</t>
  </si>
  <si>
    <t>S-S65 horný a stredný profil 2,5m strieborný</t>
  </si>
  <si>
    <t>S-S65 górny i środkowy profil 2,5m srebrny</t>
  </si>
  <si>
    <t>S-S65 dolní profil 4/18mm 2,5m stříbrný</t>
  </si>
  <si>
    <t>S-S65 alsó profil 4/18mm 2,5m ezüst</t>
  </si>
  <si>
    <t>S-S65 dolný profil 4/18mm 2,5m strieborný</t>
  </si>
  <si>
    <t>S-S65 dolny profil 4/18mm 2,5m srebrny</t>
  </si>
  <si>
    <t>S-alu profil S30 dvojitý surový 3m</t>
  </si>
  <si>
    <t>S-alu profil S30 dupla nyers 3m</t>
  </si>
  <si>
    <t>PROFIL ALU S30 DVOJITÝ SUROVÝ 3M</t>
  </si>
  <si>
    <t>S-alu profil S30 podwójny surowy 3m</t>
  </si>
  <si>
    <t>Držák lišty 1390 (40kg)</t>
  </si>
  <si>
    <t>Profil tartó 1390 (40kg)</t>
  </si>
  <si>
    <t>DRŽIAK LIŠTY 1390 (40 kg)</t>
  </si>
  <si>
    <t>Mocowanie listwy 1390 (40kg)</t>
  </si>
  <si>
    <t>StrongLine posuvné kování 1030 2 dveře</t>
  </si>
  <si>
    <t>StrongLine tolóajtó vasalat 1030 2 ajtó</t>
  </si>
  <si>
    <t>StrongLine posuvné kovanie 1030 2 dvere</t>
  </si>
  <si>
    <t>StrongLine okucia do drzwi przesuwnych 1030 2 skrzydła</t>
  </si>
  <si>
    <t>StrongLine posuvné kování 1030 3 dveře</t>
  </si>
  <si>
    <t>StrongLine tolóajtó vasalat 1030 3 ajtó</t>
  </si>
  <si>
    <t>StrongLine posuvné kovanie 1030 3 dvere</t>
  </si>
  <si>
    <t>StrongLine okucia do drzwi przesuwnych 1030 3 skrzydła</t>
  </si>
  <si>
    <t>IC-4mm lišta svislá široká (Classic) bílá 2,75m</t>
  </si>
  <si>
    <t>IC-4mm profil függőleges széles (Classic) fehér 2,75m</t>
  </si>
  <si>
    <t>IC-4mm lišta zv.široká (Classic) biela 2,75m</t>
  </si>
  <si>
    <t>IC-4mm Profil pionowy szeroki (Classic) biały  2,75m</t>
  </si>
  <si>
    <t>IC-10mm lišta svislá široká (Classic) bílá 2,75m</t>
  </si>
  <si>
    <t>IC-10mm profil függőleges széles (Classic) fehér 2,75m</t>
  </si>
  <si>
    <t>IC-10mm lišta zv.široká (Classic) biela 2,75</t>
  </si>
  <si>
    <t>IC-10mm Profil pionowy szeroki (Classic) biały  2,75m</t>
  </si>
  <si>
    <t>IC-kolejnička horní bílá 3m</t>
  </si>
  <si>
    <t>IC-sín felső fehér 3m</t>
  </si>
  <si>
    <t>IC-kolejnička horná biela 3m</t>
  </si>
  <si>
    <t>IC-tor górny biały 3m</t>
  </si>
  <si>
    <t>IC-kolejnička spodní bílá 3m</t>
  </si>
  <si>
    <t>IC-sín alsó fehér 3m</t>
  </si>
  <si>
    <t>IC-kolejnička spodná biela 3m</t>
  </si>
  <si>
    <t>IC-tor dolny biały  3m</t>
  </si>
  <si>
    <t>IC-4mm lišta vodící bílá 2,4m</t>
  </si>
  <si>
    <t>IC-4mm vezető profil fehér 2,4m</t>
  </si>
  <si>
    <t>IC-4mm lišta vodiaca biela 2,4m</t>
  </si>
  <si>
    <t>IC-4 mm Profil prowadzący biały 2,4 m</t>
  </si>
  <si>
    <t>IC-úchytová lišta Rome 10mm alu EU šampáň 5,3m</t>
  </si>
  <si>
    <t>IC-fogantyú profil Rome 10mm alu EU pezsgő 5,3m</t>
  </si>
  <si>
    <t>IC-úch.lišta Rome 10mm alu EU šampaň 5,3m</t>
  </si>
  <si>
    <t>IC-rączka Rome 10mm alu EU szampan 5,3m</t>
  </si>
  <si>
    <t>IF-krytka nalepovací 20mm 15ks 93336 hliník mat</t>
  </si>
  <si>
    <t>IF-takarós.önt.20mm 15db 93336 alu matt</t>
  </si>
  <si>
    <t>IF-krytka nalepovacia20mm 15ks 93336 hliník mat</t>
  </si>
  <si>
    <t>IF-nakładka samoprzylepna 20mm 15szt. 93336 Aluminium mat</t>
  </si>
  <si>
    <t>FR</t>
  </si>
  <si>
    <t>EN</t>
  </si>
  <si>
    <t>DE</t>
  </si>
  <si>
    <t>jazyk 1CZ, 2SK, 3PL, 4HU, 5FR, 6EN, 7DE</t>
  </si>
  <si>
    <t xml:space="preserve">  Prodejní cena EU</t>
  </si>
  <si>
    <t xml:space="preserve">  Název sortimentu EN</t>
  </si>
  <si>
    <t>Alfa II fogantyú profil 100mm fekete szerkezeti</t>
  </si>
  <si>
    <t>Alfa II fogantyú profil 100mm matt fekete</t>
  </si>
  <si>
    <t>Alfa II rączka 100mm czarny mat</t>
  </si>
  <si>
    <t>Faworyt II fogantyú profil 100mmm matt fehér</t>
  </si>
  <si>
    <t>Faworyt II úchytová liš.100mm biela mat</t>
  </si>
  <si>
    <t>Fox II fogantyú profil 100mm fényes fekete</t>
  </si>
  <si>
    <t>Vitara fogantyú profil 100mm ezüst</t>
  </si>
  <si>
    <t>Lynx fogantyú profil 100mm oliva</t>
  </si>
  <si>
    <t>Alfa II fogantyú profil 100mm grafit - minta</t>
  </si>
  <si>
    <t>Alfa II rączka 100mm grafit</t>
  </si>
  <si>
    <t>Victoria II fogantyú profil 100mm oliva sötét szálcsiszolt</t>
  </si>
  <si>
    <t>Alfa II rączka 100mm czarny lakier strukturalny</t>
  </si>
  <si>
    <t>Malé vzorky profilů</t>
  </si>
  <si>
    <t>Male probki profilowe</t>
  </si>
  <si>
    <t>Kis profilminták</t>
  </si>
  <si>
    <t>Malé vzorky profilov</t>
  </si>
  <si>
    <t>Alfa II úchytová lišta 100mm černá mat</t>
  </si>
  <si>
    <t>Faworyt II úchytová lišta 100mm bílá mat</t>
  </si>
  <si>
    <t>Fox II úchytová lišta 100mm černá lesk</t>
  </si>
  <si>
    <t>Vitara úchytová lišta 100mm stříbrná</t>
  </si>
  <si>
    <t>Lynx úchytová lišta 100mm oliva</t>
  </si>
  <si>
    <t>Alfa II úchytová lišta 100mm grafit</t>
  </si>
  <si>
    <t>Victoria II úchytová lišta 100mm oliva tmavá kartáčovaná</t>
  </si>
  <si>
    <t>Alfa II úchytová lišta 100mm černá strukturální</t>
  </si>
  <si>
    <t>Alfa II úchytová lišta 100mm čierna mat</t>
  </si>
  <si>
    <t>Fox II úchytová lišta 100mm čierna lesk</t>
  </si>
  <si>
    <t>Vitara úchytová lišta 100mm strieborná</t>
  </si>
  <si>
    <t>Alfa II úchytová lišta 18mm 100m grafit</t>
  </si>
  <si>
    <t>Alfa II úchytová lišta 18mm 100m čierna štrukturálna</t>
  </si>
  <si>
    <t>Faworyt II rączka 100 mm, biała matowa</t>
  </si>
  <si>
    <t>Fox II rączka 100mm czarny połysk</t>
  </si>
  <si>
    <t>Vitara rączka 100mm srebrna</t>
  </si>
  <si>
    <t>Lynx rączka 100mm oliva</t>
  </si>
  <si>
    <t>Victoria II rączka 100mm  oliwka ciemna szczotkowana</t>
  </si>
  <si>
    <t>niektóre elementy nie są produkowane w wybranej długości</t>
  </si>
  <si>
    <t>niektoré položky sa vo vybranej dĺžke nevyrábajú</t>
  </si>
  <si>
    <t>egyes tételek nem a kiválasztott hosszúságban készülnek</t>
  </si>
  <si>
    <t>SEVROLL 20041 screw 2.5x18mm half round head zinc white</t>
  </si>
  <si>
    <t>SEVROLL 20223 stop brush clip</t>
  </si>
  <si>
    <t>SEVROLL 20371 screwdriver Blue 6.3x45</t>
  </si>
  <si>
    <t>SEVROLL 20001 screwdriver 6.3x32 SEVROLL and Simple</t>
  </si>
  <si>
    <t>SEVROLL 20080 HI-TEC undercarriage positioner</t>
  </si>
  <si>
    <t>SEVROLL 20229-SV stop brush self-adhesive 6.7x4mm gray</t>
  </si>
  <si>
    <t>SEVROLL 10163 Simple/Blue positioner for undercarriage</t>
  </si>
  <si>
    <t>SEVROLL 20240 Simple/Blue positioner for top carriage</t>
  </si>
  <si>
    <t>SEVROLL 10231 Micra brake (2 pcs in package)</t>
  </si>
  <si>
    <t>OKE-stop brush self-adhesive 6.7x4mm white</t>
  </si>
  <si>
    <t>SEVROLL 20212 brake for Hide N and M bar</t>
  </si>
  <si>
    <t>SEVROLL 222151 guide mandrel</t>
  </si>
  <si>
    <t>OKE-stop brush self-adhesive 6.7x12mm white</t>
  </si>
  <si>
    <t>SEVROLL 20098-SV glass seal 10/6.4mm</t>
  </si>
  <si>
    <t>SEVROLL 20171 glass seal 10.1/8mm</t>
  </si>
  <si>
    <t>SEVROLL 20019 Exclusive round bottom brake</t>
  </si>
  <si>
    <t>SEVROLL 20233 cover for lower line Simple/Blue translucent, rubber</t>
  </si>
  <si>
    <t>SEVROLL 20326 Fix positioner for upper carriage transparent</t>
  </si>
  <si>
    <t>Sevroll 80419 Smart top trolley</t>
  </si>
  <si>
    <t>Sevroll 80427 Smart bottom trolley</t>
  </si>
  <si>
    <t>SEVROLL 10184 top carriage Simple 18mm symmetrical L+P</t>
  </si>
  <si>
    <t>SEVROLL 50233 Micra upper/lower guide 1.7m raw</t>
  </si>
  <si>
    <t>SEVROLL 00102 angle Mini 17x11mm 1.7m silver</t>
  </si>
  <si>
    <t>SEVROLL 20102 glass seal 18/4mm symmetrical</t>
  </si>
  <si>
    <t>SEVROLL 20145 glass seal 18/8mm symmetrical</t>
  </si>
  <si>
    <t>SEVROLL 10221 undercarriage Blue C frame system - 2 pcs</t>
  </si>
  <si>
    <t>SEVROLL 20106 gasket for glass 18/4-4.5mm asymmetric</t>
  </si>
  <si>
    <t>SEVROLL 10057-SV-G undercarriage WD 18C HI-TEC</t>
  </si>
  <si>
    <t>SEVROLL 00108 angle Mini 17x11mm 1.7m gold</t>
  </si>
  <si>
    <t>SEVROLL 10218 upper trolley Blue (for laminate 18mm) frame L+P</t>
  </si>
  <si>
    <t>SEVROLL 00093 angle Mini 17x11mm 1.7m olive</t>
  </si>
  <si>
    <t>SEVROLL 50235 Micra upper/lower guide 2.35m raw</t>
  </si>
  <si>
    <t>SEVROLL 00103 angle Mini 17x11mm 2.35m silver</t>
  </si>
  <si>
    <t>SEVROLL 10239 top trolley Blue 10mm asymmetrical L+P</t>
  </si>
  <si>
    <t>SEVROLL 10217 upper trolley Blue (for laminate 18mm) frameless L+P</t>
  </si>
  <si>
    <t>SEVROLL 04053 angle Mini 17x11mm 1.7m white gloss</t>
  </si>
  <si>
    <t>SEVROLL 02334 profile "U" Mini for laminate 18mm 3m silver</t>
  </si>
  <si>
    <t>SEVROLL 00069 angle K2 Decor 1.7m olive</t>
  </si>
  <si>
    <t>SEVROLL 04313 mask Elegant II 1.7m white gloss</t>
  </si>
  <si>
    <t>SEVROLL 01114 Micra upper/lower guide 1.7m olive</t>
  </si>
  <si>
    <t>SEVROLL 04319 PAX spacer profile 04 3m silver</t>
  </si>
  <si>
    <t>SEVROLL 01135 Smart bottom line 1.7m silver</t>
  </si>
  <si>
    <t>SEVROLL 02336 decorative strip S10 3m silver</t>
  </si>
  <si>
    <t>SEVROLL 00078 angle K2 Decor 1.7m silver</t>
  </si>
  <si>
    <t>SEVROLL 01117 Micra upper/lower guide 1.7m silver anodized</t>
  </si>
  <si>
    <t>SEVROLL 05197 Simple undercarriage (frameless 18mm) - 2 pcs</t>
  </si>
  <si>
    <t>SEVROLL 50236 Micra upper/lower guide 3m raw</t>
  </si>
  <si>
    <t>SEVROLL 00094 angle Mini 17x11mm 2.35m olive</t>
  </si>
  <si>
    <t>SEVROLL 00109 angle Mini 17x11mm 2.35m gold</t>
  </si>
  <si>
    <t>SEVROLL 00104 angle Mini 17x11mm 3m silver</t>
  </si>
  <si>
    <t>SEVROLL 02333 profile "U" Mini for laminate 18mm 3m olive</t>
  </si>
  <si>
    <t>SEVROLL 04353 mask Elegant II 1.7m black brushed</t>
  </si>
  <si>
    <t>SEVROLL 04348-Y mask Elegant II 1.7m brushed olive</t>
  </si>
  <si>
    <t>SEVROLL 04358 mask Elegant II 1.7m olive dark brushed</t>
  </si>
  <si>
    <t>SEVROLL 03462 angle bracket K2 1.7m black brushed</t>
  </si>
  <si>
    <t>SEVROLL 10220 undercarriage Blue C frameless for 18mm - 2 pcs</t>
  </si>
  <si>
    <t>SEVROLL 20337 Exclusive upper rubber brake</t>
  </si>
  <si>
    <t>SEVROLL 02337 decorative strip S10 3m olive</t>
  </si>
  <si>
    <t>SEVROLL 02446 angle 10x10mm 3m silver</t>
  </si>
  <si>
    <t>SEVROLL 04054 angle Mini 17x11mm 2.35m white gloss</t>
  </si>
  <si>
    <t>SEVROLL 04483 Blue-C lower line 1.5m silver</t>
  </si>
  <si>
    <t>SEVROLL 00031 "U" profile for laminate 18mm 3m silver</t>
  </si>
  <si>
    <t>SEVROLL 03459 angle bracket K2 1.7m olive dark brushed</t>
  </si>
  <si>
    <t>SEVROLL 02934-Y angle bracket K2 Decor 1.7m brushed olive</t>
  </si>
  <si>
    <t>SEVROLL 10219 undercarriage Blue V frameless for 18mm - 2 pcs</t>
  </si>
  <si>
    <t>SEVROLL 00901 First upper/lower guide 1.2m olive</t>
  </si>
  <si>
    <t>SEVROLL 00910 First upper/lower guide 1.2m silver</t>
  </si>
  <si>
    <t>SEVROLL 04320 spacer profile 04 3m white gloss</t>
  </si>
  <si>
    <t>SEVROLL 10237 2x lower carriage for laminate 18mm without positioner and spring</t>
  </si>
  <si>
    <t>SEVROLL 02558 "U" profile for laminate 10mm 3m silver</t>
  </si>
  <si>
    <t>SEVROLL 04314 mask Elegant II 2.35m white gloss</t>
  </si>
  <si>
    <t>SEVROLL 01978 Hide M bottom line 1.7m silver</t>
  </si>
  <si>
    <t>SEVROLL 01115 Micra upper/lower guide 2.35m olive</t>
  </si>
  <si>
    <t>SEVROLL 04477 Blue-C lower line 1.5m olive</t>
  </si>
  <si>
    <t>SEVROLL 01136 Smart bottom line 2.35m silver</t>
  </si>
  <si>
    <t>SEVROLL 02864 Doubler II mask 1.7m silver</t>
  </si>
  <si>
    <t>SEVROLL 00095 angle Mini 17x11mm 3m olive</t>
  </si>
  <si>
    <t>SEVROLL 00110 angle Mini 17x11mm 3m gold</t>
  </si>
  <si>
    <t>SEVROLL 00070 angle K2 Decor 2.35m olive</t>
  </si>
  <si>
    <t>SEVROLL 00079 angle K2 Decor 2.35m silver</t>
  </si>
  <si>
    <t>SEVROLL 01119 Micra upper/lower guide 2.35m silver anodized</t>
  </si>
  <si>
    <t>SEVROLL 20029 double-sided adhesive tape 50mm 10m</t>
  </si>
  <si>
    <t>SEVROLL 02859 Doubler II mask 1.7m olive</t>
  </si>
  <si>
    <t>SEVROLL 03712 Simple bottom line 1.5m silver</t>
  </si>
  <si>
    <t>SEVROLL 02033 "U" profile for laminate 16mm 3m silver</t>
  </si>
  <si>
    <t>SEVROLL 04066 angle Mini 17x11mm 3m white mat</t>
  </si>
  <si>
    <t>SEVROLL 04359 mask Elegant II 2.35 m olive dark brushed</t>
  </si>
  <si>
    <t>SEVROLL 10198 undercarriage WD 18C HI-TEC - 2 pcs</t>
  </si>
  <si>
    <t>SEVROLL 00029 "U" profile for laminate 18mm 3m olive</t>
  </si>
  <si>
    <t>SEVROLL 00032 "U" profile for laminate 18mm 3m gold</t>
  </si>
  <si>
    <t>SEVROLL 00483 Focus 16mm mounting bar 2.7m silver</t>
  </si>
  <si>
    <t>SEVROLL 04354 mask Elegant II 2.35m black brushed</t>
  </si>
  <si>
    <t>SEVROLL 04349-Y mask Elegant II 2.35m brushed olive</t>
  </si>
  <si>
    <t>SEVROLL 20208 end cap for Hide N bar, silver</t>
  </si>
  <si>
    <t>SEVROLL 03755 upper guide rail Simple/Blue 1.5m (for laminate 10mm) silver</t>
  </si>
  <si>
    <t>SEVROLL 02449 angle 10x18mm 3m silver</t>
  </si>
  <si>
    <t>SEVROLL 04484 Blue-C bottom line 2m silver</t>
  </si>
  <si>
    <t>SEVROLL 04495 Blue-V bottom line 1.5m silver</t>
  </si>
  <si>
    <t>SEVROLL 00490 Focus 18mm mounting bar 2.7m silver</t>
  </si>
  <si>
    <t>SEVROLL 03463 angle bracket K2 2.35m black brushed</t>
  </si>
  <si>
    <t>SEVROLL 03460 angle bracket K2 2.35 m olive dark brushed</t>
  </si>
  <si>
    <t>SEVROLL 04153 "U" profile for laminate 18mm 3m white gloss</t>
  </si>
  <si>
    <t>SEVROLL 04607 Beta 16mm mounting bar 2.70m silver</t>
  </si>
  <si>
    <t>SEVROLL 04569 Focus II 16mm mounting bar 2.7m silver</t>
  </si>
  <si>
    <t>SEVROLL 04315 mask Elegant II 3m white gloss</t>
  </si>
  <si>
    <t>SEVROLL 04489 Blue-V bottom line 1.5m olive</t>
  </si>
  <si>
    <t>SEVROLL 02935-Y angle bracket K2 Decor 2.35m brushed olive</t>
  </si>
  <si>
    <t>SEVROLL 00691 connecting strip T04 3m silver</t>
  </si>
  <si>
    <t>SEVROLL 04478 Blue-C lower line 2m olive</t>
  </si>
  <si>
    <t>SEVROLL 04611 Beta 18mm mounting rail 2.70m silver</t>
  </si>
  <si>
    <t>SEVROLL 00071 angle K2 Decor 3m olive</t>
  </si>
  <si>
    <t>SEVROLL 00080 angle K2 Decor 3m silver</t>
  </si>
  <si>
    <t>SEVROLL 04572 Focus II 18mm mounting bar 2.7m silver</t>
  </si>
  <si>
    <t>SEVROLL 01120 Micra upper/lower guide 3m silver anodized</t>
  </si>
  <si>
    <t>SEVROLL 02293 decorative strip S20 3m silver</t>
  </si>
  <si>
    <t>SEVROLL 02579 Hide N bottom line 1.7m silver</t>
  </si>
  <si>
    <t>SEVROLL 01979 Hide M bottom line 2.35m silver</t>
  </si>
  <si>
    <t>SEVROLL 00482 Focus 16mm mounting bar 2.7m olive</t>
  </si>
  <si>
    <t>SEVROLL 02865 Doubler II mask 2.35m silver</t>
  </si>
  <si>
    <t>SEVROLL 00036 profile "U" Decor 18mm 3m silver</t>
  </si>
  <si>
    <t>SEVROLL 10200 undercarriage WD 10C HI-TEC - 2 pcs</t>
  </si>
  <si>
    <t>SEVROLL 00902 First upper/lower guide 1.8m olive</t>
  </si>
  <si>
    <t>SEVROLL 00911 First upper/lower guide 1.8m silver</t>
  </si>
  <si>
    <t>SEVROLL 03710 Simple bottom line 2m silver</t>
  </si>
  <si>
    <t>SEVROLL 10203 Comfort upper trolley 18mm - 2 pcs</t>
  </si>
  <si>
    <t>SEVROLL 02860 Doubler II mask 2.35m olive</t>
  </si>
  <si>
    <t>SEVROLL 10209 Future top carriage 10mm L+P</t>
  </si>
  <si>
    <t>SEVROLL 02916 upper guide rail 1.7m gold</t>
  </si>
  <si>
    <t>SEVROLL 04485 Blue-C lower line 2.5m silver</t>
  </si>
  <si>
    <t>SEVROLL 02292 decorative strip S20 3m olive</t>
  </si>
  <si>
    <t>SEVROLL 02032 profile "U" for laminate 16mm 3m olive</t>
  </si>
  <si>
    <t>SEVROLL 04355 mask Elegant II 3m black brushed</t>
  </si>
  <si>
    <t>SEVROLL 04350-Y mask Elegant II 3m brushed olive</t>
  </si>
  <si>
    <t>SEVROLL 04360 mask Elegant II 3m dark olive brushed</t>
  </si>
  <si>
    <t>SEVROLL 04610 Beta 18mm mounting rail 2.70m olive</t>
  </si>
  <si>
    <t>SEVROLL 03978 cover profile Galaxy 1.5m silver</t>
  </si>
  <si>
    <t>SEVROLL 00035 profile "U" Decor 18mm 3m olive</t>
  </si>
  <si>
    <t>SEVROLL 02550 Secret Line II frame rail 18mm 2.7m silver</t>
  </si>
  <si>
    <t>SEVROLL 02780 Ergo 16 mounting bar 2.7m silver</t>
  </si>
  <si>
    <t>SEVROLL 02777 Ergo grip bar 2.7m silver</t>
  </si>
  <si>
    <t>SEVROLL 04573 Focus II 18mm mounting bar 2.7m gold</t>
  </si>
  <si>
    <t>SEVROLL 20213 single profile wall bracket</t>
  </si>
  <si>
    <t>SEVROLL 03756 upper guide rail Simple/Blue 2m (for laminate 10mm) silver</t>
  </si>
  <si>
    <t>SEVROLL 04496 Blue-V bottom line 2m silver</t>
  </si>
  <si>
    <t>SEVROLL 10207 Maxim upper carriage 18mm asymmetrical - 2 pcs</t>
  </si>
  <si>
    <t>SEVROLL 20221 MDF insert for cover strip 2.8m</t>
  </si>
  <si>
    <t>SEVROLL 04571 Focus II 18mm mounting bar 2.7m olive</t>
  </si>
  <si>
    <t>SEVROLL 04479 Blue-C lower line 2.5m olive</t>
  </si>
  <si>
    <t>SEVROLL 20194 Optima lower line 2m raw</t>
  </si>
  <si>
    <t>SEVROLL 50467 guide Galaxy B 50kg to the wall 1.5m</t>
  </si>
  <si>
    <t>SEVROLL 20298 Pax profile cover (4 pcs.) silver</t>
  </si>
  <si>
    <t>SEVROLL 20328 Pax adhesive handle silver</t>
  </si>
  <si>
    <t>SEVROLL 20327 Pax adhesive handle transparent</t>
  </si>
  <si>
    <t>SEVROLL 04591 Gemini II bottom line 1.7m silver</t>
  </si>
  <si>
    <t>SEVROLL 04316 mask Elegant II 4.05m white gloss</t>
  </si>
  <si>
    <t>SEVROLL 10208 Maxim upper carriage 18mm - 2 pcs</t>
  </si>
  <si>
    <t>SEVROLL 10206 Maxim board upper carriage 18mm - 2 pcs</t>
  </si>
  <si>
    <t>SEVROLL 04546 Factor II 16mm mounting rail 2.7m silver</t>
  </si>
  <si>
    <t>SEVROLL 03461 angle bracket K2 3m brushed dark olive</t>
  </si>
  <si>
    <t>SEVROLL 01598 Slim Line II frame rail 18mm 2.7m silver</t>
  </si>
  <si>
    <t>SEVROLL 03934 connecting rail H08/16 3m olive</t>
  </si>
  <si>
    <t>SEVROLL 01877 connecting rail H08/18 3m olive</t>
  </si>
  <si>
    <t>SEVROLL 04490 Blue-V bottom line 2m olive</t>
  </si>
  <si>
    <t>SEVROLL 01373 connecting rail T Decor 3m silver</t>
  </si>
  <si>
    <t>SEVROLL 04486 Blue-C lower line 3m silver</t>
  </si>
  <si>
    <t>SEVROLL 10205 Master upper trolley 10mm - 2 pcs</t>
  </si>
  <si>
    <t>SEVROLL 02776 Ergo grab rail 2.7m olive</t>
  </si>
  <si>
    <t>SEVROLL 01710 connecting rail H04/18 3m silver</t>
  </si>
  <si>
    <t>SEVROLL 00199 connecting strip H08/18 3m silver</t>
  </si>
  <si>
    <t>SEVROLL 163125 Doubler II mask 3m silver</t>
  </si>
  <si>
    <t>SEVROLL 05546 Factor II 18mm mounting bar 2.7m silver</t>
  </si>
  <si>
    <t>SEVROLL 03728 Simple bottom line 2.5m silver</t>
  </si>
  <si>
    <t>SEVROLL 03464 angle K2 3m black brushed</t>
  </si>
  <si>
    <t>SEVROLL 02936-Y angle K2 Decor 3m brushed olive</t>
  </si>
  <si>
    <t>SEVROLL 01980 Hide M bottom line 3m silver</t>
  </si>
  <si>
    <t>SEVROLL 02580 Hide N bottom line 2.35m silver</t>
  </si>
  <si>
    <t>SEVROLL 03757 upper guide rail Simple/Blue 2.5m (for laminate 10mm) silver</t>
  </si>
  <si>
    <t>SEVROLL 03746 lower cover strip Simple/Blue 1.5m (for laminate 10mm) silver</t>
  </si>
  <si>
    <t>SEVROLL 02861 Doubler II mask 3m olive</t>
  </si>
  <si>
    <t>SEVROLL 04497 Blue-V bottom line 2.5m silver</t>
  </si>
  <si>
    <t>SEVROLL 20264-SV shock absorber Mini SV-60 (40 - 60kg)</t>
  </si>
  <si>
    <t>SEVROLL 01992 Hide M lower line 3m olive</t>
  </si>
  <si>
    <t>SEVROLL 04480 Blue-C lower line 3m olive</t>
  </si>
  <si>
    <t>SEVROLL 04361 mask Elegant II 4.05m olive dark brushed</t>
  </si>
  <si>
    <t>SEVROLL 03806 Fala mounting bar 10mm 2.5m silver</t>
  </si>
  <si>
    <t>SEVROLL 20252 wedge for laminate thickness 2mm (100 pcs)</t>
  </si>
  <si>
    <t>SEVROLL 03900 decorative strip S18 with glue 3m silver</t>
  </si>
  <si>
    <t>SEVROLL 20214 Optima lower line 2.4m raw</t>
  </si>
  <si>
    <t>SEVROLL 01711 connecting rail H04/18 3m olive</t>
  </si>
  <si>
    <t>SEVROLL 20299 Pax profile cover (4 pcs) white gloss</t>
  </si>
  <si>
    <t>SEVROLL 10093-SV undercarriage WD10 V Duo 60kg</t>
  </si>
  <si>
    <t>SEVROLL 04545 Factor II 16mm mounting rail 2.7m olive</t>
  </si>
  <si>
    <t>SEVROLL 03715 Simple overhead line 1.5m silver</t>
  </si>
  <si>
    <t>SEVROLL 04586 Gemini II bottom line 1.7m olive</t>
  </si>
  <si>
    <t>SEVROLL 04356 mask Elegant II 4.05m black brushed</t>
  </si>
  <si>
    <t>SEVROLL 04351-Y mask Elegant II 4.05m brushed olive</t>
  </si>
  <si>
    <t>SEVROLL 03979 cover profile Galaxy 2m</t>
  </si>
  <si>
    <t>SEVROLL 20329 Pax adhesive handle white gloss</t>
  </si>
  <si>
    <t>SEVROLL 04491 Blue-V bottom line 2.5m olive</t>
  </si>
  <si>
    <t>SEVROLL 00706 connecting rail "T" 3m silver</t>
  </si>
  <si>
    <t>SEVROLL 05545 Factor II 18mm mounting rail 2.7m olive</t>
  </si>
  <si>
    <t>SEVROLL 03427 Simple bottom line 3m silver</t>
  </si>
  <si>
    <t>SEVROLL 02452 angle 18x18mm 3m silver</t>
  </si>
  <si>
    <t>SEVROLL 02458 angle 22x22mm 3m silver</t>
  </si>
  <si>
    <t>SEVROLL 04163 Uno mounting rail 18mm 2.70m silver</t>
  </si>
  <si>
    <t>SEVROLL 01882 Maxim connecting rail H18 2.5m silver</t>
  </si>
  <si>
    <t>SEVROLL 00703 connecting rail "T" 3m olive</t>
  </si>
  <si>
    <t>SEVROLL 01370 connecting strip T Decor 3m olive</t>
  </si>
  <si>
    <t>SEVROLL 03899 decorative strip S18 with glue 3m olive</t>
  </si>
  <si>
    <t>SEVROLL 03180-Y profile "U" 18mm 3m brushed olive</t>
  </si>
  <si>
    <t>SEVROLL 03471 "U" profile for laminate 18mm 3m olive dark brushed</t>
  </si>
  <si>
    <t>SEVROLL 03472 profile "U" 18mm 3m black brushed</t>
  </si>
  <si>
    <t>SEVROLL 02867 Doubler II mask 4.05m silver</t>
  </si>
  <si>
    <t>SEVROLL 04471 Blue upper line 1.5m silver</t>
  </si>
  <si>
    <t>SEVROLL 03433 Polo  handle profile, 10 mm, 2.70 m, silver</t>
  </si>
  <si>
    <t>SEVROLL 04760 Gemini II bottom line 1.7m white gloss</t>
  </si>
  <si>
    <t>SEVROLL 04498 Blue-V bottom line 3m silver</t>
  </si>
  <si>
    <t>SEVROLL 04592 Gemini II bottom line 2.35m silver</t>
  </si>
  <si>
    <t>SEVROLL 04487 Blue-C bottom line 4m silver</t>
  </si>
  <si>
    <t>SEVROLL 03446 Libra grip bar 18mm 2.70m silver</t>
  </si>
  <si>
    <t>SEVROLL 00903 First upper/lower guide 3m olive</t>
  </si>
  <si>
    <t>SEVROLL 00912 First upper/lower guide 3m silver</t>
  </si>
  <si>
    <t>SEVROLL 02455 angle 18x36mm 3m silver</t>
  </si>
  <si>
    <t>SEVROLL 04317 mask Elegant II 6m white gloss</t>
  </si>
  <si>
    <t>SEVROLL 04447 connecting strip Simple/Blue H21 3m (for laminate 18mm) silver</t>
  </si>
  <si>
    <t>Sevroll 85003 Fiona II grab rail 2.7m silver</t>
  </si>
  <si>
    <t>SEVROLL 10178 handle Push 90mm brushed nickel</t>
  </si>
  <si>
    <t>SEVROLL 04512 Era mounting bar 18mm 2.70m silver</t>
  </si>
  <si>
    <t>SEVROLL 50243 Ursus overhead line 1.2m raw</t>
  </si>
  <si>
    <t>SEVROLL 04184 decorative strip S18 with glue 3m white gloss</t>
  </si>
  <si>
    <t>SEVROLL 03890 connecting rail H08/18 3m white mat</t>
  </si>
  <si>
    <t>SEVROLL 04465 Blue upper line 1.5m olive</t>
  </si>
  <si>
    <t>SEVROLL 01971 Exclusive overhead line 1.2m silver</t>
  </si>
  <si>
    <t>SEVROLL 03747 lower cover strip Simple/Blue 2m (for laminate 10mm) silver</t>
  </si>
  <si>
    <t>SEVROLL 04162 Uno mounting rail 18mm 2.70m olive</t>
  </si>
  <si>
    <t>SEVROLL 04530 Alfa II mounting bar 16/18mm 2.70m silver</t>
  </si>
  <si>
    <t>SEVROLL 20361 fixing wedge Blue 40 pcs (glass 4mm)</t>
  </si>
  <si>
    <t>SEVROLL 02581 Hide N bottom line 3m silver</t>
  </si>
  <si>
    <t>SEVROLL 03937 connecting rail H16 3m silver</t>
  </si>
  <si>
    <t>SEVROLL 04748 Rekord mounting bar 18mm 2.70m silver</t>
  </si>
  <si>
    <t>SEVROLL 02862 Doubler II mask 4.05m olive</t>
  </si>
  <si>
    <t>SEVROLL 04481 Blue-C lower line 4m olive</t>
  </si>
  <si>
    <t>SEVROLL 04492 Blue-V lower line 3m olive</t>
  </si>
  <si>
    <t>SEVROLL 03506 Libra grab rail 18mm 2.70m olive</t>
  </si>
  <si>
    <t>SEVROLL 01023 Gemini overhead line 1.7m silver</t>
  </si>
  <si>
    <t>SEVROLL 04286 Elegant II bottom line 2.35m gold</t>
  </si>
  <si>
    <t>SEVROLL 02803 Maxim II mask 4.3m silver</t>
  </si>
  <si>
    <t>SEVROLL 02456 angle 18x36mm 3m olive</t>
  </si>
  <si>
    <t>SEVROLL 02578 Hide N lower line 3m olive</t>
  </si>
  <si>
    <t>SEVROLL 04274 Elegant II lower guide 2.35m olive</t>
  </si>
  <si>
    <t>SEVROLL 04511 Era mounting bar 18mm 2.70m olive</t>
  </si>
  <si>
    <t>SEVROLL 03146 Optima 18 mounting bar 2.4m silver</t>
  </si>
  <si>
    <t>SEVROLL 20138-SV shock absorber stop Sevromatic 10/18mm 14-25kg left</t>
  </si>
  <si>
    <t>SEVROLL 20137-SV shock absorber stop Sevromatic 10/18mm 14-25kg right</t>
  </si>
  <si>
    <t>SEVROLL 20196-SV shock absorber stop Sevromatic 10/18mm 25-50kg left</t>
  </si>
  <si>
    <t>SEVROLL 20197-SV shock absorber stop Sevromatic 10/18mm 25-50kg right</t>
  </si>
  <si>
    <t>SEVROLL 03714 Simple overhead line 2m silver</t>
  </si>
  <si>
    <t>SEVROLL 01969 Exclusive top line 1.2m olive</t>
  </si>
  <si>
    <t>SEVROLL 00873 Comfort lower guide 1.7m olive</t>
  </si>
  <si>
    <t>SEVROLL 00883 Comfort bottom line 1.7m silver</t>
  </si>
  <si>
    <t>SEVROLL 04529 Alfa II mounting bar 16/18mm 2.70m olive</t>
  </si>
  <si>
    <t>SEVROLL 03936 connecting rail H16 3m olive</t>
  </si>
  <si>
    <t>SEVROLL 00208 connection rail H10 3m gold</t>
  </si>
  <si>
    <t>SEVROLL 01863 Prince 02 mounting bar 2.7m silver</t>
  </si>
  <si>
    <t>SEVROLL 04587 Gemini II bottom line 2.35m olive</t>
  </si>
  <si>
    <t>SEVROLL 03729 Simple bottom line 4m silver</t>
  </si>
  <si>
    <t>SEVROLL Alfa II mounting bar 16/18mm 2.70m gold</t>
  </si>
  <si>
    <t>SEVROLL 04357 mask Elegant II 6m black brushed</t>
  </si>
  <si>
    <t>SEVROLL 04352-Y mask Elegant II 6m brushed olive</t>
  </si>
  <si>
    <t>SEVROLL 04362 mask Elegant II 6m dark olive brushed</t>
  </si>
  <si>
    <t>SEVROLL 00204 connecting rail H10 3m olive</t>
  </si>
  <si>
    <t>SEVROLL 00207 connection strip H10 3m silver</t>
  </si>
  <si>
    <t>SEVROLL 02849 Doubler II bottom line 1.7m silver</t>
  </si>
  <si>
    <t>SEVROLL 02290 profile "U" for laminate 36mm silver 3m</t>
  </si>
  <si>
    <t>SEVROLL 04190 Idea upper/lower guide 2m silver</t>
  </si>
  <si>
    <t>SEVROLL 01030 Gemini overhead line 1.7m gold</t>
  </si>
  <si>
    <t>SEVROLL 04593 Gemini II bottom line 3m silver</t>
  </si>
  <si>
    <t>SEVROLL 02844 Doubler II bottom line 1.7m olive</t>
  </si>
  <si>
    <t>SEVROLL 03981 cover profile Galaxy 3m</t>
  </si>
  <si>
    <t>SEVROLL 04382 Fox II mounting bar 2.7m silver</t>
  </si>
  <si>
    <t>SEVROLL 04472 Blue upper line 2m silver</t>
  </si>
  <si>
    <t>SEVROLL 04499 Blue-V bottom line 4m silver</t>
  </si>
  <si>
    <t>SEVROLL 01008 Gemini overhead line 1.7m olive</t>
  </si>
  <si>
    <t>SEVROLL 01616 connecting rail H10 Decor 3m olive</t>
  </si>
  <si>
    <t>SEVROLL 02461 angle 36x36mm 3m silver</t>
  </si>
  <si>
    <t>SEVROLL 20396 lock for sliding doors 18 mm (same key)</t>
  </si>
  <si>
    <t>SEVROLL 02289 profile "U" for laminate 36mm 3m olive</t>
  </si>
  <si>
    <t>SEVROLL 04761 Gemini II bottom line 2.35m white gloss</t>
  </si>
  <si>
    <t>SEVROLL 01255 Single overhead line 1.7m silver</t>
  </si>
  <si>
    <t>SEVROLL 02742 Minicomfort II grab rail 2.7m silver</t>
  </si>
  <si>
    <t>SEVROLL 03917 Oaza II mounting rail 2.7m silver</t>
  </si>
  <si>
    <t>SEVROLL 03748 lower cover strip Simple/Blue 2.5m (for laminate 10mm) silver</t>
  </si>
  <si>
    <t>SEVROLL 04539 Universal 16 mounting bar 16mm 2.7m silver</t>
  </si>
  <si>
    <t>SEVROLL 04287 Elegant II bottom line 3m gold</t>
  </si>
  <si>
    <t>SEVROLL 03726 Simple overhead line 2.5m silver</t>
  </si>
  <si>
    <t>SEVROLL 04377 Fox II mounting bar 2.7m olive</t>
  </si>
  <si>
    <t>SEVROLL 04383 Fox II grab rail 2.7m gold</t>
  </si>
  <si>
    <t>SEVROLL 04275 Elegant II lower line 3m olive</t>
  </si>
  <si>
    <t>SEVROLL 01246 Single overhead line 1.7m olive</t>
  </si>
  <si>
    <t>SEVROLL 04466 Blue upper line 2m olive</t>
  </si>
  <si>
    <t>SEVROLL 02868 Doubler II mask 6m silver</t>
  </si>
  <si>
    <t>SEVROLL 05544 Victoria II mounting bar 16/18mm 2.7m silver</t>
  </si>
  <si>
    <t>SEVROLL 04493 Blue-V bottom line 4m olive</t>
  </si>
  <si>
    <t>SEVROLL 04556 Faworyt II mounting bar 16/18mm 2.7m white matt</t>
  </si>
  <si>
    <t>SEVROLL 02740 Minicomfort II grab rail 2.7m olive</t>
  </si>
  <si>
    <t>SEVROLL 02713 Julia II handle profile, 2,7m silver</t>
  </si>
  <si>
    <t>SEVROLL 02692 Romeo II handle profile, 2.7 m, silver</t>
  </si>
  <si>
    <t>SEVROLL 03916 Oaza II grab rail 2.7m olive</t>
  </si>
  <si>
    <t>SEVROLL 02462 angle 36x36mm 3m olive</t>
  </si>
  <si>
    <t>SEVROLL 20356 sliding door lock 10/18mm</t>
  </si>
  <si>
    <t>SEVROLL 04535 Universal 18 mounting bar 18mm 2.7m silver</t>
  </si>
  <si>
    <t>SEVROLL 04488 Blue-C bottom line 6m silver</t>
  </si>
  <si>
    <t>SEVROLL 01025 Gemini overhead line 2.35m silver</t>
  </si>
  <si>
    <t>SEVROLL 04588 Gemini II bottom line 3m olive</t>
  </si>
  <si>
    <t>SEVROLL 04554 Faworyt II mounting bar 16/18mm 2.7m white gloss</t>
  </si>
  <si>
    <t>SEVROLL 04473 Blue upper line 2.5m silver</t>
  </si>
  <si>
    <t>SEVROLL 02676 Hide M bottom line 6m silver</t>
  </si>
  <si>
    <t>SEVROLL 04532 Alfa II mounting bar 16/18mm 2.7m white gloss</t>
  </si>
  <si>
    <t>SEVROLL 214-523 Line lower line 2m raw aluminum</t>
  </si>
  <si>
    <t>SEVROLL 04542 Victoria II mounting bar 16/18mm 2.7m olive</t>
  </si>
  <si>
    <t>SEVROLL 02863 Doubler II mask 6m olive</t>
  </si>
  <si>
    <t>SEVROLL 02711 Julia II handle profile, 2,7m olive</t>
  </si>
  <si>
    <t>SEVROLL 02690 Romeo II handle profile, 2.7 m, olive</t>
  </si>
  <si>
    <t>SEVROLL 04534 Universal 18 mounting bar 18mm 2.7m olive</t>
  </si>
  <si>
    <t>SEVROLL 04482 Blue-C lower line 6m olive</t>
  </si>
  <si>
    <t>SEVROLL 02285 Gemini grab rail 2.7m gold</t>
  </si>
  <si>
    <t>SEVROLL 02288 System 10 II mounting rail 2.7m gold</t>
  </si>
  <si>
    <t>SEVROLL 03104 connecting rail H10 3m olive dark brushed</t>
  </si>
  <si>
    <t>SEVROLL 00165 Gemini 10 bottom cover bar 2.35m 10mm gold</t>
  </si>
  <si>
    <t>SEVROLL 01862 Prince 01 mounting rail 2.7m silver</t>
  </si>
  <si>
    <t>SEVROLL 02850 Doubler II bottom line 2.35m silver</t>
  </si>
  <si>
    <t>SEVROLL 04467 Blue upper line 2.5m olive</t>
  </si>
  <si>
    <t>SEVROLL 03400 Simple top line 3m silver</t>
  </si>
  <si>
    <t>SEVROLL 04594 Gemini II bottom line 4.05m silver</t>
  </si>
  <si>
    <t>SEVROLL 04050 connecting rail H10 3m white gloss</t>
  </si>
  <si>
    <t>SEVROLL 03094 Gemini 10 bottom cover bar 1.7m 10mm olive dark brushed</t>
  </si>
  <si>
    <t>SEVROLL 01970 Exclusive top line 1.8m olive</t>
  </si>
  <si>
    <t>SEVROLL 02283 Gemini grab rail 2.7m olive</t>
  </si>
  <si>
    <t>SEVROLL 02286 System 10 II mounting rail 2.7m olive</t>
  </si>
  <si>
    <t>SEVROLL 04762 Gemini II lower line 3m white gloss</t>
  </si>
  <si>
    <t>SEVROLL 03103 connecting rail H10 3m black brushed</t>
  </si>
  <si>
    <t>SEVROLL 02493-Y connecting rail H10 3m brushed olive</t>
  </si>
  <si>
    <t>SEVROLL 10195-SV Idea fittings set for interior doors 50kg</t>
  </si>
  <si>
    <t>SEVROLL 04445 connecting strip Simple/Blue H28 3m (for laminate 18mm) silver</t>
  </si>
  <si>
    <t>SEVROLL 02845 Doubler II bottom line 2.35m olive</t>
  </si>
  <si>
    <t>SEVROLL 03470 Simple bottom line 6m silver</t>
  </si>
  <si>
    <t>SEVROLL 01010 Gemini upper line 2.35m olive</t>
  </si>
  <si>
    <t>SEVROLL 01032 Gemini overhead line 2.35m gold</t>
  </si>
  <si>
    <t>SEVROLL 04619 Victoria II 16/18mm 2.7m grip bar olive dark brushed</t>
  </si>
  <si>
    <t>SEVROLL 04097 Idea upper/lower line 3m silver</t>
  </si>
  <si>
    <t>SEVROLL 02718 Comfort 16 II grab rail 2.7m silver</t>
  </si>
  <si>
    <t>SEVROLL 04288 Elegant II bottom line 4.05m gold</t>
  </si>
  <si>
    <t>SEVROLL 01256 Single overhead line 2.35m silver</t>
  </si>
  <si>
    <t>SEVROLL 20368-SV shock absorber Mini SV25 (14-25kg)</t>
  </si>
  <si>
    <t>SEVROLL 20258-SV shock absorber Mini SV40 (25 - 40kg)</t>
  </si>
  <si>
    <t>SEVROLL 20339-SV shock absorber Mini SV60 (40 - 60kg)</t>
  </si>
  <si>
    <t>SEVROLL 01026 Gemini overhead line 3m silver</t>
  </si>
  <si>
    <t>SEVROLL 04276 Elegant II lower guide 4.05m olive</t>
  </si>
  <si>
    <t>SEVROLL 04474 Blue upper line 3m silver</t>
  </si>
  <si>
    <t>SEVROLL 04617 Victoria II mounting bar 16/18mm 2.7m black brushed</t>
  </si>
  <si>
    <t>SEVROLL 04618-Y Victoria II mounting rail 16/18mm 2.7m brushed olive</t>
  </si>
  <si>
    <t>SEVROLL 01247 Single overhead line 2.35m olive</t>
  </si>
  <si>
    <t>SEVROLL 02723 Comfort 18 II grab bar 2.7m silver</t>
  </si>
  <si>
    <t>SEVROLL 00222 connecting strip H30 3m silver</t>
  </si>
  <si>
    <t>SEVROLL 10089 Everest trolley for inclined wing - 2 pcs</t>
  </si>
  <si>
    <t>SEVROLL 04500 Blue-V bottom line 6m silver</t>
  </si>
  <si>
    <t>SEVROLL 03173 Karat handle profile, 2.7m, silver</t>
  </si>
  <si>
    <t>Sevroll 85515 Lux III handle profile, 2.7 m, silver</t>
  </si>
  <si>
    <t>SEVROLL 00876 Comfort lower line 3m olive</t>
  </si>
  <si>
    <t>SEVROLL 04589 Gemini II lower line 4.05m olive</t>
  </si>
  <si>
    <t>SEVROLL 20375-BL shock absorber Simple/Blue 10/18 25kg L+P</t>
  </si>
  <si>
    <t>SEVROLL 20296-BL shock absorber Simple/Blue 10/18, 25 - 40kg, L+P</t>
  </si>
  <si>
    <t>SEVROLL 04378 Fox II grab rail 2.7m dark olive brushed</t>
  </si>
  <si>
    <t>SEVROLL 50510 Optima lower line 6m raw</t>
  </si>
  <si>
    <t>SEVROLL 04094 Pax handle profile, 2.7m, silver</t>
  </si>
  <si>
    <t>SEVROLL 04494 Blue-V bottom line 6m olive</t>
  </si>
  <si>
    <t>SEVROLL 02717 Comfort 16 II grab rail 2.7m olive</t>
  </si>
  <si>
    <t>SEVROLL 02721 Comfort 18 II grab rail 2.7m olive</t>
  </si>
  <si>
    <t>SEVROLL 03172 Karat handle bar 2.7m olive</t>
  </si>
  <si>
    <t>SEVROLL 02681 Hide N bottom line 6m silver</t>
  </si>
  <si>
    <t>SEVROLL 04468 Blue upper line 3m olive</t>
  </si>
  <si>
    <t>SEVROLL 02728 Unicomfort II grab rail 2.7m silver</t>
  </si>
  <si>
    <t>SEVROLL 03064 Optima upper line 2m silver</t>
  </si>
  <si>
    <t>K-SEVROLL shock absorber Sevromatic 10/18mm 14-25kg L+P</t>
  </si>
  <si>
    <t>K-SEVROLL shock absorber Sevromatic 10/18mm 25-50kg L+P</t>
  </si>
  <si>
    <t>SEVROLL 02851 Doubler II bottom line 3m silver</t>
  </si>
  <si>
    <t>SEVROLL 00219 connecting rail H30 3m olive</t>
  </si>
  <si>
    <t>SEVROLL 04102 Pax mounting rail 3m silver</t>
  </si>
  <si>
    <t>Sevroll Lux III handle profile 2,7m olive</t>
  </si>
  <si>
    <t>SEVROLL 02726 Unicomfort II grab rail 2.7m olive</t>
  </si>
  <si>
    <t>SEVROLL 03727 Simple upper line 4m silver</t>
  </si>
  <si>
    <t>SEVROLL 04096 Pax upper guide rail 3m silver</t>
  </si>
  <si>
    <t>SEVROLL 02376 Master mounting rail 2.7m silver</t>
  </si>
  <si>
    <t>SEVROLL 02846 Doubler II bottom line 3m olive</t>
  </si>
  <si>
    <t>SEVROLL 01011 Gemini upper line 3m olive</t>
  </si>
  <si>
    <t>SEVROLL 01033 Gemini overhead line 3m gold</t>
  </si>
  <si>
    <t>SEVROLL 02382 Everest guide rail 3m silver</t>
  </si>
  <si>
    <t>SEVROLL 02680 Hide N lower line 6m olive</t>
  </si>
  <si>
    <t>SEVROLL 02383 Everest guide rail 3m olive</t>
  </si>
  <si>
    <t>SEVROLL 04763 Gemini II bottom line 4.05m white gloss</t>
  </si>
  <si>
    <t>SEVROLL 03210 Star mounting bar 2.7m silver</t>
  </si>
  <si>
    <t>SEVROLL 01257 Single overhead line 3m silver</t>
  </si>
  <si>
    <t>SEVROLL 219-070 Symmetric fittings set for 2 wings</t>
  </si>
  <si>
    <t>SEVROLL 03212 connecting rail H30 3m white gloss</t>
  </si>
  <si>
    <t>SEVROLL 03983 cover profile Galaxy 6m</t>
  </si>
  <si>
    <t>SEVROLL 04098 Pax grab rail 2.7m white gloss</t>
  </si>
  <si>
    <t>SEVROLL 02377 Master mounting bar 2.7 m olive</t>
  </si>
  <si>
    <t>SEVROLL 02834 Comfort overhead line 1.7m silver</t>
  </si>
  <si>
    <t>SEVROLL 04595 Gemini II bottom line 6m silver</t>
  </si>
  <si>
    <t>SEVROLL 01248 Single upper line 3m olive</t>
  </si>
  <si>
    <t>SEVROLL 02024 Maxim overhead line 2.5m silver</t>
  </si>
  <si>
    <t>SEVROLL 50245 Ursus overhead line 3m raw</t>
  </si>
  <si>
    <t>SEVROLL 04475 Blue upper line 4m silver</t>
  </si>
  <si>
    <t>SEVROLL 03182 Optima overhead line 2.4m silver</t>
  </si>
  <si>
    <t>SEVROLL 03046 Future II grab rail 2.7m olive</t>
  </si>
  <si>
    <t>SEVROLL 01469 Gemini overhead line 4.05m silver</t>
  </si>
  <si>
    <t>SEVROLL 01714 Exclusive top line 3m silver</t>
  </si>
  <si>
    <t>SEVROLL 04318 Pax reinforcement 3m silver</t>
  </si>
  <si>
    <t>SEVROLL 02829 Comfort upper guide 1.7m olive</t>
  </si>
  <si>
    <t>SEVROLL 03209 Star grab rail 2.7m olive</t>
  </si>
  <si>
    <t>SEVROLL 02379 Master handle profile, 3m silver</t>
  </si>
  <si>
    <t>SEVROLL 20369 sliding door lock for Karat and Prosper handle</t>
  </si>
  <si>
    <t>SEVROLL 222650 cabinet floor holder for sloping ceilings</t>
  </si>
  <si>
    <t>SEVROLL 10192-SV Optima II fittings kit (two doors)</t>
  </si>
  <si>
    <t>SEVROLL 04100 Pax upper guide rail 3m white gloss</t>
  </si>
  <si>
    <t>SEVROLL 03048 Future II handle profile, 2.7m, silver</t>
  </si>
  <si>
    <t>SEVROLL 04289 Elegant II bottom line 6m gold</t>
  </si>
  <si>
    <t>SEVROLL 04101 Pax mounting rail 3m white gloss</t>
  </si>
  <si>
    <t>SEVROLL 01495 Comfort bottom line 4.05m silver</t>
  </si>
  <si>
    <t>SEVROLL 02380 Master mounting bar 3m olive</t>
  </si>
  <si>
    <t>SEVROLL 02852 Doubler II bottom line 4.05m silver</t>
  </si>
  <si>
    <t>SEVROLL 02066 Maxim fittings set for 2 doors 1.8m silver</t>
  </si>
  <si>
    <t>SEVROLL 04469 Blue upper line 4m olive</t>
  </si>
  <si>
    <t>SEVROLL 04278 Elegant II bottom line 6m olive</t>
  </si>
  <si>
    <t>SEVROLL 01713 Exclusive upper line 3m olive</t>
  </si>
  <si>
    <t>SEVROLL 03074 Top upper line simple 3m silver</t>
  </si>
  <si>
    <t>SEVROLL 04590 Gemini II bottom line 6m olive</t>
  </si>
  <si>
    <t>SEVROLL 03096 Gemini 10 bottom cover bar 3m 10mm olive dark brushed</t>
  </si>
  <si>
    <t>SEVROLL 02847 Doubler II bottom line 4.05m olive</t>
  </si>
  <si>
    <t>SEVROLL 50246 Ursus overhead line 3.6m raw</t>
  </si>
  <si>
    <t>SEVROLL 04099 Gemini 4 Pax bottom cover strip 3m 4mm white gloss</t>
  </si>
  <si>
    <t>SEVROLL 02126 Exclusive overhead line 3.6m silver</t>
  </si>
  <si>
    <t>SEVROLL 01439 Gemini overhead line 4.05m olive</t>
  </si>
  <si>
    <t>SEVROLL 01462 Gemini overhead line 4.05m gold</t>
  </si>
  <si>
    <t>SEVROLL 04295 Elegant II lower line 6m white gloss</t>
  </si>
  <si>
    <t>SEVROLL 03072 Top upper guide simple 3m olive</t>
  </si>
  <si>
    <t>SEVROLL 10256-SV Exclusive fitting set ZPE-10 II</t>
  </si>
  <si>
    <t>SEVROLL 03047 Future II mounting bar 3.5m olive</t>
  </si>
  <si>
    <t>SEVROLL 03469 Simple upper line 6m silver</t>
  </si>
  <si>
    <t>SEVROLL 10083-SV Exclusive fitting set ZPE-18</t>
  </si>
  <si>
    <t>SEVROLL 02835 Comfort overhead line 2.35m silver</t>
  </si>
  <si>
    <t>SEVROLL 04764 Gemini II bottom line 6m white gloss</t>
  </si>
  <si>
    <t>SEVROLL 03049 Future II handle profile, 3.5 m, silver</t>
  </si>
  <si>
    <t>SEVROLL 02298 Maxim overhead line 3.5m silver</t>
  </si>
  <si>
    <t>SEVROLL 02830 Comfort upper guide 2.35m olive</t>
  </si>
  <si>
    <t>SEVROLL 03584 Simple upper line 6m olive</t>
  </si>
  <si>
    <t>SEVROLL 01391 Gemini overhead line 6m silver</t>
  </si>
  <si>
    <t>SEVROLL 04476 Blue upper line 6m silver</t>
  </si>
  <si>
    <t>SEVROLL 20292 safety film 300mm/50m transparent</t>
  </si>
  <si>
    <t>SEVROLL 04191 Idea upper/lower line 6m silver</t>
  </si>
  <si>
    <t>SEVROLL 04470 Blue upper line 6m olive</t>
  </si>
  <si>
    <t>SEVROLL 20363-SV shock absorber Central 10/18mm double-sided 25kg</t>
  </si>
  <si>
    <t>SEVROLL 20319-SV shock absorber Central 10/18mm double-sided 25-40kg</t>
  </si>
  <si>
    <t>SEVROLL 02853 Doubler II bottom line 6m silver</t>
  </si>
  <si>
    <t>SEVROLL 20195 Optima shock absorber set L+P</t>
  </si>
  <si>
    <t>SEVROLL 02306 Maxim overhead line 4.3m silver</t>
  </si>
  <si>
    <t>SEVROLL 02836 Comfort upper line 3m silver</t>
  </si>
  <si>
    <t>SEVROLL 01392 Gemini overhead line 6m gold</t>
  </si>
  <si>
    <t>SEVROLL 02848 Doubler II bottom line 6m olive</t>
  </si>
  <si>
    <t>SEVROLL 01507 Single overhead line 6m silver</t>
  </si>
  <si>
    <t>SEVROLL 02831 Comfort upper line 3m olive</t>
  </si>
  <si>
    <t>SEVROLL 01390 Gemini upper line 6m olive</t>
  </si>
  <si>
    <t>SEVROLL 20259-SV shock absorber Top SV60 - 2 pcs</t>
  </si>
  <si>
    <t>SEVROLL 10194-SV Idea fittings set for two doors 50kg</t>
  </si>
  <si>
    <t>SEVROLL 20267-SV shock absorber Top SV80 - 2 pcs</t>
  </si>
  <si>
    <t>SEVROLL 10229-SV Everest kit for Fox II mounting bar</t>
  </si>
  <si>
    <t>SEVROLL 02837 Comfort overhead line 4.05m silver</t>
  </si>
  <si>
    <t>SEVROLL 03075 Top upper line simple 6m silver</t>
  </si>
  <si>
    <t>SEVROLL 02832 Comfort overhead line 4.05m olive</t>
  </si>
  <si>
    <t>SEVROLL 214-517 Line upper line 2m raw aluminum</t>
  </si>
  <si>
    <t>SEVROLL 03073 Top upper guide simple 6m olive</t>
  </si>
  <si>
    <t>SEVROLL 04699 Optima upper line 6m silver</t>
  </si>
  <si>
    <t>SEVROLL 20072 safety film 500mm/50m transparent</t>
  </si>
  <si>
    <t>SEVROLL 02838 Comfort overhead line 6m silver</t>
  </si>
  <si>
    <t>SEVROLL 10082-SV Line fittings set for 2 wings left</t>
  </si>
  <si>
    <t>SEVROLL 10081-SV Line fittings set for 2 wings right</t>
  </si>
  <si>
    <t>SEVROLL 02833 Comfort upper line 6m olive</t>
  </si>
  <si>
    <t>SEVROLL 02006 Prince fitting set for folding doors 1200mm silver</t>
  </si>
  <si>
    <t>ANB-safety foil 200mm/250m transparent</t>
  </si>
  <si>
    <t>ANB-safety foil 250mm/250m transparent</t>
  </si>
  <si>
    <t>ANB-safety foil 300mm/250m transparent</t>
  </si>
  <si>
    <t>ANB-safety foil 500mm/250m transparent</t>
  </si>
  <si>
    <t>OKE-stop brush self-adhesive 6.7x3mm gray</t>
  </si>
  <si>
    <t>OKE-stop brush self-adhesive 6.7x5mm gray</t>
  </si>
  <si>
    <t>SEVROLL 10236 2x lower carriage WD18V without positioner with spring</t>
  </si>
  <si>
    <t>SEVROLL 00736 Cleft lower guide 1.7m olive</t>
  </si>
  <si>
    <t>SEVROLL 00749 Cleft lower line 1.7m silver</t>
  </si>
  <si>
    <t>SEVROLL 01379 Cleft lower line 6m silver</t>
  </si>
  <si>
    <t>SEVROLL stop brush self-adhesive 4.8x4mm gray</t>
  </si>
  <si>
    <t>SEVROLL dust brush self-adhesive 6.7x13mm gray</t>
  </si>
  <si>
    <t>SEVROLL self-adhesive dust brush 6,7x4mm grey</t>
  </si>
  <si>
    <t>SEVROLL 20143-SV dust brush self-adhesive 6.7x9mm gray</t>
  </si>
  <si>
    <t>SEVROLL plug-in stop brush 14x4mm gray</t>
  </si>
  <si>
    <t>SEVROLL 20224-SV plug-in stop brush 14x4mm, 50m, gray</t>
  </si>
  <si>
    <t>SEVROLL plug-in stop brush 4.8x4mm gray</t>
  </si>
  <si>
    <t>SEVROLL 20287-SV plug-in stop brush 4.8x4mm white</t>
  </si>
  <si>
    <t>SEVROLL 20021-SV plug-in stop brush 4.8x6mm gray</t>
  </si>
  <si>
    <t>SEVROLL 20082-BL plug-in dust brush 4.8x9mm gray</t>
  </si>
  <si>
    <t>SEVROLL 20288-SV plug-in stop brush 14x4mm white</t>
  </si>
  <si>
    <t>SEVROLL 04290 Elegant II lower guide 1.7m white gloss</t>
  </si>
  <si>
    <t>SEVROLL 04338 Elegant II bottom guide 1.7m black brushed</t>
  </si>
  <si>
    <t>SEVROLL 04273 Elegant II lower guide 1.7m olive</t>
  </si>
  <si>
    <t>SEVROLL 04333-Y Elegant II lower guide 1.7m brushed olive</t>
  </si>
  <si>
    <t>SEVROLL 04343 Elegant II bottom line 1.7m olive dark brushed</t>
  </si>
  <si>
    <t>SEVROLL 04279 Elegant II bottom line 1.7m silver</t>
  </si>
  <si>
    <t>SEVROLL 04285 Elegant II bottom line 1.7m gold</t>
  </si>
  <si>
    <t>SEVROLL 04291 Elegant II lower guide 2.35m white gloss</t>
  </si>
  <si>
    <t>SEVROLL 04339 Elegant II bottom guide 2.35m black brushed</t>
  </si>
  <si>
    <t>SEVROLL 04334-Y Elegant II lower guide 2.35m brushed olive</t>
  </si>
  <si>
    <t>SEVROLL 04344 Elegant II bottom line 2.35m brushed dark olive</t>
  </si>
  <si>
    <t>SEVROLL 04280 Elegant II bottom line 2.35m silver</t>
  </si>
  <si>
    <t>SEVROLL 04292 Elegant II lower line 3m white gloss</t>
  </si>
  <si>
    <t>SEVROLL 04437 Elegant II bottom line 3m white mat</t>
  </si>
  <si>
    <t>SEVROLL 04340 Elegant II bottom line 3m black brushed</t>
  </si>
  <si>
    <t>SEVROLL 04335-Y Elegant II bottom line 3m brushed olive</t>
  </si>
  <si>
    <t>SEVROLL 04345 Elegant II bottom line 3m olive dark brushed</t>
  </si>
  <si>
    <t>SEVROLL 04281 Elegant II bottom line 3m silver</t>
  </si>
  <si>
    <t>SEVROLL 04293 Elegant II lower guide 4.05m white gloss</t>
  </si>
  <si>
    <t>SEVROLL 04341 Elegant II bottom line 4.05m black brushed</t>
  </si>
  <si>
    <t>SEVROLL 04336-Y Elegant II lower guide 4.05m brushed olive</t>
  </si>
  <si>
    <t>SEVROLL 04346 Elegant II bottom line 4.05m dark olive brushed</t>
  </si>
  <si>
    <t>SEVROLL 04282 Elegant II bottom line 4.05m silver</t>
  </si>
  <si>
    <t>SEVROLL 04342 Elegant II bottom line 6m black brushed</t>
  </si>
  <si>
    <t>SEVROLL 04337-Y Elegant II bottom line 6m brushed olive</t>
  </si>
  <si>
    <t>SEVROLL 04347 Elegant II bottom line 6m olive dark brushed</t>
  </si>
  <si>
    <t>SEVROLL 04284 Elegant II bottom line 6m silver</t>
  </si>
  <si>
    <t>SEVROLL 03578 Fala handle profile 10mm, 2.70m olive</t>
  </si>
  <si>
    <t>SEVROLL 03434 Fala handle profile, 10 mm, 2.70 m, silver</t>
  </si>
  <si>
    <t>SEVROLL 04551 Faworyt II mounting bar 16/18mm 2.7m olive</t>
  </si>
  <si>
    <t>SEVROLL 04552 Faworyt II mounting bar 16/18mm 2.7m silver</t>
  </si>
  <si>
    <t>SEVROLL 10196 Focus upper carriage 18mm 2 pcs</t>
  </si>
  <si>
    <t>SEVROLL 04570 Focus II 16mm mounting bar 2.7m gold</t>
  </si>
  <si>
    <t>SEVROLL 04379 Fox II handle profile, 2.7 m, white polished</t>
  </si>
  <si>
    <t>SEVROLL 04375 Fox II handle profile, 2.7m,  brushed black</t>
  </si>
  <si>
    <t>SEVROLL 04376-Y Fox II grab rail 2.7m brushed olive</t>
  </si>
  <si>
    <t>SEVROLL 04059 Gemini overhead line 1.7m white gloss</t>
  </si>
  <si>
    <t>SEVROLL 03115 Gemini overhead line 1.7m black brushed</t>
  </si>
  <si>
    <t>SEVROLL 02501-Y Gemini overhead line 1.7m brushed olive</t>
  </si>
  <si>
    <t>SEVROLL 03119 Gemini overhead line 1.7m olive dark brushed</t>
  </si>
  <si>
    <t>SEVROLL 04060 Gemini overhead line 2.35m white gloss</t>
  </si>
  <si>
    <t>SEVROLL 03116 Gemini overhead line 2.35m black brushed</t>
  </si>
  <si>
    <t>SEVROLL 02498-Y Gemini overhead line 2.35m brushed olive</t>
  </si>
  <si>
    <t>SEVROLL 03120 Gemini overhead line 2.35m olive dark brushed</t>
  </si>
  <si>
    <t>SEVROLL 04016 Gemini overhead line 3m white gloss</t>
  </si>
  <si>
    <t>SEVROLL 03117 Gemini overhead line 3m black brushed</t>
  </si>
  <si>
    <t>SEVROLL 02499-Y Gemini overhead line 3m brushed olive</t>
  </si>
  <si>
    <t>SEVROLL 03121 Gemini overhead line 3m olive dark brushed</t>
  </si>
  <si>
    <t>SEVROLL 04061 Gemini overhead line 4.05m white gloss</t>
  </si>
  <si>
    <t>SEVROLL 03118 Gemini overhead line 4.05m black brushed</t>
  </si>
  <si>
    <t>SEVROLL 02500-Y Gemini overhead line 4.05m brushed olive</t>
  </si>
  <si>
    <t>SEVROLL 03122 Gemini overhead line 4.05m olive dark brushed</t>
  </si>
  <si>
    <t>SEVROLL 03206 Gemini overhead line 6m white gloss</t>
  </si>
  <si>
    <t>SEVROLL 03222 Gemini overhead line 6m black brushed</t>
  </si>
  <si>
    <t>SEVROLL 03424-Y Gemini overhead line 6m brushed olive</t>
  </si>
  <si>
    <t>SEVROLL 03524 Gemini overhead line 6m olive dark brushed</t>
  </si>
  <si>
    <t>SEVROLL 02284 Gemini grab rail 2.7m silver</t>
  </si>
  <si>
    <t>SEVROLL 04064 upper guide rail 1.7m white gloss</t>
  </si>
  <si>
    <t>SEVROLL 03097 upper guide rail 1.7m black brushed</t>
  </si>
  <si>
    <t>SEVROLL 02908 upper guide rail 1.7m olive</t>
  </si>
  <si>
    <t>SEVROLL 03042-Y Gemini 10 upper guide rail 1.7m brushed olive</t>
  </si>
  <si>
    <t>SEVROLL 03100 upper guide rail 1.7 m olive dark brushed</t>
  </si>
  <si>
    <t>SEVROLL 02912 upper guide rail 1.7m silver</t>
  </si>
  <si>
    <t>SEVROLL 04065 upper guide rail 2.35m white gloss</t>
  </si>
  <si>
    <t>SEVROLL 03098 upper guide rail 2.35m black brushed</t>
  </si>
  <si>
    <t>SEVROLL 02909 upper guide rail 2.35m olive</t>
  </si>
  <si>
    <t>SEVROLL 03043-Y upper guide rail 2.35m brushed olive</t>
  </si>
  <si>
    <t>SEVROLL 03101 upper guide rail 2.35 m olive dark brushed</t>
  </si>
  <si>
    <t>SEVROLL 02913 upper guide rail 2.35m silver</t>
  </si>
  <si>
    <t>SEVROLL 02917 upper guide rail 2.35m gold</t>
  </si>
  <si>
    <t>SEVROLL 00169 upper guide rail 3m white gloss</t>
  </si>
  <si>
    <t>SEVROLL 03099 upper guide rail 3m black brushed</t>
  </si>
  <si>
    <t>SEVROLL 02910 upper guide rail 3m olive</t>
  </si>
  <si>
    <t>SEVROLL 03044-Y upper guide rail 3m brushed olive</t>
  </si>
  <si>
    <t>SEVROLL 03102 upper guide rail 3m olive dark brushed</t>
  </si>
  <si>
    <t>SEVROLL 02914 upper guide rail 3m silver</t>
  </si>
  <si>
    <t>SEVROLL 02918 upper guide rail 3m gold</t>
  </si>
  <si>
    <t>SEVROLL 03581 upper guide rail Simple/Blue 3m (for laminate 10mm) olive</t>
  </si>
  <si>
    <t>SEVROLL 03580 upper guide rail Simple/Blue 3m (for laminate 10mm) silver</t>
  </si>
  <si>
    <t>SEVROLL 04460 upper guide rail Simple/Blue 1.5m (for laminate 18mm) silver</t>
  </si>
  <si>
    <t>SEVROLL 04458 upper guide rail Simple/Blue 2.5m (for laminate 18mm) olive</t>
  </si>
  <si>
    <t>SEVROLL 04462 upper guide rail Simple/Blue 2.5m (for laminate 18mm) silver</t>
  </si>
  <si>
    <t>SEVROLL 04457 upper guide rail Simple/Blue 2m (for laminate 18mm) olive</t>
  </si>
  <si>
    <t>SEVROLL 04461 upper guide rail Simple/Blue 2m (for laminate 18mm) silver</t>
  </si>
  <si>
    <t>SEVROLL 04459 upper guide rail Simple/Blue 3m (for laminate 18mm) olive</t>
  </si>
  <si>
    <t>SEVROLL 04463 upper guide rail Simple/Blue 3m (for laminate 18mm) silver</t>
  </si>
  <si>
    <t>SEVROLL 10202 top carriage 10mm asymmetric L+P</t>
  </si>
  <si>
    <t>SEVROLL 10240 top carriage Blue 10mm symmetrical L+P</t>
  </si>
  <si>
    <t>SEVROLL 10204 top carriage Gemini symmetrical 10/18mm - 2 pcs</t>
  </si>
  <si>
    <t>SEVROLL 10136 top trolley Simple (10mm Fala) asymmetric L+P</t>
  </si>
  <si>
    <t>SEVROLL 10137 top carriage Simple (10mm Polo) symmetrical L+P</t>
  </si>
  <si>
    <t>SEVROLL 10135 upper trolley Simple (for laminate 18mm) frameless L+P</t>
  </si>
  <si>
    <t>SEVROLL 10156 upper trolley Simple (for laminate 18mm) frame L+P</t>
  </si>
  <si>
    <t>SEVROLL mask Cleft 2.35m silver</t>
  </si>
  <si>
    <t>SEVROLL 04076 mask Cleft 6m silver</t>
  </si>
  <si>
    <t>SEVROLL 04296 mask Elegant II 1.7m olive</t>
  </si>
  <si>
    <t>SEVROLL 04302 mask Elegant II 1.7m silver</t>
  </si>
  <si>
    <t>SEVROLL 04308 mask Elegant II 1.7m gold</t>
  </si>
  <si>
    <t>SEVROLL 04297 mask Elegant II 2.35 m olive</t>
  </si>
  <si>
    <t>SEVROLL 04303 mask Elegant II 2.35m silver</t>
  </si>
  <si>
    <t>SEVROLL 04309 mask Elegant II 2.35m gold</t>
  </si>
  <si>
    <t>SEVROLL 04298 mask Elegant II 3m olive</t>
  </si>
  <si>
    <t>SEVROLL 04304 mask Elegant II 3m silver</t>
  </si>
  <si>
    <t>SEVROLL 04310 mask Elegant II 3m gold</t>
  </si>
  <si>
    <t>SEVROLL 04299 mask Elegant II 4.05m olive</t>
  </si>
  <si>
    <t>SEVROLL 04305 mask Elegant II 4.05m silver</t>
  </si>
  <si>
    <t>SEVROLL 04311 mask Elegant II 4.05m gold</t>
  </si>
  <si>
    <t>SEVROLL 04301 mask Elegant II 6m olive</t>
  </si>
  <si>
    <t>SEVROLL 04307 mask Elegant II 6m silver</t>
  </si>
  <si>
    <t>SEVROLL 04312 mask Elegant II 6m gold</t>
  </si>
  <si>
    <t>SEVROLL 10199 Micra C fittings kit for 1 wing</t>
  </si>
  <si>
    <t>SEVROLL 04095 Gemini 4 Pax bottom cover strip 3m 4mm silver</t>
  </si>
  <si>
    <t>SEVROLL 03579 Polo handle profile, 10mm, 2.70m olive</t>
  </si>
  <si>
    <t>SEVROLL 10174 Simple Start positioner</t>
  </si>
  <si>
    <t>SEVROLL plug-in dust brush 4.8x13mm gray</t>
  </si>
  <si>
    <t>SEVROLL 04747 Rekord mounting bar 18mm 2.70m olive</t>
  </si>
  <si>
    <t>SEVROLL 01128 Smart lower guide 1.7m olive</t>
  </si>
  <si>
    <t>SEVROLL 01129 Smart lower guide 2.35 m olive</t>
  </si>
  <si>
    <t>SEVROLL 01130 Smart lower line 3m olive</t>
  </si>
  <si>
    <t>SEVROLL 01137 Smart bottom line 3m silver</t>
  </si>
  <si>
    <t>SEVROLL 04062 Gemini 10 bottom cover strip 1.7m 10mm white gloss</t>
  </si>
  <si>
    <t>SEVROLL 03091 Gemini 10 bottom cover bar 1.7m 10mm black brushed</t>
  </si>
  <si>
    <t>SEVROLL 00152 Gemini 10 bottom cover bar 1.7m 10mm olive</t>
  </si>
  <si>
    <t>SEVROLL 02490-Y Gemini 10 bottom cover bar 1.7m 10mm brushed olive</t>
  </si>
  <si>
    <t>SEVROLL 00161 Gemini 10 bottom cover strip 1.7m 10mm silver</t>
  </si>
  <si>
    <t>SEVROLL 00164 Gemini 10 bottom cover strip 1.7m 10mm gold</t>
  </si>
  <si>
    <t>SEVROLL 04063 Gemini 10 bottom cover strip 2.35m 10mm white gloss</t>
  </si>
  <si>
    <t>SEVROLL 00153 Gemini 10 bottom cover bar 2.35m 10mm olive</t>
  </si>
  <si>
    <t>SEVROLL 02491-Y Gemini 10 bottom cover bar 2.35m 10mm brushed olive</t>
  </si>
  <si>
    <t>SEVROLL 00162 Gemini 10 bottom cover strip 2.35m 10mm silver</t>
  </si>
  <si>
    <t>SEVROLL 03092 Gemini 10 bottom cover bar 2.35m 10mm black brushed</t>
  </si>
  <si>
    <t>SEVROLL 00145 Gemini 10 bottom cover strip 3m 10mm white gloss</t>
  </si>
  <si>
    <t>SEVROLL 03093 Gemini 10 bottom cover bar 3m 10mm black brushed</t>
  </si>
  <si>
    <t>SEVROLL 00155 Gemini 10 bottom cover strip 3m 10mm olive</t>
  </si>
  <si>
    <t>SEVROLL 02492-Y Gemini 10 bottom cover strip 3m 10mm brushed olive</t>
  </si>
  <si>
    <t>SEVROLL 00163 Gemini 10 bottom cover strip 3m 10mm silver</t>
  </si>
  <si>
    <t>SEVROLL 00166 Gemini 10 bottom cover strip 3m 10mm gold</t>
  </si>
  <si>
    <t>SEVROLL 03583 lower cover strip Simple/Blue 3m (for laminate 10mm) olive</t>
  </si>
  <si>
    <t>SEVROLL 03582 lower cover strip Simple/Blue 3m (for laminate 10mm) silver</t>
  </si>
  <si>
    <t>SEVROLL 04452 lower cover strip Simple/Blue 1.5m (for laminate 18mm) silver</t>
  </si>
  <si>
    <t>SEVROLL 04450 lower cover strip Simple/Blue 2.5m (for laminate 18mm) olive</t>
  </si>
  <si>
    <t>SEVROLL 04454 lower cover strip Simple/Blue 2.5m (for laminate 18mm) silver</t>
  </si>
  <si>
    <t>SEVROLL 04449 lower cover strip Simple/Blue 2m (for laminate 18mm) olive</t>
  </si>
  <si>
    <t>SEVROLL 04453 lower cover strip Simple/Blue 2m (for laminate 18mm) silver</t>
  </si>
  <si>
    <t>SEVROLL 04451 lower cover strip Simple/Blue 3m (for laminate 18mm) olive</t>
  </si>
  <si>
    <t>SEVROLL 04455 lower cover strip Simple/Blue 3m (for laminate 18mm) silver</t>
  </si>
  <si>
    <t>SEVROLL 10223 Simple/Blue V undercarriage (frame system) - 2 pcs</t>
  </si>
  <si>
    <t>SEVROLL 10238 undercarriage WD10 V 2pcs without positioner</t>
  </si>
  <si>
    <t>SEVROLL 10197 lower carriage WD18V (2x carriage + positioner) with spring</t>
  </si>
  <si>
    <t>SEVROLL 03095 Gemini 10 bottom cover bar 2.35m olive dark brushed</t>
  </si>
  <si>
    <t>SEVROLL 01617 connecting rail H10 Decor 3m silver</t>
  </si>
  <si>
    <t>SEVROLL 04051 connecting rail H18 3m white gloss</t>
  </si>
  <si>
    <t>SEVROLL 03466 connecting rail H18 3m black brushed</t>
  </si>
  <si>
    <t>SEVROLL 00212 connecting rail H18 3m olive</t>
  </si>
  <si>
    <t>SEVROLL 02937-Y connecting rail H18 3m brushed olive</t>
  </si>
  <si>
    <t>SEVROLL 03465 connecting rail H18 3m olive dark brushed</t>
  </si>
  <si>
    <t>SEVROLL 00215 connecting rail H18 3m silver</t>
  </si>
  <si>
    <t>SEVROLL 00216 connecting rail H18 3m gold</t>
  </si>
  <si>
    <t>SEVROLL 04446 connecting strip Simple/Blue H21 3m (for laminate 18mm) olive</t>
  </si>
  <si>
    <t>SEVROLL 04444 connecting strip Simple/Blue H28 3m (for laminate 18mm) olive</t>
  </si>
  <si>
    <t>SEVROLL 02287 System 10 II mounting rail 2.7m silver</t>
  </si>
  <si>
    <t>SEVROLL 20032-SV glass seal 10/4.5mm</t>
  </si>
  <si>
    <t>SEVROLL 20031-SV glass seal 10/4mm</t>
  </si>
  <si>
    <t>SEVROLL 20033-SV glass seal 10/6mm</t>
  </si>
  <si>
    <t>SEVROLL 00635 Tytan mounting bar 18mm 2.7m olive</t>
  </si>
  <si>
    <t>SEVROLL 00639 Tytan mounting bar 18mm 2.7m silver</t>
  </si>
  <si>
    <t>SEVROLL 04055 angle Mini 17x11mm 3m white gloss</t>
  </si>
  <si>
    <t>Sevroll 85263 angle 3.6m silver (22/1)</t>
  </si>
  <si>
    <t>Sevroll 85262 angle 2.7m silver (22/1)</t>
  </si>
  <si>
    <t>Sevroll 85261 angle 1.8m silver (22/1)</t>
  </si>
  <si>
    <t>Sevroll 85243 lower line 3.6m silver (22/1)</t>
  </si>
  <si>
    <t>Sevroll 85242 lower line 2.7m silver (22/1)</t>
  </si>
  <si>
    <t>Sevroll 85241 lower line 1.8m silver (22/1)</t>
  </si>
  <si>
    <t>Sevroll 85201 Orient grab rail 2.7m silver (32/1)</t>
  </si>
  <si>
    <t>Sevroll 85233 upper line 3.6m silver (32/1)</t>
  </si>
  <si>
    <t>Sevroll 85232 upper line 2.7m silver (32/1)</t>
  </si>
  <si>
    <t>Sevroll 85231 upper line 1.8m silver (32/1)</t>
  </si>
  <si>
    <t>Sevroll 85202 Elegant grab rail 2.7m silver (22/1)</t>
  </si>
  <si>
    <t>SEVROLL 50474 line Galaxy S 50kg to the ceiling 4m</t>
  </si>
  <si>
    <t>SEVROLL 50473 guide Galaxy S 50kg to ceiling 2.5m</t>
  </si>
  <si>
    <t>SEVROLL 50471 guide Galaxy S 50kg to ceiling 1.5m</t>
  </si>
  <si>
    <t>SEVROLL 50470 guide Galaxy B 50kg to the wall 4m</t>
  </si>
  <si>
    <t>SEVROLL 50469 guide Galaxy B 50kg to the wall 2.5m</t>
  </si>
  <si>
    <t>SEVROLL 01972 Exclusive overhead line 1.8m silver</t>
  </si>
  <si>
    <t>SEVROLL 50461 guide INTER S 35kg to ceiling 2m</t>
  </si>
  <si>
    <t>SEVROLL 50455 guide INTER B 35kg for wall 2m</t>
  </si>
  <si>
    <t>SEVROLL 50454 guide INTER B 35kg for wall 1.5m</t>
  </si>
  <si>
    <t>SEVROLL 50450 line Galaxy S 50kg to ceiling 6m</t>
  </si>
  <si>
    <t>SEVROLL 50449 line Galaxy S 50kg to the ceiling 3m</t>
  </si>
  <si>
    <t>SEVROLL 50472 line Galaxy S 50kg to the ceiling 2m</t>
  </si>
  <si>
    <t>SEVROLL 50452 guide Galaxy B 50kg to the wall 6m</t>
  </si>
  <si>
    <t>SEVROLL 50451 guide Galaxy B 50kg to the wall 3m</t>
  </si>
  <si>
    <t>SEVROLL 50468 guide Galaxy B 50kg to the wall 2m</t>
  </si>
  <si>
    <t>SEVROLL 20144 step drill 6.5/9.5mm</t>
  </si>
  <si>
    <t>SEVROLL 16385 Simple profile sampler (box)</t>
  </si>
  <si>
    <t>SEVROLL 20191 trolley template for laminate 18mm</t>
  </si>
  <si>
    <t>SEVROLL 40373 advertising template for trolleys for laminate 18mm</t>
  </si>
  <si>
    <t>K-SEVROLL lower carriage V 10mm - 2 pcs + positioner</t>
  </si>
  <si>
    <t>SEVROLL 16280 sample book of self-adhesive foils</t>
  </si>
  <si>
    <t>SEVROLL 20340 assembly tool for Eden/Pax</t>
  </si>
  <si>
    <t>SEVROLL 20016 assembly tool for laminate 10mm large</t>
  </si>
  <si>
    <t>SEVROLL 20238 Simple/Blue assembly tool for laminate 10/18mm</t>
  </si>
  <si>
    <t>SEVROLL 20183 assembly tool for the Maxim system small</t>
  </si>
  <si>
    <t>SEVROLL 20173 assembly tool for laminate 10/18mm small</t>
  </si>
  <si>
    <t>SEVROLL 20384 Micra template for trolleys - 1 pair = 1 pc</t>
  </si>
  <si>
    <t>SEVROLL 20385 Gemini lower guide holder</t>
  </si>
  <si>
    <t>IC-mounting bar Rome 10mm alu EU 5.3m silver</t>
  </si>
  <si>
    <t>SEVROLL 20173 assembly tool for laminate 10mm small (promotion)</t>
  </si>
  <si>
    <t>S-brush anti-dust tall 4.8x12mm gray</t>
  </si>
  <si>
    <t>IC-10mm bar vertical wide Classic arctic silver</t>
  </si>
  <si>
    <t>IC-rail upper arctic silver 2m</t>
  </si>
  <si>
    <t>IC-rail lower arctic silver 2m</t>
  </si>
  <si>
    <t>IC-10mm bar vertical standard white 2.75m</t>
  </si>
  <si>
    <t>IC-rail upper white 2m</t>
  </si>
  <si>
    <t>IC-rail lower white 2m</t>
  </si>
  <si>
    <t>IC-10mm guide rail white 2.4m</t>
  </si>
  <si>
    <t>IC-10mm dividing profile white 2.75m</t>
  </si>
  <si>
    <t>IC-positioner for sliding doors transparent</t>
  </si>
  <si>
    <t>SEVROLL 16169 Allen wrench Sevroll</t>
  </si>
  <si>
    <t>SEVROLL 04933 Era mounting bar 18mm 2.70m white gloss</t>
  </si>
  <si>
    <t>SEVROLL 04906 Vitara grab rail 2.7m silver</t>
  </si>
  <si>
    <t>SEVROLL 04905 Vitara grab rail 2.7m olive</t>
  </si>
  <si>
    <t>SEVROLL 04909 Vitara grab rail 2.7m white gloss</t>
  </si>
  <si>
    <t>SEVROLL Elegant II lower guide 150mm white matt (sample)</t>
  </si>
  <si>
    <t>SEVROLL Elegant II lower guide 150mm gloss black (sample)</t>
  </si>
  <si>
    <t>HAWA 061.3070.371 Eku-Forte 480mm, RAL 7035, load 170 kg</t>
  </si>
  <si>
    <t>SEVROLL 05308 Elegant II lower guide 1.7m black mat</t>
  </si>
  <si>
    <t>SEVROLL 05313 Gemini upper line 1.7m black mat</t>
  </si>
  <si>
    <t>SEVROLL 05328 Pax adhesive handle black mat</t>
  </si>
  <si>
    <t>SEVROLL 05327 Pax profile cover (4 pcs) black mat</t>
  </si>
  <si>
    <t>SEVROLL 05295 "U" profile for laminate 18mm 3m black mat</t>
  </si>
  <si>
    <t>SEVROLL 05296 angle Mini 17x11mm 1.7m black mat</t>
  </si>
  <si>
    <t>SEVROLL 05299 Gemini 10 bottom cover strip 1.7m 10mm black matt</t>
  </si>
  <si>
    <t>SEVROLL 05300 Gemini 10 bottom cover bar 2.35m 10mm black matt</t>
  </si>
  <si>
    <t>SEVROLL 03604 Gemini 10 bottom cover strip 3m 10mm black mat</t>
  </si>
  <si>
    <t>SEVROLL 05323 Gemini 4 Pax bottom cover strip 3m 4mm black mat</t>
  </si>
  <si>
    <t>SEVROLL 04418 Gemini 4 Pax XL bottom cover bar 3m 4mm white gloss</t>
  </si>
  <si>
    <t>SEVROLL 04833 Gemini 4 Pax XL bottom cover bar 3m 4mm black mat</t>
  </si>
  <si>
    <t>SEVROLL 05301 upper guide rail 1.7m black mat</t>
  </si>
  <si>
    <t>IC-4mm vertical rail Standard maple UP 2.75m</t>
  </si>
  <si>
    <t>IC-bar Standard 10mm maple UP 2.75m</t>
  </si>
  <si>
    <t>IC-top line maple 2m</t>
  </si>
  <si>
    <t>IC-bottom line maple 2m</t>
  </si>
  <si>
    <t>IC-10mm horizontal bar maple 2.4m</t>
  </si>
  <si>
    <t>IC-4mm horizontal bar maple 2.4m</t>
  </si>
  <si>
    <t>IC-10mm bar vertical wide Classic beech</t>
  </si>
  <si>
    <t>IC-rail upper beech 3m</t>
  </si>
  <si>
    <t>IC-rail lower beech 3m</t>
  </si>
  <si>
    <t>IC-10mm horizontal bar beech 2.4m</t>
  </si>
  <si>
    <t>S-butting profile 28mm 3.5m silver</t>
  </si>
  <si>
    <t>K-Action set 20x handle Rekord silver + 10x set of upper and lower trolleys</t>
  </si>
  <si>
    <t>S-S45 top guide profile 2.5 m silver</t>
  </si>
  <si>
    <t>S-profile S30 / 45 bottom anodized 2.5 m</t>
  </si>
  <si>
    <t>S-Slidix T40 damping for set S45 front</t>
  </si>
  <si>
    <t>S-Slidix T40 damping for set S45 rear</t>
  </si>
  <si>
    <t>SEVROLL 02385 Oxford grab bar 2.7m silver</t>
  </si>
  <si>
    <t>TWIN tension brace 2090mm</t>
  </si>
  <si>
    <t>SEVROLL 02552 Economic grab rail 2.7m silver</t>
  </si>
  <si>
    <t>SEVROLL 02553 Economy overhead line 2m silver</t>
  </si>
  <si>
    <t>SEVROLL 02554 Economy overhead line 3m silver</t>
  </si>
  <si>
    <t>SEVROLL 02894 Economy overhead line 6m silver</t>
  </si>
  <si>
    <t>SEVROLL 02555 Economic lower line 2m silver</t>
  </si>
  <si>
    <t>SEVROLL 02556 Economic lower line 3m silver</t>
  </si>
  <si>
    <t>SEVROLL 10101-SV top trolley Ekonomik Duo</t>
  </si>
  <si>
    <t>SEVROLL 10099-SV undercarriage Economy WD10V</t>
  </si>
  <si>
    <t>SEVROLL 20160 screwdriver 2.9x6.5 Economy (100 pcs.)</t>
  </si>
  <si>
    <t>SEVROLL 10105 Economy fittings set for 2 doors</t>
  </si>
  <si>
    <t>SEVROLL 20153 Unix screw 3x10 countersunk head (1000 pcs.)</t>
  </si>
  <si>
    <t>SEVROLL 20165 Unix screw 3x16mm countersunk head (100 pcs.)</t>
  </si>
  <si>
    <t>SEVROLL 20166 fan washer 3x6mm (100 pcs)</t>
  </si>
  <si>
    <t>SEVROLL 05325 Pax mounting rail 2.7m black mat</t>
  </si>
  <si>
    <t>SEVROLL 05326 Pax mounting rail 3m black mat</t>
  </si>
  <si>
    <t>SEVROLL 05293 connecting rail H18 3m white mat</t>
  </si>
  <si>
    <t>SEVROLL 05291 "U" profile for laminate 18mm 3m white mat</t>
  </si>
  <si>
    <t>S-S50 top bar aluminum elox 2m</t>
  </si>
  <si>
    <t>S-S50 lower bar aluminum anodized 2m</t>
  </si>
  <si>
    <t>SU profile for laminate 18mm 3m silver</t>
  </si>
  <si>
    <t>SEVROLL 03938 connecting strip Simple/Blue H25 3m (16mm) olive</t>
  </si>
  <si>
    <t>SEVROLL 03607 Gemini grab rail 2.7m black mat</t>
  </si>
  <si>
    <t>S-S65 upper and middle profile 4/18mm 1.5m silver</t>
  </si>
  <si>
    <t>S-dividing profile "H" 2m silver</t>
  </si>
  <si>
    <t>HAWA 053.3161.071 Eku Porta Glas sliding interior fittings glass holder</t>
  </si>
  <si>
    <t>Carriage for 1401 fitting with plates and screws</t>
  </si>
  <si>
    <t>S-Flast top brush 6,2x5mm grey</t>
  </si>
  <si>
    <t>S-S06N cover profile 2.5m silver</t>
  </si>
  <si>
    <t>S-S06N cover profile 3m silver</t>
  </si>
  <si>
    <t>S-S06NN lower guide profile 2.5m silver</t>
  </si>
  <si>
    <t>S-S06NN lower guide profile 3m silver</t>
  </si>
  <si>
    <t>S-brake for S06N/S06NN</t>
  </si>
  <si>
    <t>S-S35C bottom guide</t>
  </si>
  <si>
    <t>S-profile S30 / 45 bottom anodized 2m</t>
  </si>
  <si>
    <t>S-carriage set S30 for lower guide S30/45</t>
  </si>
  <si>
    <t>SEVROLL 04416 Pax XL grab rail 2.7m white gloss</t>
  </si>
  <si>
    <t>IC-top guide rail EU 10mm 2m champagne</t>
  </si>
  <si>
    <t>IC-bottom cover bar EU 10mm 2m champagne</t>
  </si>
  <si>
    <t>IC-damper stop universal EU - 2 pcs</t>
  </si>
  <si>
    <t>S-profile S11 stainless steel 2,7m</t>
  </si>
  <si>
    <t>S-S05 top guide profile 2,5m stainless steel</t>
  </si>
  <si>
    <t>S-S06NN bottom profile 2,5m elox stainless steel</t>
  </si>
  <si>
    <t>S-S06N cover profile alu 2,5m stainless steel</t>
  </si>
  <si>
    <t>S-S65 top a medium-strong profile 2,5m stainless steel</t>
  </si>
  <si>
    <t>S-S65 bottom profile 4/18mm 2,5m stainless steel</t>
  </si>
  <si>
    <t>SEVROLL 05082 Gemini overhead line 1.7m white mat</t>
  </si>
  <si>
    <t>SEVROLL 05172 Gemini overhead line 2.35m white mat</t>
  </si>
  <si>
    <t>SEVROLL 05173 Gemini overhead line 4.05m white mat</t>
  </si>
  <si>
    <t>SEVROLL 05174 Gemini overhead line 6m white mat</t>
  </si>
  <si>
    <t>SEVROLL 05136 angle Mini 17x11mm 1.7m white mat</t>
  </si>
  <si>
    <t>SEVROLL 05137 angle Mini 17x11mm 2.35m white mat</t>
  </si>
  <si>
    <t>SEVROLL 05166 mask Elegant II 6m white mat</t>
  </si>
  <si>
    <t>SEVROLL 05163 mask Elegant II 1.7m white mat</t>
  </si>
  <si>
    <t>SEVROLL 05201 Capitol bottom line 2m silver</t>
  </si>
  <si>
    <t>SEVROLL 05198 Capitol overhead line 2m silver</t>
  </si>
  <si>
    <t>SEVROLL 05204 Capitol fittings set for two doors</t>
  </si>
  <si>
    <t>SEVROLL 05205 Capitol fittings set for interior doors</t>
  </si>
  <si>
    <t>SEVROLL 05164 mask Elegant II 2.35m white mat</t>
  </si>
  <si>
    <t>SEVROLL 04438 mask Elegant II 3m white mat</t>
  </si>
  <si>
    <t>SEVROLL 05165 mask Elegant II 4.05m white mat</t>
  </si>
  <si>
    <t>SEVROLL 05152 Alfa II mounting bar 16/18mm 2.7m gloss black</t>
  </si>
  <si>
    <t>SEVROLL 05154 Fox II handle profile, 2.7m black polished</t>
  </si>
  <si>
    <t>SEVROLL 05182 connecting rail H10 3m black gloss</t>
  </si>
  <si>
    <t>SEVROLL 10182 Fold set for 2 wings left</t>
  </si>
  <si>
    <t>SEVROLL 10181 Fold set for 2 wings right</t>
  </si>
  <si>
    <t>S-S65 lower profile 4/18mm 1.5m silver</t>
  </si>
  <si>
    <t>S-S06N lower guide profile 1.5m silver</t>
  </si>
  <si>
    <t>IC-upper line EU 2m champagne</t>
  </si>
  <si>
    <t>IC-bottom lead EU 2m champagne</t>
  </si>
  <si>
    <t>IC-upper guide bar EU 10mm 4m champagne</t>
  </si>
  <si>
    <t>IC-bottom cover bar EU 10mm 4m champagne</t>
  </si>
  <si>
    <t>SEVROLL 10072-SV fitting set ZSE-18 PLUS PRINCE</t>
  </si>
  <si>
    <t>SEVROLL 05306 Faworyt II mounting bar 16/18mm 2.7m black matt</t>
  </si>
  <si>
    <t>SEVROLL 03606 connecting strip H30 decor 3m black mat</t>
  </si>
  <si>
    <t>SEVROLL 05341 spacer profile 04 3m black mat</t>
  </si>
  <si>
    <t>SEVROLL 05302 upper guide rail 2.35m black mat</t>
  </si>
  <si>
    <t>SEVROLL 03605 upper guide rail 3m black mat</t>
  </si>
  <si>
    <t>SEVROLL 05324 Pax upper guide rail 3m black mat</t>
  </si>
  <si>
    <t>SEVROLL 05316 Gemini upper line 6m black mat</t>
  </si>
  <si>
    <t>SEVROLL 05312 Elegant II bottom line 6m black mat</t>
  </si>
  <si>
    <t>SEVROLL 05317 mask Elegant II 1.7m black mat</t>
  </si>
  <si>
    <t>SEVROLL 05321 mask Elegant II 6m black mat</t>
  </si>
  <si>
    <t>SEVROLL 05303 connecting rail H10 3m black mat</t>
  </si>
  <si>
    <t>S-S45 upper guide profile 4m silver</t>
  </si>
  <si>
    <t>S-set of fittings S45 front door</t>
  </si>
  <si>
    <t>S-set of fittings S45 rear door</t>
  </si>
  <si>
    <t>S-Slidix T25 damping for set S45 front</t>
  </si>
  <si>
    <t>S-Slidix T25 damping for set S45 rear</t>
  </si>
  <si>
    <t>K-StrongLine Barnio set Big 2m without damping, 40-45mm black matt</t>
  </si>
  <si>
    <t>K-StrongLine Barnio set Big 2m with damping, 40-45mm black matt</t>
  </si>
  <si>
    <t>K-StrongLine Barnio set Big 3m without damping, 40-45mm black matt</t>
  </si>
  <si>
    <t>K-StrongLine Barnio set Big 3m with damping, 40-45mm black matt</t>
  </si>
  <si>
    <t>K-StrongLine Barnio set Simple 2m without damping, 40-45mm black matt</t>
  </si>
  <si>
    <t>K-StrongLine Barnio set Simple 2m with damping, 40-45mm black matt</t>
  </si>
  <si>
    <t>K-StrongLine Barnio set Simple 3m without damping, 40-45mm black matt</t>
  </si>
  <si>
    <t>K-StrongLine Barnio set Simple 3m with damping, 40-45mm black matt</t>
  </si>
  <si>
    <t>K-StrongLine Barnio set Square 2m without damping, 40-45mm black matt</t>
  </si>
  <si>
    <t>K-StrongLine Barnio set Square 2m with damping, 40-45mm black matt</t>
  </si>
  <si>
    <t>K-StrongLine Barnio set Square 3m without damping, 40-45mm black matt</t>
  </si>
  <si>
    <t>K-StrongLine Barnio set Square 3m with damping, 40-45mm black matt</t>
  </si>
  <si>
    <t>Sliding interior fitting 1399 40kg 2x shock absorber</t>
  </si>
  <si>
    <t>Sliding interior fitting 1399/155 40kg 2x shock absorber</t>
  </si>
  <si>
    <t>SEVROLL 02975 Maxim upper guide rail 1.8m olive</t>
  </si>
  <si>
    <t>Sliding interior fitting 1399/190 40kg 2x damper</t>
  </si>
  <si>
    <t>Sliding interior fitting 1399/230 40kg 2x damper</t>
  </si>
  <si>
    <t>Sliding interior fitting 1399/280 40kg 2x shock absorber</t>
  </si>
  <si>
    <t>Sliding interior fitting 1399/330 40kg 2x damper</t>
  </si>
  <si>
    <t>SEVROLL 05527 angle Mini 17x11mm 4.05m silver</t>
  </si>
  <si>
    <t>SEVROLL 05463 complete set of fittings Fox II silver for three doors 2.35m</t>
  </si>
  <si>
    <t>SEVROLL 10224 Micra V fittings kit for 1 wing</t>
  </si>
  <si>
    <t>S-S06N lower guide profile 2m light bronze</t>
  </si>
  <si>
    <t>S-S06N cover profile (mask) 2m light bronze</t>
  </si>
  <si>
    <t>S-S05 upper guide profile 2m light bronze</t>
  </si>
  <si>
    <t>S-S65 upper and middle profile 4/18mm 2m light bronze</t>
  </si>
  <si>
    <t>S-S65 lower profile 4/18mm 2m light bronze</t>
  </si>
  <si>
    <t>StrongLine Barnio connecting screw on the doors 30-40mm black matt</t>
  </si>
  <si>
    <t>StrongLine Barnio connecting screw on the doors 40-45mm black matt</t>
  </si>
  <si>
    <t>WC Closer with occupied/free indicator for laminate 18 mm</t>
  </si>
  <si>
    <t>K-WC Rectification leg VS-U universal 18 mm</t>
  </si>
  <si>
    <t>WC Al elox profile U side 18 mm, length 2 m</t>
  </si>
  <si>
    <t>WC Al elox profile U side 13 mm, length 2 m</t>
  </si>
  <si>
    <t>WC Al elox profile U side 25 mm, length 2 m</t>
  </si>
  <si>
    <t>S-set fitting S80</t>
  </si>
  <si>
    <t>S-S40/80 upper rail aluminum 2m</t>
  </si>
  <si>
    <t>HAWA 053.3389.071 Frontino 20 H OS FS type OS1 1200-1399mm</t>
  </si>
  <si>
    <t>HAWA 053.3389.072 Frontino 20 H OS FS type OS2 1400-1599mm</t>
  </si>
  <si>
    <t>HAWA 053.3389.073 Frontino 20 H OS FS type OS3 1600-1799mm</t>
  </si>
  <si>
    <t>HAWA 053.3389.074 Frontino 20 H OS FS type OS4 1800-1999mm</t>
  </si>
  <si>
    <t>HAWA 053.3389.075 Frontino 20 H OS FS type OS5 2000-2199mm</t>
  </si>
  <si>
    <t>HAWA 053.3389.076 Frontino 20 H OS FS type OS6 2200-2400mm</t>
  </si>
  <si>
    <t>HAWA 053.3390.071 Frontino 20 H FS type S1 1200-1399mm</t>
  </si>
  <si>
    <t>HAWA 053.3390.072 Frontino 20 H FS type S2 1400-1599mm</t>
  </si>
  <si>
    <t>HAWA 053.3390.075 Frontino 20 H FS type S5 2000-2199mm</t>
  </si>
  <si>
    <t>HAWA 053.3390.076 Frontino 20 H FS type S6 2200-2400mm</t>
  </si>
  <si>
    <t>HAWA 053.3320.071 Frontino 40 H FS type S 1200-1799mm fitting set</t>
  </si>
  <si>
    <t>HAWA 053.3320.072 Frontino 40 H FS type M 1800-2199mm fitting set</t>
  </si>
  <si>
    <t>HAWA 053.3320.073 Frontino 40 H FS type L 2200-2400mm fittings set</t>
  </si>
  <si>
    <t>HAWA 053.3321.180 Frontino 40 Type S 1200-1799mm guide set</t>
  </si>
  <si>
    <t>HAWA 053.3321.220 Frontino 40 Type M 1800-2199mm guide set</t>
  </si>
  <si>
    <t>HAWA 053.3321.240 Frontino 40 Type L 2200-2400mm guide set</t>
  </si>
  <si>
    <t>IC-bottom cover strip 10mm 3m silver</t>
  </si>
  <si>
    <t>IC-connecting H profile 10mm 3m  silver</t>
  </si>
  <si>
    <t>IC-handle profile Harmony 10mm 2,7m champagne</t>
  </si>
  <si>
    <t>IC-top guide bar 10mm 2m champagne</t>
  </si>
  <si>
    <t>IC-upper guide rail 10mm 3m champagne</t>
  </si>
  <si>
    <t>IC-top guide rail 10mm 5m champagne</t>
  </si>
  <si>
    <t>IC-bottom cover strip 10mm 2m champagne</t>
  </si>
  <si>
    <t>IC-bottom cover bar 10mm 3m champagne</t>
  </si>
  <si>
    <t>IC-bottom cover strip 10mm 5m champagne</t>
  </si>
  <si>
    <t>IC-connecting H profile 10mm 3m champagne</t>
  </si>
  <si>
    <t>IC-connecting H profile 10mm 5m champagne</t>
  </si>
  <si>
    <t>S-doubleside silencer Slidix Centro T40 S55/S60/S65</t>
  </si>
  <si>
    <t>S-profile S11 light bronze 2.7m</t>
  </si>
  <si>
    <t>S-S05 upper guide profile light bronze 3m</t>
  </si>
  <si>
    <t>S-S06NN lower guide profile 3m light bronze</t>
  </si>
  <si>
    <t>S-S65 top and middle profile 3.5m light bronze</t>
  </si>
  <si>
    <t>S-S65 lower profile 4/18mm 3.5m light bronze</t>
  </si>
  <si>
    <t>S-S06N cover profile mask 3m light bronze</t>
  </si>
  <si>
    <t>S-S45-upper guide profile 3m silver</t>
  </si>
  <si>
    <t>S-profile S30 / 45 bottom anodized 3m</t>
  </si>
  <si>
    <t>S-S40SD upper line 2m (add 85355)</t>
  </si>
  <si>
    <t>S-S40SD upper line 3m (add 85355)</t>
  </si>
  <si>
    <t>S-40SD bottom bar aluminum raw 2m</t>
  </si>
  <si>
    <t>S-40SD bottom bar aluminum raw 2.5m</t>
  </si>
  <si>
    <t>S-40SD bottom bar aluminum raw 3m</t>
  </si>
  <si>
    <t>S-S40SD set of fittings left</t>
  </si>
  <si>
    <t>S-S40SD set of fittings right</t>
  </si>
  <si>
    <t>S-40SD bottom bar aluminum raw 5m</t>
  </si>
  <si>
    <t>S-S20 / 30 plastic brake</t>
  </si>
  <si>
    <t>S-H50 right brake</t>
  </si>
  <si>
    <t>S-S40SD stop</t>
  </si>
  <si>
    <t>S-S70C mounting rail 2.7m</t>
  </si>
  <si>
    <t>SEVROLL advertisement template for carrieges for lamino 18mm</t>
  </si>
  <si>
    <t>SEVROLL 05319 mask Elegant II 3m black mat</t>
  </si>
  <si>
    <t>S-S06NN bottom profile 4m anodized medium</t>
  </si>
  <si>
    <t>S-S06N cover profile 4m silver</t>
  </si>
  <si>
    <t>S-S05-upper guide profile 6m silver</t>
  </si>
  <si>
    <t>S-profile S11 silver anodized 3.2m</t>
  </si>
  <si>
    <t>S-S06NN bottom profile 6m silver</t>
  </si>
  <si>
    <t>S-S06N cover profile 6m silver</t>
  </si>
  <si>
    <t>S-S65 top a medium-strong profile 4/18mm 4m silver</t>
  </si>
  <si>
    <t>S-S65 bottom profile 4/18mm 4m silver</t>
  </si>
  <si>
    <t>S-S05-1-top vod.profile jednod. 2m silver</t>
  </si>
  <si>
    <t>S-S06N-1 bottom profile jedn.2m elox silver</t>
  </si>
  <si>
    <t>IC-4mm vertical rail Standard bronze 2.75m</t>
  </si>
  <si>
    <t>IC-upper line bronze 2m</t>
  </si>
  <si>
    <t>IC-bottom line bronze 2m</t>
  </si>
  <si>
    <t>IC-4mm bar horizontal bronze 2.4m</t>
  </si>
  <si>
    <t>StrongLine Barnio set Simple black matt</t>
  </si>
  <si>
    <t>StrongLine Barnio set Square black matt</t>
  </si>
  <si>
    <t>StrongLine Barnio set Big black matt</t>
  </si>
  <si>
    <t>StrongLine Barnio set of dampings</t>
  </si>
  <si>
    <t>StrongLine Barnio overhead line 2m black mat</t>
  </si>
  <si>
    <t>StrongLine Barnio overhead line 3m black mat</t>
  </si>
  <si>
    <t>StrongLine Barnio material connection on the wall black matt</t>
  </si>
  <si>
    <t>K-StrongLine Barnio set Simple 2m with damping, 30-40mm black matt</t>
  </si>
  <si>
    <t>K-StrongLine Barnio set Simple 3m with damping, 30-40mm black matt</t>
  </si>
  <si>
    <t>K-StrongLine Barnio set Square 2m with damping, 30-40mm black matt</t>
  </si>
  <si>
    <t>K-StrongLine Barnio set Square 3m with damping, 30-40mm black matt</t>
  </si>
  <si>
    <t>K-StrongLine Barnio set Big 2m with damping, 30-40mm black matt</t>
  </si>
  <si>
    <t>K-StrongLine Barnio set Big 3m with damping, 30-40mm black matt</t>
  </si>
  <si>
    <t>K-StrongLine Barnio set Simple 2m without damping, 30-40mm black matt</t>
  </si>
  <si>
    <t>K-StrongLine Barnio set Simple 3m without damping, 30-40mm black matt</t>
  </si>
  <si>
    <t>K-StrongLine Barnio set Big 2m without damping, 30-40mm black matt</t>
  </si>
  <si>
    <t>K-StrongLine Barnio set Big 3m without damping, 30-40mm black matt</t>
  </si>
  <si>
    <t>K-StrongLine Barnio set Square 2m without damping, 30-40mm black matt</t>
  </si>
  <si>
    <t>K-StrongLine Barnio set Square 3m without damping, 30-40mm black matt</t>
  </si>
  <si>
    <t>IC-grip bar Comfort 10mm 2.7m silver</t>
  </si>
  <si>
    <t>Harmony 10mm 2.7m silver IC-heading strip</t>
  </si>
  <si>
    <t>IC-top guide rail 10mm 3m  silver</t>
  </si>
  <si>
    <t>IC-upper guide rail 10mm 5m silver</t>
  </si>
  <si>
    <t>SEVROLL Alfa II mounting bar 100mm black matt (sample)</t>
  </si>
  <si>
    <t>SEVROLL Faworyt II mounting rail 100mm white matt (sample)</t>
  </si>
  <si>
    <t>SEVROLL Fox II mounting bar 100mm gloss black (sample)</t>
  </si>
  <si>
    <t>SEVROLL Vitara mounting bar 100mm silver (sample)</t>
  </si>
  <si>
    <t>SEVROLL Lynx mounting bar 100mm olive (sample)</t>
  </si>
  <si>
    <t>SEVROLL 05538 complete kit Gemini 18 Focus 18C silver for two doors</t>
  </si>
  <si>
    <t>SEVROLL 05539 complete set of fittings Focus II silver for three doors 2.35m</t>
  </si>
  <si>
    <t>SEVROLL 05540 complete set Gemini 18 bar Focus 18C silver for four doors</t>
  </si>
  <si>
    <t>SEVROLL 05541 complete set Gemini 18 bar Focus 18C silver for five doors</t>
  </si>
  <si>
    <t>S-S80 set fitting 80kg (H80)</t>
  </si>
  <si>
    <t>S-profile S40/80 2m steel</t>
  </si>
  <si>
    <t>S-profile S40/80 3m steel</t>
  </si>
  <si>
    <t>S-arresting brake S40/S40H/S80</t>
  </si>
  <si>
    <t>S-S40 set fitting</t>
  </si>
  <si>
    <t>S-S50 bar lower anodized aluminum 3m</t>
  </si>
  <si>
    <t>S-S60H set of fittings (H60)</t>
  </si>
  <si>
    <t>S-S08 Handle profile alu elox 2,7m</t>
  </si>
  <si>
    <t>S-S03 aluminum anodized guide profile 1.25m</t>
  </si>
  <si>
    <t>S-S37 set of fittings 1 wing</t>
  </si>
  <si>
    <t>S-S50 top milling bar aluminum raw 3m</t>
  </si>
  <si>
    <t>S-S50 top milling bar aluminum raw 2m</t>
  </si>
  <si>
    <t>S-S03 guide profile aluminum anodized 3m</t>
  </si>
  <si>
    <t>S-S03 guide profile aluminum anodized 2m</t>
  </si>
  <si>
    <t>S-S27AL-set fittings for alu doors 25 kg</t>
  </si>
  <si>
    <t>S-S37AL-set fittings for alu doors 35 kg</t>
  </si>
  <si>
    <t>S-S40H set fitting (H40HARD)</t>
  </si>
  <si>
    <t>S-S20 / 30 guide black / brown</t>
  </si>
  <si>
    <t>S-S40/80 lead</t>
  </si>
  <si>
    <t>S-brake S36 (H60) part of set S36</t>
  </si>
  <si>
    <t>S-S40/80 fitting  (H40/80)</t>
  </si>
  <si>
    <t>S-S25 top bar aluminum elox 2m</t>
  </si>
  <si>
    <t>S-S25 top bar aluminum elox 3m</t>
  </si>
  <si>
    <t>S-S25 top bar aluminum raw 2m</t>
  </si>
  <si>
    <t>S-S03 aluminum anodized water profile 2.5m</t>
  </si>
  <si>
    <t>SEVROLL 219-047 upper guide holder for laminate 16 - 25mm</t>
  </si>
  <si>
    <t>S-S20 set of fittings 1 wing 20kg</t>
  </si>
  <si>
    <t>S-S30-set of fittings 1 wing 30kg</t>
  </si>
  <si>
    <t>S-S20 / 30 profile single steel 2m</t>
  </si>
  <si>
    <t>S-S20 / 30 profile single steel 3m</t>
  </si>
  <si>
    <t>S-S20 / 30 alu anodized double profile 2m</t>
  </si>
  <si>
    <t>S-S20 / 30 alu anodized double profile 3m</t>
  </si>
  <si>
    <t>S-S20 / S30 plastic brake</t>
  </si>
  <si>
    <t>S-S20 / 30 stopper + 2x screws</t>
  </si>
  <si>
    <t>Push.int.metal 1400 - upper rail 6m</t>
  </si>
  <si>
    <t>S-S50 bottom profile aluminum anodized (H35 / 60) 2m</t>
  </si>
  <si>
    <t>Fitting braker 1390/1391</t>
  </si>
  <si>
    <t>Upper aluminum bar 1390 / 330cm</t>
  </si>
  <si>
    <t>StrongLine aluminum profile 1030 upper 1.2m</t>
  </si>
  <si>
    <t>StrongLine aluminum profile 1030 upper 2m</t>
  </si>
  <si>
    <t>StrongLine aluminum profile 1030 upper 3m</t>
  </si>
  <si>
    <t>StrongLine aluminum profile 1030 bottom 1.2m</t>
  </si>
  <si>
    <t>StrongLine aluminum profile 1030 lower 2m</t>
  </si>
  <si>
    <t>StrongLine aluminum profile 1030 lower 3m</t>
  </si>
  <si>
    <t>StrongLine aluminum profile 1030W bottom 1.2m</t>
  </si>
  <si>
    <t>StrongLine aluminum profile 1030W lower 2m</t>
  </si>
  <si>
    <t>StrongLine aluminum profile 1030W lower 3m</t>
  </si>
  <si>
    <t>S-S35A top guide sliding fitting</t>
  </si>
  <si>
    <t>S-S35B top guide sliding fitting</t>
  </si>
  <si>
    <t>S-S60N 1 set fitting for 1 doors</t>
  </si>
  <si>
    <t>K-WC Top fixing clamp T 18 mm</t>
  </si>
  <si>
    <t>K-WC Left hinge (screws) H70 18 mm</t>
  </si>
  <si>
    <t>K-WC Right hinge (screws) H70 18 mm</t>
  </si>
  <si>
    <t>S-S50 lower rail RAL9005 matt aluminum 3m</t>
  </si>
  <si>
    <t>S-S50 top rail RAL9005 matt aluminum 3m</t>
  </si>
  <si>
    <t>SEVROLL 222883 sponge for removing small scratches on silver aluminum profiles</t>
  </si>
  <si>
    <t>StrongLine Planio set for 2 solid leaves with damping, including 8 dampers, 80kg</t>
  </si>
  <si>
    <t>StrongLine Planio set for 3 solid leaves with damping, 10 dampers,anti collision</t>
  </si>
  <si>
    <t>StrongLine Planio top guide elox 2m</t>
  </si>
  <si>
    <t>StrongLine Planio top guide elox 3m</t>
  </si>
  <si>
    <t>StrongLine Planio top guide elox 4m</t>
  </si>
  <si>
    <t>StrongLine Planio bottom guide elox 2m</t>
  </si>
  <si>
    <t>StrongLine Planio bottom guide elox 3m</t>
  </si>
  <si>
    <t>StrongLine Planio bottom guide elox 4m</t>
  </si>
  <si>
    <t>StrongLine Planio cover profile for outer door elox 2m</t>
  </si>
  <si>
    <t>S-brush stop low with glue 4.8*5mm gray</t>
  </si>
  <si>
    <t>S-S60N-2 set fitting for 1 doors</t>
  </si>
  <si>
    <t>S-dividing profile "T" 3m silver anodized</t>
  </si>
  <si>
    <t>SEVROLL 05314 Gemini overhead line 2.35m black mat</t>
  </si>
  <si>
    <t>SEVROLL 04835 Gemini overhead line 4.05m black mat</t>
  </si>
  <si>
    <t>SEVROLL 05311 Elegant II lower guide 4.05m black mat</t>
  </si>
  <si>
    <t>SEVROLL 05309 Elegant II lower guide 2.35m black mat</t>
  </si>
  <si>
    <t>SEVROLL 05318 mask Elegant II 2.35m black mat</t>
  </si>
  <si>
    <t>SEVROLL 05320 mask Elegant II 4.05m black mat</t>
  </si>
  <si>
    <t>SEVROLL 05297 angle Mini 17x11mm 2.35m black mat</t>
  </si>
  <si>
    <t>SEVROLL 05304 connecting rail H18 3m black mat</t>
  </si>
  <si>
    <t>SEVROLL 20334-SV plug-in stop brush 14x4mm black</t>
  </si>
  <si>
    <t>SEVROLL 20403-SV plug-in stop brush 4.8x4mm black</t>
  </si>
  <si>
    <t>S-profile S04 silver anodized 2.7m</t>
  </si>
  <si>
    <t>SEVROLL 10096-SV ZR-18 Unicomfort set for swing doors</t>
  </si>
  <si>
    <t>S-S34 fitting set for aluminum frame</t>
  </si>
  <si>
    <t>IC-handle profile Exclusive 10mm 2,7m silver</t>
  </si>
  <si>
    <t>IC-top guide rail 10mm 2m silver</t>
  </si>
  <si>
    <t>IC-bottom cover strip 10mm 2m silver</t>
  </si>
  <si>
    <t>STRONG Linio set 2 doors with damping 40kg</t>
  </si>
  <si>
    <t>STRONG Linio set 3 doors with damping 40kg</t>
  </si>
  <si>
    <t>StrongLine Linio guide top/bottom 1,5m elox</t>
  </si>
  <si>
    <t>StrongLine Linio guide top/bottom 2m elox</t>
  </si>
  <si>
    <t>StrongLine Linio guide top/bottom 3m elox</t>
  </si>
  <si>
    <t>StrongLine Linio Central damper</t>
  </si>
  <si>
    <t>StrongLine Baleo set 1 leave 30 kg</t>
  </si>
  <si>
    <t>StrongLine Baleo guide top/bottom 1,2m elox</t>
  </si>
  <si>
    <t>STRONG Baleo guide top/bottom single 2m elox</t>
  </si>
  <si>
    <t>StrongLine Baleo guide top/bottom 3m elox</t>
  </si>
  <si>
    <t>STRONG Baleo guide top/bottom double 2m elox</t>
  </si>
  <si>
    <t>STRONG Baleo guide top/bottom double 3m elox</t>
  </si>
  <si>
    <t>STRONG Baleo  double guide end cap 3 m</t>
  </si>
  <si>
    <t>K-Action set 20x Era handle silver + 10x set of upper and lower trolleys</t>
  </si>
  <si>
    <t>S-S05-1-upper guide profile simple 1.5m silver</t>
  </si>
  <si>
    <t>S-S06N-1 bottom profile simple 1.5m anodized silver</t>
  </si>
  <si>
    <t>SEVROLL 00884 Comfort bottom line 2.35m silver</t>
  </si>
  <si>
    <t>SEVROLL 00885 Comfort bottom line 3m silver</t>
  </si>
  <si>
    <t>SEVROLL 01494 Comfort lower guide 4.05m olive</t>
  </si>
  <si>
    <t>SEVROLL 05332 sample door Era/Rekord split</t>
  </si>
  <si>
    <t>SEVROLL 05333 sample door Era/Rekord full</t>
  </si>
  <si>
    <t>K-SEVROLL samples of surface treatment of grip bars</t>
  </si>
  <si>
    <t>SEVROLL 05508-D complete set Gemini 18 Faworyt molding for two doors</t>
  </si>
  <si>
    <t>SEVROLL 05509-D complete set Gemini 18 Faworyt molding for three doors</t>
  </si>
  <si>
    <t>SEVROLL 05510-D complete set Gemini 18 Faworyt bar for four doors</t>
  </si>
  <si>
    <t>SEVROLL 05511-D complete kit Gemini 18 Faworyt strip for five doors</t>
  </si>
  <si>
    <t>S-S50N set fitting</t>
  </si>
  <si>
    <t>S-dividing profile "T" 2m silver</t>
  </si>
  <si>
    <t>S-angle S07 2m silver</t>
  </si>
  <si>
    <t>S-angle S07 3m silver</t>
  </si>
  <si>
    <t>S-S06N-S06N lower aluminum guide profile 3.5m</t>
  </si>
  <si>
    <t>S-profile S12 2,7m silver elox</t>
  </si>
  <si>
    <t>S-S40/80 upper rail aluminum 3m</t>
  </si>
  <si>
    <t>S-S06NN bottom profile 3.5m light bronze</t>
  </si>
  <si>
    <t>S-S06N cover profile 3.5m light bronze</t>
  </si>
  <si>
    <t>S-S05 upper guide profile 3.5m light bronze</t>
  </si>
  <si>
    <t>S-dividing profile "T" 2m light bronze</t>
  </si>
  <si>
    <t>S-dividing profile "T" 3m light bronze</t>
  </si>
  <si>
    <t>S-profile S04N light bronze 2.7m</t>
  </si>
  <si>
    <t>S-S06NN bottom profile 2m anodized silver</t>
  </si>
  <si>
    <t>TWIN tension brace 2690mm</t>
  </si>
  <si>
    <t>SEVROLL 05176 Gemini overhead line 2.35m gloss black</t>
  </si>
  <si>
    <t>SEVROLL 05156 Elegant II bottom line 2.35m gloss black</t>
  </si>
  <si>
    <t>SEVROLL 05168 mask Elegant II 2.35m black gloss</t>
  </si>
  <si>
    <t>StrongLine Planio shock absorber Central double-sided + lower anti-collision</t>
  </si>
  <si>
    <t>K-StrongLine Planio set for 3 solid leaves with central damping, anti collision</t>
  </si>
  <si>
    <t>SEVROLL 10193-SV Optima II fittings set for interior doors</t>
  </si>
  <si>
    <t>SEVROLL 10212 trolley for interior doors Simple 18 Inter/Galaxy 35/50kg</t>
  </si>
  <si>
    <t>SEVROLL 04999 shock absorber for interior door Simple 18 Galaxy 50kg</t>
  </si>
  <si>
    <t>K-SEVROLL fitting set for interior doors Simple 18 Inter/Galaxy 50kg 2x brake</t>
  </si>
  <si>
    <t>S-profile S10N silver elox 2,7m</t>
  </si>
  <si>
    <t>S-S65 upper and middle profile 4/18mm 6m silver</t>
  </si>
  <si>
    <t>S-S65 lower profile 4/18mm 6m silver</t>
  </si>
  <si>
    <t>S-S06N lower guide profile 6m silver</t>
  </si>
  <si>
    <t>TWIN tension brace 2390mm</t>
  </si>
  <si>
    <t>STRONG Synchrotec set for continuous opening 1,35m</t>
  </si>
  <si>
    <t>S-stop bottom S06N/NN</t>
  </si>
  <si>
    <t>S-screw torx 4x40</t>
  </si>
  <si>
    <t>S-brake positioner upper S05 gray</t>
  </si>
  <si>
    <t>IC-grip rail Berlin 10mm EU champagne 5.3m</t>
  </si>
  <si>
    <t>SEVROLL 04414 Pax XL grab rail 2.7m silver</t>
  </si>
  <si>
    <t>SEVROLL 04421 Pax XL upper guide rail 3m silver</t>
  </si>
  <si>
    <t>SEVROLL 04419 Gemini 4 Pax XL bottom cover bar 3m 4mm silver</t>
  </si>
  <si>
    <t>SEVROLL 20167 gasket for Pax XL profile</t>
  </si>
  <si>
    <t>SEVROLL 219-043 upper guide holder for laminate 25 - 45mm</t>
  </si>
  <si>
    <t>SEVROLL 10196 Focus upper trolley 18mm 2pcs (promotion)</t>
  </si>
  <si>
    <t>IC-rail covering lower track 3m alu</t>
  </si>
  <si>
    <t>S-S45 upper guide profile 2m silver</t>
  </si>
  <si>
    <t>S-S05 upper guide profile 2m stainless steel</t>
  </si>
  <si>
    <t>S-S06NN bottom profile 2m anodized stainless steel</t>
  </si>
  <si>
    <t>S-S06N aluminum cover profile 2m stainless steel</t>
  </si>
  <si>
    <t>SEVROLL 05292 "U" profile for laminate 18mm 3m black gloss</t>
  </si>
  <si>
    <t>SEVROLL 05138 angle Mini 17x11mm 1.7m black gloss</t>
  </si>
  <si>
    <t>SEVROLL 05139 angle Mini 17x11mm 2.35m gloss black</t>
  </si>
  <si>
    <t>SEVROLL 05140 angle Mini 17x11mm 3m black gloss</t>
  </si>
  <si>
    <t>SEVROLL 05144 Gemini 10 bottom cover bar 1.7m 10mm black gloss</t>
  </si>
  <si>
    <t>SEVROLL 05145 Gemini 10 bottom cover bar 2.35m 10mm black gloss</t>
  </si>
  <si>
    <t>SEVROLL 05183 Gemini 10 bottom cover strip 3m 10mm black gloss</t>
  </si>
  <si>
    <t>SEVROLL 05149 upper guide rail 1.7m black gloss</t>
  </si>
  <si>
    <t>SEVROLL 05150 upper guide bar 2.35m black gloss</t>
  </si>
  <si>
    <t>SEVROLL 05184 upper guide rail 3m black gloss</t>
  </si>
  <si>
    <t>SEVROLL 05294 connecting rail H18 3m black gloss</t>
  </si>
  <si>
    <t>SEVROLL 05155 Elegant II bottom line 1.7m gloss black</t>
  </si>
  <si>
    <t>SEVROLL 05157 Elegant II bottom line 3m gloss black</t>
  </si>
  <si>
    <t>SEVROLL 05158 Elegant II bottom line 4.05m gloss black</t>
  </si>
  <si>
    <t>SEVROLL 05159 Elegant II bottom line 6m gloss black</t>
  </si>
  <si>
    <t>SEVROLL 05175 Gemini overhead line 1.7m gloss black</t>
  </si>
  <si>
    <t>SEVROLL 05177 Gemini overhead line 3m gloss black</t>
  </si>
  <si>
    <t>SEVROLL 05178 Gemini overhead line 4.05m gloss black</t>
  </si>
  <si>
    <t>SEVROLL 05179 Gemini overhead line 6m gloss black</t>
  </si>
  <si>
    <t>SEVROLL 05167 mask Elegant II 1.7m black gloss</t>
  </si>
  <si>
    <t>SEVROLL 05169 mask Elegant II 3m black gloss</t>
  </si>
  <si>
    <t>SEVROLL 05170 mask Elegant II 4.05m black gloss</t>
  </si>
  <si>
    <t>SEVROLL 05171 mask Elegant II 6m black gloss</t>
  </si>
  <si>
    <t>S-S25 (H25SD) set of fittings for folding doors 25kg</t>
  </si>
  <si>
    <t>S-S25 (H25SD/DV) lower profile 2m</t>
  </si>
  <si>
    <t>SEVROLL 01508 Single upper line 6m olive</t>
  </si>
  <si>
    <t>SEVROLL 10230 undercarriage WD10 V Duo 60kg (2 pcs)</t>
  </si>
  <si>
    <t>WC Upper fixing clamp T 12 mm</t>
  </si>
  <si>
    <t>WC Rectification leg VS-U universal 12 mm</t>
  </si>
  <si>
    <t>SEVROLL 03199 Top upper guide simple 2.35m silver</t>
  </si>
  <si>
    <t>S-S65 upper and middle profile 2m stainless steel</t>
  </si>
  <si>
    <t>S-S65 lower profile 4/18mm 2m stainless steel</t>
  </si>
  <si>
    <t>S-Flast top brush 12,8x4,6mm white</t>
  </si>
  <si>
    <t>K-SEVROLL fitting set for interior doors Simple 18 Galaxy 50kg brake+absorber</t>
  </si>
  <si>
    <t>K-SEVROLL fittings set for interior doors Simple 18 Galaxy 50kg 2x damper</t>
  </si>
  <si>
    <t>IC-top guide 5m champagne</t>
  </si>
  <si>
    <t>IC-bottom guide 5m champagne</t>
  </si>
  <si>
    <t>IC-top guide  2m  silver</t>
  </si>
  <si>
    <t>IC-top guide 3m  silver</t>
  </si>
  <si>
    <t>IC-top guide 5m silver</t>
  </si>
  <si>
    <t>IC-bottom guide 2m silver</t>
  </si>
  <si>
    <t>IC-bottom guide 3m silver</t>
  </si>
  <si>
    <t>IC-bottom guide 5m silver</t>
  </si>
  <si>
    <t>IC-set carriages Comfort 1 wing</t>
  </si>
  <si>
    <t>IC-set carriages symetric 1 wing</t>
  </si>
  <si>
    <t>IC-positioner</t>
  </si>
  <si>
    <t>IC-clip stop brush</t>
  </si>
  <si>
    <t>IC-silencer stop right</t>
  </si>
  <si>
    <t>IC-silencer stop left</t>
  </si>
  <si>
    <t>IC-sealing for glass 12/6.4mm</t>
  </si>
  <si>
    <t>SEVROLL 134-121 door hinge 25kg</t>
  </si>
  <si>
    <t>S-set of fittings S25</t>
  </si>
  <si>
    <t>S-top rail S25 1m</t>
  </si>
  <si>
    <t>S-bottom rail S25 1m</t>
  </si>
  <si>
    <t>IC-cover strip self-adhesive 3m champagne</t>
  </si>
  <si>
    <t>IC-double-sided adhesive tape clear 14mm/50m</t>
  </si>
  <si>
    <t>S-handle S70a 2.7m (profile H09)</t>
  </si>
  <si>
    <t>S-handle S70c 2.7m (profile H11)</t>
  </si>
  <si>
    <t>S-brake S35</t>
  </si>
  <si>
    <t>S-Softclose S65 (Slidix T40) silencer</t>
  </si>
  <si>
    <t>S-profile S09 middle anodized 2.7m</t>
  </si>
  <si>
    <t>S-profile S40/80 4m steel</t>
  </si>
  <si>
    <t>IC-upper line EU 6m champagne</t>
  </si>
  <si>
    <t>IC-bottom lead EU 6m champagne</t>
  </si>
  <si>
    <t>IC-upper guide rail EU 10mm 6m champagne</t>
  </si>
  <si>
    <t>IC-bottom cover bar EU 10mm 6m champagne</t>
  </si>
  <si>
    <t>HAWA 057.3133.072 Eku Porta 60 HM sliding interior fitting set up to 60kg</t>
  </si>
  <si>
    <t>HAWA 057.3016.201 Porta 60 sliding interior fittings 100kg upper guide 2m anod.</t>
  </si>
  <si>
    <t>HAWA 042.3102.072 Eku Porta 60 sliding interior fittings damper up to 60 kg</t>
  </si>
  <si>
    <t>S-S20/30 aluminum anodized strip double 3.5m</t>
  </si>
  <si>
    <t>S-S06NN lower guide profile 2m silver</t>
  </si>
  <si>
    <t>S-S06N cover profile (mask) 2m silver</t>
  </si>
  <si>
    <t>S-S06N cover profile 3.5m silver anodized</t>
  </si>
  <si>
    <t>SEVROLL 03889 Gemini overhead line 3m white mat</t>
  </si>
  <si>
    <t>S-set fitting S55B</t>
  </si>
  <si>
    <t>IC-sealing for glass 10/6mm</t>
  </si>
  <si>
    <t>IC-top line simple 2m champagne</t>
  </si>
  <si>
    <t>IC-top line simple 3m champagne</t>
  </si>
  <si>
    <t>IC-top line simple 5m champagne</t>
  </si>
  <si>
    <t>IC-bottom line simple 2m champagne</t>
  </si>
  <si>
    <t>IC-bottom line simple 3m champagne</t>
  </si>
  <si>
    <t>IC-bottom line simple 5m champagne</t>
  </si>
  <si>
    <t>IC-handlebar Comfort 12mm 2.6m champagne</t>
  </si>
  <si>
    <t>S-Softclose S65 (Slidix T60) silencer</t>
  </si>
  <si>
    <t>S-profile S04N silver elox 2,7m</t>
  </si>
  <si>
    <t>S-S03 guide profile alu elox 1,2m</t>
  </si>
  <si>
    <t>S-S55 lower bar 3m silver</t>
  </si>
  <si>
    <t>S-seal for glass 4mm</t>
  </si>
  <si>
    <t>S-profile S16 2.7m silver</t>
  </si>
  <si>
    <t>TWIN tension brace 1860mm</t>
  </si>
  <si>
    <t>S-seal for 6mm glass</t>
  </si>
  <si>
    <t>S-S55 lower bar 3.5m silver</t>
  </si>
  <si>
    <t>S-S55 upper and middle crossbar 3.5m silver</t>
  </si>
  <si>
    <t>S-profile S17 2.7m silver</t>
  </si>
  <si>
    <t>S-Softclose Simple S55 T25 silencer</t>
  </si>
  <si>
    <t>S-Softclose Simple S55 T40 silencer</t>
  </si>
  <si>
    <t>S-Softclose Simple S55 T60 silencer</t>
  </si>
  <si>
    <t>HAWA 061.3072.371 Eku-Forte 580mm, RAL 7035, load capacity 170 kg</t>
  </si>
  <si>
    <t>HAWA 061.3049.171 Eku-Forte shock absorber</t>
  </si>
  <si>
    <t>SEVROLL 04940 lower cover strip Simple/Blue 2m (for laminate 18mm) white gloss</t>
  </si>
  <si>
    <t>SEVROLL 04941 lower cover strip Simple/Blue 3m (for laminate 18mm) white gloss</t>
  </si>
  <si>
    <t>SEVROLL 04942 upper guide rail Simple/Blue 2m (for laminate 18mm) white gloss</t>
  </si>
  <si>
    <t>SEVROLL 04943 upper guide rail Simple/Blue 3m (for laminate 18mm) white gloss</t>
  </si>
  <si>
    <t>SEVROLL 04929 connecting strip Simple/Blue H21 3m (for mat 18mm) white gloss</t>
  </si>
  <si>
    <t>SEVROLL 04932 connecting strip Simple/Blue H28 3m (for 18mm) white gloss</t>
  </si>
  <si>
    <t>SEVROLL 04934 Blue-V lower line 2m white gloss</t>
  </si>
  <si>
    <t>SEVROLL 04935 Blue-V lower line 3m white gloss</t>
  </si>
  <si>
    <t>SEVROLL 04936 Blue-V lower line 6m white gloss</t>
  </si>
  <si>
    <t>SEVROLL 04937 Blue upper line 2m white gloss</t>
  </si>
  <si>
    <t>SEVROLL 04938 Blue upper line 3m white gloss</t>
  </si>
  <si>
    <t>SEVROLL 04939 Blue upper line 6m white gloss</t>
  </si>
  <si>
    <t>SEVROLL 04921 Lynx handle profile, 2.7m silver</t>
  </si>
  <si>
    <t>SEVROLL 04920 Lynx handle profile,  2.7m olive</t>
  </si>
  <si>
    <t>SEVROLL 05153 Alfa II mounting bar 16/18mm 2.7m white matt</t>
  </si>
  <si>
    <t>SEVROLL 05081 Elegant II lower guide 1.7m white mat</t>
  </si>
  <si>
    <t>SEVROLL 05160 Elegant II lower guide 2.35m white mat</t>
  </si>
  <si>
    <t>SEVROLL 05161 Elegant II lower guide 4.05m white mat</t>
  </si>
  <si>
    <t>SEVROLL 05162 Elegant II lower line 6m white mat</t>
  </si>
  <si>
    <t>S-S80 brake</t>
  </si>
  <si>
    <t>S-S40/80/100 lead</t>
  </si>
  <si>
    <t>SEVROLL 40265 Simple template for trolleys for laminate 18mm</t>
  </si>
  <si>
    <t>SEVROLL 10218 upper trolley Blue (for laminate 18mm) frame L+P (promotion)</t>
  </si>
  <si>
    <t>SEVROLL 10223 04512 Simple/Blue V undercarriage (frame system) - 2 pcs</t>
  </si>
  <si>
    <t>SEVROLL 05307 Fox II handle profile, 2.7m black mat</t>
  </si>
  <si>
    <t>SEVROLL 10227-SV Eden fittings set for two doors</t>
  </si>
  <si>
    <t>SEVROLL 10226-SV Eden fitting set for interior doors</t>
  </si>
  <si>
    <t>SEVROLL 04715 Eden overhead line 1.7m silver</t>
  </si>
  <si>
    <t>SEVROLL 04717 Eden overhead line 1.7m white gloss</t>
  </si>
  <si>
    <t>SEVROLL 04716 Eden overhead line 2.35m silver</t>
  </si>
  <si>
    <t>SEVROLL 04718 Eden overhead line 2.35m white gloss</t>
  </si>
  <si>
    <t>SEVROLL 04697 Eden overhead line 3m silver</t>
  </si>
  <si>
    <t>SEVROLL 04698 Eden overhead line 3m white gloss</t>
  </si>
  <si>
    <t>SEVROLL 04728 Eden overhead line 6m silver</t>
  </si>
  <si>
    <t>SEVROLL 04727 Eden overhead line 6m white gloss</t>
  </si>
  <si>
    <t>SEVROLL 04721 Eden horizontal bar 1.7m silver</t>
  </si>
  <si>
    <t>SEVROLL 04725 Eden XL horizontal bar 1.7m silver</t>
  </si>
  <si>
    <t>SEVROLL 04723 Eden XL horizontal rail 1.7m white gloss</t>
  </si>
  <si>
    <t>SEVROLL 04719 Eden horizontal bar 1.7m white gloss</t>
  </si>
  <si>
    <t>SEVROLL 04720 Eden horizontal rail 2.35m white gloss</t>
  </si>
  <si>
    <t>SEVROLL 04724 Eden XL horizontal bar 2.35m white gloss</t>
  </si>
  <si>
    <t>SEVROLL 04726 Eden XL horizontal bar 2.35m silver</t>
  </si>
  <si>
    <t>SEVROLL 04722 Eden horizontal bar 2.35m silver</t>
  </si>
  <si>
    <t>SEVROLL 04686 Eden horizontal bar 3m silver</t>
  </si>
  <si>
    <t>SEVROLL 04688 Eden XL horizontal bar 3m silver</t>
  </si>
  <si>
    <t>SEVROLL 04689 Eden XL horizontal bar 3m white gloss</t>
  </si>
  <si>
    <t>SEVROLL 04687 Eden horizontal bar 3m white gloss</t>
  </si>
  <si>
    <t>SEVROLL 04749 Eden top cap 1.1m silver</t>
  </si>
  <si>
    <t>V-SEVROLL decorative strip S10 3m silver</t>
  </si>
  <si>
    <t>V-SEVROLL decorative strip S20 3m silver</t>
  </si>
  <si>
    <t>S-Softclose Simple S60 T25 silencer</t>
  </si>
  <si>
    <t>SU profile for laminate 18mm 2m silver</t>
  </si>
  <si>
    <t>S-butting profile 28mm 2m silver</t>
  </si>
  <si>
    <t>SEVROLL 10024-SV ZR18 kit for hinged doors</t>
  </si>
  <si>
    <t>Guide mandrel Omge 1390/1400 gray</t>
  </si>
  <si>
    <t>Toilet Al anox profile upper 13/18 mm for cubicles, length 3.2 m</t>
  </si>
  <si>
    <t>WC Al anox profile upper 10/25 mm for cubicles, length 3.2 m</t>
  </si>
  <si>
    <t>S-Softclose Simple S60 T40 silencer</t>
  </si>
  <si>
    <t>S-Softclose Simple S60 T60 silencer</t>
  </si>
  <si>
    <t>IC-upper line EU 4m champagne</t>
  </si>
  <si>
    <t>IC-bottom line EU 4m champagne</t>
  </si>
  <si>
    <t>IC-set of upper carriages (2 pcs) for Rome</t>
  </si>
  <si>
    <t>IC-set of lower carriages (2 pcs) for Rome</t>
  </si>
  <si>
    <t>S-S45-front door cover 2m silver</t>
  </si>
  <si>
    <t>IC-stop brush plug-in 14.5x4mm</t>
  </si>
  <si>
    <t>SEVROLL 20265-SV fitting kit for Mini shock absorber</t>
  </si>
  <si>
    <t>Sample book of file holder strips SALE</t>
  </si>
  <si>
    <t>SEVROLL 04709 Herakles cover profile Herakles 3m</t>
  </si>
  <si>
    <t>SEVROLL 50513 Herakles overhead line 3m raw</t>
  </si>
  <si>
    <t>SEVROLL 10216 Herakles 80 kg fitting set ZPH-18 for 1 wing</t>
  </si>
  <si>
    <t>SEVROLL 10228 Herakles upper guide holder Herakles</t>
  </si>
  <si>
    <t>DI bottom carriage</t>
  </si>
  <si>
    <t>DI top carriage</t>
  </si>
  <si>
    <t>SEVROLL 10066-SV fitting set ZSE-10</t>
  </si>
  <si>
    <t>S-S50 top bar aluminum raw 2m</t>
  </si>
  <si>
    <t>S-S50 top bar aluminum raw 3m</t>
  </si>
  <si>
    <t>S-S50 bottom bar aluminum raw 2m</t>
  </si>
  <si>
    <t>S-set fitting S65-2</t>
  </si>
  <si>
    <t>S-profile S10 silver elox 2,7m</t>
  </si>
  <si>
    <t>StrongLine Doors brace max. 2250mm black</t>
  </si>
  <si>
    <t>StrongLine Door reinforcement max. 2250mm white</t>
  </si>
  <si>
    <t>Swatches of grab rails 2017 catalog SALE</t>
  </si>
  <si>
    <t>S-Softclose S60/S60N (Slidix T40) silencer</t>
  </si>
  <si>
    <t>SEVROLL 05298 angle Mini 17x11mm 3m black mat</t>
  </si>
  <si>
    <t>SEVROLL 05315 Gemini upper line 3m black mat</t>
  </si>
  <si>
    <t>SEVROLL 05310 Elegant II bottom line 3m black mat</t>
  </si>
  <si>
    <t>S-profile S22 2,7m silver</t>
  </si>
  <si>
    <t>S-S55 upper and middle crossbar 2.5m silver</t>
  </si>
  <si>
    <t>S-S55 lower bar 2.5m silver</t>
  </si>
  <si>
    <t>S-S06N lower guide profile 2.5m silver</t>
  </si>
  <si>
    <t>S-set fitting S90-W1 inox 2,0m</t>
  </si>
  <si>
    <t>SEVROLL 05305 Alfa II mounting bar 16/18mm 2.7m black matt</t>
  </si>
  <si>
    <t>S-set of fittings S80SC additional</t>
  </si>
  <si>
    <t>S-set fitting S36</t>
  </si>
  <si>
    <t>SEVROLL 222522 Linea clothes rail oval 3m silver</t>
  </si>
  <si>
    <t>SEVROLL 222829 Linea connecting element corner</t>
  </si>
  <si>
    <t>SEVROLL 222828 Linea wall fixing element</t>
  </si>
  <si>
    <t>SEVROLL 222835 Linea leg with regulation</t>
  </si>
  <si>
    <t>SEVROLL 04037 Linea clothes rail round 16mm 3m aluminum silver</t>
  </si>
  <si>
    <t>SEVROLL 04036 Linea clothes rail round 4m silver</t>
  </si>
  <si>
    <t>SEVROLL 03422 Linea basic beam 3m silver</t>
  </si>
  <si>
    <t>SEVROLL 222826 Linea oval rod holder for beam</t>
  </si>
  <si>
    <t>SEVROLL 222827 Linea shelf holder</t>
  </si>
  <si>
    <t>SEVROLL 222825 Linea shoe shelf holder</t>
  </si>
  <si>
    <t>SEVROLL 222836 Linea cover for round clothes rail</t>
  </si>
  <si>
    <t>SEVROLL 222837 Linea beam cover</t>
  </si>
  <si>
    <t>SEVROLL 222841 Linea set of 8 fixing angles</t>
  </si>
  <si>
    <t>S-S05-1-upper water profile single 3 m medium</t>
  </si>
  <si>
    <t>S-S55 upper and middle crossbar 3m silver</t>
  </si>
  <si>
    <t>WC Upper fixing clamp T 18 mm (without screws)</t>
  </si>
  <si>
    <t>WC Hinge left (screws) H70 18 mm (without screws)</t>
  </si>
  <si>
    <t>SEVROLL 04391 Harmony fittings set for two doors 2700mm, 18 - 45mm, 60 kg</t>
  </si>
  <si>
    <t>S-S06NN bottom profile 2.5m silver anodized</t>
  </si>
  <si>
    <t>S-profile S13B 2,7m silver elox</t>
  </si>
  <si>
    <t>S-set fitting SPS PV</t>
  </si>
  <si>
    <t>S-set fitting SPS ZV</t>
  </si>
  <si>
    <t>S-guide rail SPS for slanted doors 3m silver</t>
  </si>
  <si>
    <t>S-S06N-lower guide profile 4.5m silver</t>
  </si>
  <si>
    <t>S-S05-upper guide profile 5m silver</t>
  </si>
  <si>
    <t>S-Flast top brush without lepidla 4,8x6mm grey</t>
  </si>
  <si>
    <t>SEVROLL 214-820 U profile steel 6m silver</t>
  </si>
  <si>
    <t>sliding interior fitting 01499/2AM/27/1900/10 80kg</t>
  </si>
  <si>
    <t>Plug-in brush 6.7x7mm gray</t>
  </si>
  <si>
    <t>S-set fitting S65</t>
  </si>
  <si>
    <t>S-S05 top guide profile 3,5m silver</t>
  </si>
  <si>
    <t>S-S05 top vod profile 4m silver</t>
  </si>
  <si>
    <t>S-S06 lower aluminum guide profile 3m</t>
  </si>
  <si>
    <t>sliding interior fitting 1390 40kg</t>
  </si>
  <si>
    <t>sliding interior fitting 1391/120 40kg</t>
  </si>
  <si>
    <t>sliding interior fitting 1391/155 40kg</t>
  </si>
  <si>
    <t>sliding interior fitting 1391/190 40kg</t>
  </si>
  <si>
    <t>sliding interior fitting 1391/230 40kg</t>
  </si>
  <si>
    <t>sliding interior fitting 1391/280 40kg</t>
  </si>
  <si>
    <t>sliding interior fitting 1391/330 40kg</t>
  </si>
  <si>
    <t>SEVROLL 214-866 U profile steel 2m silver</t>
  </si>
  <si>
    <t>SEVROLL 134-126 center hinge spring silver</t>
  </si>
  <si>
    <t>S-Softclose S60/S60N - sheet</t>
  </si>
  <si>
    <t>S-set fitting S80SC with silencer</t>
  </si>
  <si>
    <t>SEVROLL 20179 profile cover Single + positioner</t>
  </si>
  <si>
    <t>S-profile S11 silver elox 2,7m</t>
  </si>
  <si>
    <t>WC Closer with occupied/free indicator 12-18 mm</t>
  </si>
  <si>
    <t>WC Closer with occupied/free indicator, for offset hinge, for laminate 12 mm</t>
  </si>
  <si>
    <t>WC Door stop</t>
  </si>
  <si>
    <t>WC Door handle H38</t>
  </si>
  <si>
    <t>WC bracket (attached to the wall)</t>
  </si>
  <si>
    <t>WC Hinge left (screws) H70 12 mm</t>
  </si>
  <si>
    <t>WC Hinge right (screws) H70 12 mm</t>
  </si>
  <si>
    <t>WC Hinge left (screws) SH70 12 mm</t>
  </si>
  <si>
    <t>WC Hinge right (screws) SH70 12 mm</t>
  </si>
  <si>
    <t>WC Hinge left offset (screws) VSH70</t>
  </si>
  <si>
    <t>WC Hinge right offset (screws) VSH70</t>
  </si>
  <si>
    <t>WC Connecting pipe 32 mm - 3 m</t>
  </si>
  <si>
    <t>WC Attaching the pipe to the wall</t>
  </si>
  <si>
    <t>WC Corner pipe joint 90 degrees</t>
  </si>
  <si>
    <t>WC Pipe connector T</t>
  </si>
  <si>
    <t>WC upper fixing clamp 90° for KD 12mm</t>
  </si>
  <si>
    <t>S-S15 mounting profile + aluminum cover profile 2.7m</t>
  </si>
  <si>
    <t>S-set fitting S55A</t>
  </si>
  <si>
    <t>IC-coupling for slanted Comfort aluminum doors</t>
  </si>
  <si>
    <t>S-Flast top brush 13x5mm grey</t>
  </si>
  <si>
    <t>IC-mounting rail Portland 10mm 2.7m silver</t>
  </si>
  <si>
    <t>S-doubleside silencer Slidix Centro T25 S55/S60/S65</t>
  </si>
  <si>
    <t>IC-bottom line 3m arctic silver</t>
  </si>
  <si>
    <t>IC-horizontal bar 10mm 2.4m arctic silver</t>
  </si>
  <si>
    <t>S-S06NN bottom profile 3m anodized silver</t>
  </si>
  <si>
    <t>S-Softclose S60/S60N (Slidix T25) silencer</t>
  </si>
  <si>
    <t>SEVROLL 221-022 set Apollo 2/756</t>
  </si>
  <si>
    <t>SEVROLL 10067-SV fitting set ZSE-10 Plus</t>
  </si>
  <si>
    <t>SEVROLL 10069-SV fitting set ZSE-18</t>
  </si>
  <si>
    <t>SEVROLL 10068-SV fitting set ZSE-18 Plus</t>
  </si>
  <si>
    <t>SEVROLL 10084-SV fitting set ZSE-18 U Plus</t>
  </si>
  <si>
    <t>IC-upper line simple 2m silver</t>
  </si>
  <si>
    <t>IC-upper line simple 3m silver</t>
  </si>
  <si>
    <t>IC-bottom line simple 2m silver</t>
  </si>
  <si>
    <t>IC-bottom line simple 3m silver</t>
  </si>
  <si>
    <t>IC-bottom line simple 5m silver</t>
  </si>
  <si>
    <t>S-S06N bottom guide profile 3m silver</t>
  </si>
  <si>
    <t>S-S06N cover profile (mask) 3m silver</t>
  </si>
  <si>
    <t>DI upper monorail 5m olive</t>
  </si>
  <si>
    <t>PROFILE S08 SILVER 2.7 M</t>
  </si>
  <si>
    <t>S-S03 guide profile aluminum anodized 2.5 m</t>
  </si>
  <si>
    <t>S-S03 guide profile alu anodized 3m</t>
  </si>
  <si>
    <t>S-profile S30 double anodized 4.5m</t>
  </si>
  <si>
    <t>S-brush antidust high 6,7x12mm grey</t>
  </si>
  <si>
    <t>S-Softclose S60/S60N (Slidix T60) silencer</t>
  </si>
  <si>
    <t>S-S06-lower guide profile 2m alu</t>
  </si>
  <si>
    <t>S-S06 lower guide profile 3.5m silver</t>
  </si>
  <si>
    <t>SEVROLL 01257 ZR10 swing door set</t>
  </si>
  <si>
    <t>S-S05 upper guide profile 2m silver</t>
  </si>
  <si>
    <t>S-S05 upper guide profile 2.5m silver</t>
  </si>
  <si>
    <t>S-S05 top guide profile 3m silver</t>
  </si>
  <si>
    <t>S-S06N bottom guide profile 2m silver</t>
  </si>
  <si>
    <t>S-S06 lower guide profile 2.5m silver</t>
  </si>
  <si>
    <t>S-S06 lower aluminum guide profile 4m</t>
  </si>
  <si>
    <t>S-S10 Handle profile + cover profile alu 2,7m</t>
  </si>
  <si>
    <t>S-S65 top a medium-strong profile 4/18mm 2m silver</t>
  </si>
  <si>
    <t>S-S65 top a medium-strong profile 4/18mm 3m silver</t>
  </si>
  <si>
    <t>S-S65 bottom profile 4/18mm 2m silver</t>
  </si>
  <si>
    <t>S-S65 bottom profile 4/18mm 3m silver</t>
  </si>
  <si>
    <t>S-set fittings S60</t>
  </si>
  <si>
    <t>S-S06N aluminum cover profile 2.5m</t>
  </si>
  <si>
    <t>S-S65 lower profile 4/18mm 3.5m silver</t>
  </si>
  <si>
    <t>S-S06NN lower aluminum guide profile 3.5m</t>
  </si>
  <si>
    <t>S-S65 upper and middle profile 3.5m silver</t>
  </si>
  <si>
    <t>S-S65-bottom profile 4/18mm 3.5m silver</t>
  </si>
  <si>
    <t>Domino set 3 wings max. 21mm 50kg</t>
  </si>
  <si>
    <t>Domino set 3 wings max. 28mm 50kg</t>
  </si>
  <si>
    <t>Domino set of 2 dampers 40 Nm</t>
  </si>
  <si>
    <t>Domino upper line aluminum elox 3m</t>
  </si>
  <si>
    <t>Domino lower line aluminum elox 3m</t>
  </si>
  <si>
    <t>IC-bar Standard 10mm wenge 2,75m</t>
  </si>
  <si>
    <t>IC-top guide WE 10mm wenge 2m</t>
  </si>
  <si>
    <t>IC-bottom guide wenge 2m</t>
  </si>
  <si>
    <t>IC-10mm horizontal bar wenge 2,4m</t>
  </si>
  <si>
    <t>IC-cover strip 14mm 3,6m anodized champagne</t>
  </si>
  <si>
    <t>IC-Dividing profile WE wenge 2,75m</t>
  </si>
  <si>
    <t>K-HAWA Frontino 40 H FS type S 1200-1799mm fitting set + guide</t>
  </si>
  <si>
    <t>K-HAWA Frontino 40 H FS type M 1800-2199mm fitting set + guide</t>
  </si>
  <si>
    <t>K-HAWA Frontino 40 H FS type L 2200-2400mm fitting set + guide</t>
  </si>
  <si>
    <t>S-S20 / 30 alu double profile 6m anodized</t>
  </si>
  <si>
    <t>SEVROLL 222618 Wilson rod holder</t>
  </si>
  <si>
    <t>SEVROLL 222615 Wilson beam 2108mm silver</t>
  </si>
  <si>
    <t>SEVROLL 222616 Wilson bracket 300mm silver</t>
  </si>
  <si>
    <t>SEVROLL 222617 Wilson bracket 500mm silver</t>
  </si>
  <si>
    <t>SEVROLL 222619 Wilson rod diameter 25mm 1.2m silver</t>
  </si>
  <si>
    <t>SEVROLL 222620 Wilson mounting clip silver</t>
  </si>
  <si>
    <t>SEVROLL 222621 Wilson Rod End Cap</t>
  </si>
  <si>
    <t>IC-grip bar Standard 2.75m 4mm arctic silver</t>
  </si>
  <si>
    <t>IC-set carriages Standard/Classic 1 wing</t>
  </si>
  <si>
    <t>S-S05 upper guide profile 1.5m silver</t>
  </si>
  <si>
    <t>S-S06NN bottom profile 1.5m silver anodized</t>
  </si>
  <si>
    <t>S-S06N cover profile (mask) 1.5m silver</t>
  </si>
  <si>
    <t>S-S65 upper and middle profile 2.5m silver</t>
  </si>
  <si>
    <t>S-S65 lower profile 4/18mm 2.5m silver</t>
  </si>
  <si>
    <t>S-alu profile S30 double raw 3m</t>
  </si>
  <si>
    <t>Ledge holder 1390 (40kg)</t>
  </si>
  <si>
    <t>StrongLine sliding fittings 1030 2 doors</t>
  </si>
  <si>
    <t>StrongLine Systems for built-in cabinets 1030 - 3 leaves</t>
  </si>
  <si>
    <t>IC-4mm strip vertical wide (Classic) white 2.75m</t>
  </si>
  <si>
    <t>IC-10mm strip vertical wide (Classic) white 2.75m</t>
  </si>
  <si>
    <t>IC-rail upper white 3m</t>
  </si>
  <si>
    <t>IC-rail lower white 3m</t>
  </si>
  <si>
    <t>IC-4mm guide rail white 2.4m</t>
  </si>
  <si>
    <t>IC-mounting rail Rome 10mm alu EU champagne 5.3m</t>
  </si>
  <si>
    <t>SEVROLL Victoria II mounting rail 18mm 2.7m RAL7015 mat</t>
  </si>
  <si>
    <t>SEVROLL Gemini overhead line 3m RAL7015 mat</t>
  </si>
  <si>
    <t>SEVROLL Elegant II lower guide 3m RAL7015 mat</t>
  </si>
  <si>
    <t>SEVROLL connecting strip H18 3m RAL7015 mat</t>
  </si>
  <si>
    <t>SEVROLL 20006 safety film 500mm/400m black</t>
  </si>
  <si>
    <t>SEVROLL 20258-SV shock absorber Mini SV40 (25 - 40kg) - 2 pcs (promotion)</t>
  </si>
  <si>
    <t>SEVROLL 10236 2x lower carriage WD18V without positioner with spring (promotion)</t>
  </si>
  <si>
    <t>SEVROLL 05747 lower cover strip Simple/Blue 2m (for laminate 18mm) black mat</t>
  </si>
  <si>
    <t>SEVROLL 05748 lower cover strip Simple/Blue 3m (for laminate 18mm) black mat</t>
  </si>
  <si>
    <t>SEVROLL 05749 upper guide bar Simple/Blue 2m (for laminate 18mm) black mat</t>
  </si>
  <si>
    <t>SEVROLL 05750 upper guide rail Simple/Blue 3m (for laminate 18mm) black mat</t>
  </si>
  <si>
    <t>SEVROLL 05746 connecting strip Simple/Blue H21 3m (for laminate 18mm) black mat</t>
  </si>
  <si>
    <t>SEVROLL 05745 Era mounting bar 18mm 2.70m black mat</t>
  </si>
  <si>
    <t>SEVROLL 05909 Rekord mounting bar 18mm 2.70m black mat</t>
  </si>
  <si>
    <t>SEVROLL 05751 Blue-V bottom line 2m black mat</t>
  </si>
  <si>
    <t>SEVROLL 05752 Blue-V bottom line 3m black mat</t>
  </si>
  <si>
    <t>SEVROLL 05753 Blue-V bottom line 6m black mat</t>
  </si>
  <si>
    <t>SEVROLL 05754 Blue top line 2m black mat</t>
  </si>
  <si>
    <t>SEVROLL 05755 Blue top line 3m black mat</t>
  </si>
  <si>
    <t>SEVROLL 05756 Blue upper line 6m black mat</t>
  </si>
  <si>
    <t>SEVROLL 05808 Concordia fittings set for two doors, 1150-1750mm, 15-22mm, 20 kg</t>
  </si>
  <si>
    <t>SEVROLL 05809 Concordia fittings set for two doors, 1750-2350mm, 15-22mm, 20 kg</t>
  </si>
  <si>
    <t>K-SEVROLL Alfa II handle. rail 18 mm,2.70 m,silver+5x upper+5x lower carriage</t>
  </si>
  <si>
    <t>K-SEVROLL Focus II handle. rail 18 mm,2.70 m,silver+5x upper+5x lower carriage</t>
  </si>
  <si>
    <t>K-SEVROLL Alfa II handle. rail 18 mm,2.70 m,silver+upper/lower carriage+guide</t>
  </si>
  <si>
    <t>K-SEVROLL Focus II handle. rail 18 mm, 2.70 m, silver+upper/lower carriage+guide</t>
  </si>
  <si>
    <t>SEVROLL 05784 Porto GM 18 mounting rail 2.7m silver</t>
  </si>
  <si>
    <t>SEVROLL 05785 Porto GM 18 mounting bar 3m silver</t>
  </si>
  <si>
    <t>SEVROLL 05787 Porto GM 18 grip bar 3m olive</t>
  </si>
  <si>
    <t>SEVROLL 05786 Porto GM 18 grab rail 2.7m olive</t>
  </si>
  <si>
    <t>SEVROLL 05790 Prosper GM 18 mounting rail 2.7m silver</t>
  </si>
  <si>
    <t>SEVROLL 05791 Prosper GM 18 mounting rail 2.7m olive</t>
  </si>
  <si>
    <t>SEVROLL 05788 Arte GM 18 mounting bar 18mm 2.7m silver</t>
  </si>
  <si>
    <t>SEVROLL 05789 Arte GM 18 mounting bar 18mm 2.7m olive</t>
  </si>
  <si>
    <t>SEVROLL 05910 Arte GM 18 mounting rail 18mm 2.7m black matt</t>
  </si>
  <si>
    <t>SEVROLL 05903 Focus II 18mm mounting bar 2.7m black mat</t>
  </si>
  <si>
    <t>SEVROLL 05900 Fox II mounting rail 2.7m white mat</t>
  </si>
  <si>
    <t>SEVROLL 04831 Pax XL mounting rail 2.7m black mat</t>
  </si>
  <si>
    <t>SEVROLL 04832 Pax XL mounting rail 3m black mat</t>
  </si>
  <si>
    <t>SEVROLL 04415 Pax XL mounting bar 3m silver</t>
  </si>
  <si>
    <t>SEVROLL 01706 Slim Line II frame rail 18mm 2.7m olive</t>
  </si>
  <si>
    <t>SEVROLL 02549 Secret Line II frame rail 18mm 2.7m olive</t>
  </si>
  <si>
    <t>SEVROLL 05744 Secret Line II frame bar 18mm 2.7m black mat</t>
  </si>
  <si>
    <t>SEVROLL 05982 Vitara grab rail 2.7m black mat</t>
  </si>
  <si>
    <t>Sevroll 05000 Lux III grab rail 2.7m gold</t>
  </si>
  <si>
    <t>Sevroll 81002 Lux III mounting rail 3m silver</t>
  </si>
  <si>
    <t>SEVROLL 02782 Beta 16mm mounting rail 2.70m olive</t>
  </si>
  <si>
    <t>SEVROLL 04417 Pax XL mounting rail 3m white gloss</t>
  </si>
  <si>
    <t>Sevroll 85622 Lux III grab rail 3m olive</t>
  </si>
  <si>
    <t>Sevroll 05001 Lux III grab rail 3m gold</t>
  </si>
  <si>
    <t>SEVROLL 02336 decorative strip S10 3m black mat</t>
  </si>
  <si>
    <t>SEVROLL 06033 "U" profile for laminate 18mm 3m graphite</t>
  </si>
  <si>
    <t>SEVROLL 06034 angle Mini 17x11mm 1.7m graphite</t>
  </si>
  <si>
    <t>SEVROLL 06035 angle Mini 17x11mm 2.35m graphite</t>
  </si>
  <si>
    <t>SEVROLL 06036 angle Mini 17x11mm 3m graphite</t>
  </si>
  <si>
    <t>SEVROLL 06037 Gemini 10 bottom cover bar 1.7m 10mm graphite</t>
  </si>
  <si>
    <t>SEVROLL 06038 Gemini 10 bottom cover bar 2.35m 10mm graphite</t>
  </si>
  <si>
    <t>SEVROLL 05967 Gemini 10 bottom cover strip 3m 10mm graphite</t>
  </si>
  <si>
    <t>SEVROLL 06039 upper guide rail 1.7m graphite</t>
  </si>
  <si>
    <t>SEVROLL 06040 upper guide rail 2.35m graphite</t>
  </si>
  <si>
    <t>SEVROLL 05966 upper guide rail 3m graphite</t>
  </si>
  <si>
    <t>SEVROLL 05971 connecting rail H10 3m graphite</t>
  </si>
  <si>
    <t>SEVROLL 06041 connecting rail H18 3m graphite</t>
  </si>
  <si>
    <t>SEVROLL 06053 Alfa II handle bar 16/18 mm, 2.7 m graphite</t>
  </si>
  <si>
    <t>SEVROLL 06019 Fox II grip bar 2.7m graphite</t>
  </si>
  <si>
    <t>SEVROLL 06042 Elegant II bottom line 1.7m graphite</t>
  </si>
  <si>
    <t>SEVROLL 06043 Elegant II bottom line 2.35m graphite</t>
  </si>
  <si>
    <t>SEVROLL 06020 Elegant II lower line 3m graphite</t>
  </si>
  <si>
    <t>SEVROLL 06021 Elegant II bottom line 4.05m graphite</t>
  </si>
  <si>
    <t>SEVROLL 06044 Elegant II lower line 6m graphite</t>
  </si>
  <si>
    <t>SEVROLL 06045 Gemini upper line 1.7m graphite</t>
  </si>
  <si>
    <t>SEVROLL 06046 Gemini upper line 2.35m graphite</t>
  </si>
  <si>
    <t>SEVROLL 06022 Gemini upper line 3m graphite</t>
  </si>
  <si>
    <t>SEVROLL 06023 Gemini upper line 4.05m graphite</t>
  </si>
  <si>
    <t>SEVROLL 06047 Gemini upper line 6m graphite</t>
  </si>
  <si>
    <t>SEVROLL 06048 mask Elegant II 1.7m graphite</t>
  </si>
  <si>
    <t>SEVROLL 06049 mask Elegant II 2.35m graphite</t>
  </si>
  <si>
    <t>SEVROLL 06050 mask Elegant II 3m graphite</t>
  </si>
  <si>
    <t>SEVROLL 06051 mask Elegant II 4.05m graphite</t>
  </si>
  <si>
    <t>SEVROLL 06052 mask Elegant II 6m graphite</t>
  </si>
  <si>
    <t>SEVROLL 05801 GM 18 bottom cover bar 1.7m 18mm olive</t>
  </si>
  <si>
    <t>SEVROLL 05802 GM 18 bottom cover bar 2.35m 18mm olive</t>
  </si>
  <si>
    <t>SEVROLL 05803 GM 18 bottom cover bar 3m 18mm olive</t>
  </si>
  <si>
    <t>SEVROLL 05912 GM 18 bottom cover bar 1.7m 18mm black matt</t>
  </si>
  <si>
    <t>SEVROLL 05913 GM 18 bottom cover strip 2.35m 18mm black matt</t>
  </si>
  <si>
    <t>SEVROLL 05803 GM 18 lower cover strip 3m 18mm black mat</t>
  </si>
  <si>
    <t>SEVROLL 05798 GM 18 bottom cover strip 1.7m 18mm silver</t>
  </si>
  <si>
    <t>SEVROLL 05799 GM 18 bottom cover strip 2.35m 18mm silver</t>
  </si>
  <si>
    <t>SEVROLL 05800 GM 18 bottom cover strip 3m 18mm silver</t>
  </si>
  <si>
    <t>SEVROLL 05795 GM 18 upper guide rail 1.7m olive</t>
  </si>
  <si>
    <t>SEVROLL 05796 GM 18 upper guide rail 2.35m olive</t>
  </si>
  <si>
    <t>SEVROLL 05797 GM 18 upper guide rail 3m olive</t>
  </si>
  <si>
    <t>SEVROLL 05918 GM 18 upper guide rail 1.7m black mat</t>
  </si>
  <si>
    <t>SEVROLL 05919 GM 18 upper guide rail 2.35m black mat</t>
  </si>
  <si>
    <t>SEVROLL 05920 GM 18 upper guide rail 3m black mat</t>
  </si>
  <si>
    <t>SEVROLL 05792 GM 18 upper guide rail 1.7m silver</t>
  </si>
  <si>
    <t>SEVROLL 05793 GM 18 upper guide rail 2.35m silver</t>
  </si>
  <si>
    <t>SEVROLL 05794 GM 18 upper guide rail 3m silver</t>
  </si>
  <si>
    <t>SEVROLL 05805 GM 18 connecting rail H18 3m olive</t>
  </si>
  <si>
    <t>SEVROLL 05924 GM 18 connecting rail H18 3m black mat</t>
  </si>
  <si>
    <t>SEVROLL 05804 GM 18 connecting strip H18 3m silver</t>
  </si>
  <si>
    <t>SEVROLL 05807 GM 18 connecting rail H25 3m olive</t>
  </si>
  <si>
    <t>SEVROLL 05926 GM 18 connecting strip H25 3m black mat</t>
  </si>
  <si>
    <t>SEVROLL 05806 GM 18 connection rail H25 3m silver</t>
  </si>
  <si>
    <t>SEVROLL 05689 GM 18 top trolley frameless symmetrical - 2 pcs</t>
  </si>
  <si>
    <t>SEVROLL 05690 GM 18 top trolley frameless asymmetric - 2 pcs</t>
  </si>
  <si>
    <t>SEVROLL 05691 GM 18 top trolley frame asymmetric - 2 pcs</t>
  </si>
  <si>
    <t>SEVROLL sample book Handlebars 2023 - file</t>
  </si>
  <si>
    <t>SEVROLL 05942 upper guide rail 1.7m white mat</t>
  </si>
  <si>
    <t>SEVROLL 05943 upper guide rail 2.35m white mat</t>
  </si>
  <si>
    <t>SEVROLL 05944 upper guide rail 3m white mat</t>
  </si>
  <si>
    <t>SEVROLL 05939 Gemini 10 bottom cover strip 1.7m 10mm white matt</t>
  </si>
  <si>
    <t>SEVROLL 05940 Gemini 10 bottom cover bar 2.35m 10mm white matt</t>
  </si>
  <si>
    <t>SEVROLL 05941 Gemini 10 bottom cover bar 3m 10mm white mat</t>
  </si>
  <si>
    <t>SEVROLL 05181 connecting rail H10 3m white mat</t>
  </si>
  <si>
    <t>SEVROLL 06126 Fox II grab rail 2.7m black structural</t>
  </si>
  <si>
    <t>SEVROLL 06439 Gemini 10 bottom cover bar 1.7m 10mm black structural</t>
  </si>
  <si>
    <t>SEVROLL 06440 Gemini 10 bottom cover bar 2.35m 10mm black structural</t>
  </si>
  <si>
    <t>SEVROLL 06123 Gemini 10 bottom cover strip 3m 10mm black structural</t>
  </si>
  <si>
    <t>SEVROLL 06441 upper guide rail 1.7m black structural</t>
  </si>
  <si>
    <t>SEVROLL 06442 upper guide rail 2.35m black structural</t>
  </si>
  <si>
    <t>SEVROLL 06124 upper guide rail 3m black structural</t>
  </si>
  <si>
    <t>SEVROLL 06125 connecting rail H10 3m black structural</t>
  </si>
  <si>
    <t>SEVROLL 06269 Elegant II bottom line 1.7m black structural</t>
  </si>
  <si>
    <t>SEVROLL 06270 Elegant II bottom line 2.35m black structural</t>
  </si>
  <si>
    <t>SEVROLL 06271 Elegant II bottom line 3m black structural</t>
  </si>
  <si>
    <t>SEVROLL 06272 Elegant II bottom line 4.05m black structural</t>
  </si>
  <si>
    <t>SEVROLL 06128 Elegant II bottom line 6m black structural</t>
  </si>
  <si>
    <t>SEVROLL 06285 Gemini overhead line 1.7m black structural</t>
  </si>
  <si>
    <t>SEVROLL 06286 Gemini overhead line 2.35m black structural</t>
  </si>
  <si>
    <t>SEVROLL 06287 Gemini overhead line 3m black structural</t>
  </si>
  <si>
    <t>SEVROLL 06288 Gemini overhead line 4.05m black structural</t>
  </si>
  <si>
    <t>SEVROLL 06154 Gemini overhead line 6m black structural</t>
  </si>
  <si>
    <t>SEVROLL 06301 mask Elegant II 1.7m black structural</t>
  </si>
  <si>
    <t>SEVROLL 06302 mask Elegant II 2.35m black structural</t>
  </si>
  <si>
    <t>SEVROLL 06303 mask Elegant II 3m black structural</t>
  </si>
  <si>
    <t>SEVROLL 06304 mask Elegant II 4.05m black structural</t>
  </si>
  <si>
    <t>SEVROLL 06157 mask Elegant II 6m black structural</t>
  </si>
  <si>
    <t>SEVROLL 06370 Gemini grab rail 2.7m black structural</t>
  </si>
  <si>
    <t>SEVROLL 06438 Alfa II mounting bar 16/18mm 2.7m black structural</t>
  </si>
  <si>
    <t>SEVROLL 06434 angle Mini 17x11mm 1.7m black structural</t>
  </si>
  <si>
    <t>SEVROLL 06435 angle Mini 17x11mm 2.35m black structural</t>
  </si>
  <si>
    <t>SEVROLL 06436 angle Mini 17x11mm 3m black structural</t>
  </si>
  <si>
    <t>SEVROLL 06437 connecting rail H18 3m black structural</t>
  </si>
  <si>
    <t>Alfa II profil prises de main 100mm</t>
  </si>
  <si>
    <t>Alfa II handle bar 100 mm black matt</t>
  </si>
  <si>
    <t>Faworyt II profil prises de main 100mm</t>
  </si>
  <si>
    <t>Faworyt II Greifleiste</t>
  </si>
  <si>
    <t>Alfa II greifleiste</t>
  </si>
  <si>
    <t>Fox II profil prises de main 100mm</t>
  </si>
  <si>
    <t>Faworyt II handle bar 100 mm white matt</t>
  </si>
  <si>
    <t>Fox II handle bar 100 mm black gloss</t>
  </si>
  <si>
    <t>Fox II greifleiste</t>
  </si>
  <si>
    <t>Vitara profil prises de main 100mm</t>
  </si>
  <si>
    <t>Vitara greifleiste</t>
  </si>
  <si>
    <t>Lynx profil prises de main 100mm</t>
  </si>
  <si>
    <t>Lynx handle bar 100 mm olive</t>
  </si>
  <si>
    <t>Vitara handle bar 100 mm silver</t>
  </si>
  <si>
    <t>Lynx greifleiste</t>
  </si>
  <si>
    <t>Vitoria II profil prises de main 100mm</t>
  </si>
  <si>
    <t>Victoria II greifleiste</t>
  </si>
  <si>
    <t>Victoria II handle bar 100 mm olive dark brushed</t>
  </si>
  <si>
    <t>Small samples</t>
  </si>
  <si>
    <t>Alfa II handle bar 100 mm black structural</t>
  </si>
  <si>
    <t>Alfa II handle bar 100 mm graphite</t>
  </si>
  <si>
    <t>Kleine Profilproben</t>
  </si>
  <si>
    <t>5FR, 6EN, 7DE</t>
  </si>
  <si>
    <t>argent</t>
  </si>
  <si>
    <t>silver</t>
  </si>
  <si>
    <t>Silber</t>
  </si>
  <si>
    <t>or</t>
  </si>
  <si>
    <t>golden</t>
  </si>
  <si>
    <t>Golden</t>
  </si>
  <si>
    <t xml:space="preserve">olive </t>
  </si>
  <si>
    <t>olive</t>
  </si>
  <si>
    <t>Olive</t>
  </si>
  <si>
    <t>olive brossé</t>
  </si>
  <si>
    <t>brushed olive</t>
  </si>
  <si>
    <t>gebürstete Olive</t>
  </si>
  <si>
    <t xml:space="preserve">blanc brillant </t>
  </si>
  <si>
    <t>white gloss</t>
  </si>
  <si>
    <t>Weißer Glanz</t>
  </si>
  <si>
    <t>noir brossé brillant</t>
  </si>
  <si>
    <t>brushed black - gloss</t>
  </si>
  <si>
    <t>schwarz gebürstet glänzend</t>
  </si>
  <si>
    <t>olive brossé foncé</t>
  </si>
  <si>
    <t>brushed dark olive</t>
  </si>
  <si>
    <t xml:space="preserve">gebürste dunkel Olive </t>
  </si>
  <si>
    <t>noir brossé</t>
  </si>
  <si>
    <t>brushed black</t>
  </si>
  <si>
    <t>gebürstetes Schwarz</t>
  </si>
  <si>
    <t>noir brillant</t>
  </si>
  <si>
    <t>black gloss</t>
  </si>
  <si>
    <t>schwarz glänzend</t>
  </si>
  <si>
    <t>noir mat</t>
  </si>
  <si>
    <t>black matt</t>
  </si>
  <si>
    <t>mattschwarz</t>
  </si>
  <si>
    <t xml:space="preserve">blanc mat </t>
  </si>
  <si>
    <t>white matt</t>
  </si>
  <si>
    <t>mattweißer</t>
  </si>
  <si>
    <t>schwarz strukturell</t>
  </si>
  <si>
    <t>structurel noir</t>
  </si>
  <si>
    <t>black structural</t>
  </si>
  <si>
    <t>silber</t>
  </si>
  <si>
    <t>gebürstete olive</t>
  </si>
  <si>
    <t>gebürste dunkel olive</t>
  </si>
  <si>
    <t>weißer glanz</t>
  </si>
  <si>
    <t>le second guide de voie n'est pas nécessaire</t>
  </si>
  <si>
    <t>second track guide is not needed</t>
  </si>
  <si>
    <t>keine Notwendigkeit für eine zweite Leiste</t>
  </si>
  <si>
    <t>cet article est sur demande ; livraison prévue en 4 semaines</t>
  </si>
  <si>
    <t>this item is on demand; expected delivery 4 weeks</t>
  </si>
  <si>
    <t>Sonderanfertigung, bitte rechnen Sie mit 4 Wochen Lieferfrist</t>
  </si>
  <si>
    <t>non disponible dans cette couleur</t>
  </si>
  <si>
    <t>not available in this colour</t>
  </si>
  <si>
    <t>In dieser Farbe nicht verfügbar</t>
  </si>
  <si>
    <t xml:space="preserve">Pour le remplissage en verre/miroir, il est nécessaire de commander un joint supplémentaire. La longueur du joint pour une porte est de </t>
  </si>
  <si>
    <t xml:space="preserve">For glass / mirror as a leaf filling it is necessary to order a sealing additionally. Length of the sealing for one leaf is </t>
  </si>
  <si>
    <t>Wenn Sie Glas/Spiegel verwenden, ist es notwendig, eine Dichtung zu bestellen.Die Länge der Dichtungen für einen Flügel beträgt</t>
  </si>
  <si>
    <t xml:space="preserve">For glass / mirror (4 mm) as a leaf filling it is necessary to order a fixing wedge additionally. Recommended distance between two wedges is approx  20 cm. In case of using one-piece-filling for the leaf, for one leaf is needed  approx </t>
  </si>
  <si>
    <t>Wenn Sie Glas/Spiegel verwenden, ist es notwendig, Befestigungskeile zu bestellen. Die empfohlene Abstand beträgt 20 cm. Im Falle einer flächendeckenden Füllung werden für ein Flügel ca.... benötigt...</t>
  </si>
  <si>
    <t>Pour plusieurs portes avec vitrage il est necessaire de multiplier</t>
  </si>
  <si>
    <t>m, in case more glass leaves are in the set, it is needed to multiply accordingly</t>
  </si>
  <si>
    <t>Wenn es mehr verglaste Flügel gibt, ist es notwendig, zu multiplizieren</t>
  </si>
  <si>
    <t>pcs, in case more glass leaves are in the set, it is needed to multiply accordingly</t>
  </si>
  <si>
    <t>Longueur nécessaire d'un joint d'étanchéité  en cas de remplissage complet du verre (en mètres linéaires)</t>
  </si>
  <si>
    <t>Required length of a sealing in case of full-glass-filling used (order in gound meters)</t>
  </si>
  <si>
    <t>Quantité nécessaire de cales de fixation en cas de remplissage complet du verre (à commander par paquets de 40 pièces)</t>
  </si>
  <si>
    <t>Required amount of fixing wedges in case of full-glass-filling is used (order in packs -per 40 pcs)</t>
  </si>
  <si>
    <t>Benötigte Anzahl von Keilen beim Gesamteinglasen (muss als ganzes Paket bestellt werden)</t>
  </si>
  <si>
    <t>(en combinaison avec les profils H, il est nécessaire d'ajouter la longueur requise - le joint d'étanchéité  doit être appliqué sur toute la circonférence de chaque verre)</t>
  </si>
  <si>
    <t>(in combination with H profiles it is necessary to add required length - the sealing must be applied around the entire circumference of each glass)</t>
  </si>
  <si>
    <t>Bei Kombinationen mit H-Profilen muss die erforderliche Länge addiert werden - die Dichtung muss um den gesamten Umfang jeder Scheibe verlaufen.</t>
  </si>
  <si>
    <t>(en combinaison avec les profils H, il est nécessaire d'ajouter la longueur requise - les coins de fixation doivent être appliqués sur toute la circonférence de chaque verre)</t>
  </si>
  <si>
    <t>(in combination with H profiles it is necessary to add required length - the fixing wedges must be applied around the entire circumference of each glass)</t>
  </si>
  <si>
    <t>Bei Kombinationen mit H-Profilen muss die erforderliche Länge addiert werden - die Befestigungskeile mussen um den gesamten Umfang jeder Scheibe verlaufen.</t>
  </si>
  <si>
    <t>votre note:</t>
  </si>
  <si>
    <t>Your note:</t>
  </si>
  <si>
    <t>Ihre Notiz</t>
  </si>
  <si>
    <t>total (HT)</t>
  </si>
  <si>
    <t>TOTAL (without VAT)</t>
  </si>
  <si>
    <t>Ingesamt (ohne MwSt.)</t>
  </si>
  <si>
    <t>titre:</t>
  </si>
  <si>
    <t>name:</t>
  </si>
  <si>
    <t>Bezeichnung:</t>
  </si>
  <si>
    <t>pc</t>
  </si>
  <si>
    <t>pcs:</t>
  </si>
  <si>
    <t>Stückzahl:</t>
  </si>
  <si>
    <t>prix/pc</t>
  </si>
  <si>
    <t>price / pc:</t>
  </si>
  <si>
    <t>Preis je Stück:</t>
  </si>
  <si>
    <t>prix total</t>
  </si>
  <si>
    <t>price total:</t>
  </si>
  <si>
    <t>Gesamtpreis:</t>
  </si>
  <si>
    <t>prix net</t>
  </si>
  <si>
    <t>total net price:</t>
  </si>
  <si>
    <t>Gesamtnetto:</t>
  </si>
  <si>
    <t>remise partenaire:</t>
  </si>
  <si>
    <t>partner discount:</t>
  </si>
  <si>
    <t>Partnerrabatt:</t>
  </si>
  <si>
    <t>quincaillerie pour placard integré</t>
  </si>
  <si>
    <t>FITTING FOR BUILT-IN WARDROBE</t>
  </si>
  <si>
    <t>Beschläge für Einbauschränke</t>
  </si>
  <si>
    <t>Client:</t>
  </si>
  <si>
    <t>Customer:</t>
  </si>
  <si>
    <t>Kunde:</t>
  </si>
  <si>
    <t>Nom du client:</t>
  </si>
  <si>
    <t>Name of the Customer:</t>
  </si>
  <si>
    <t>Kundenname:</t>
  </si>
  <si>
    <t>Rue:</t>
  </si>
  <si>
    <t>Street:</t>
  </si>
  <si>
    <t>Strasse:</t>
  </si>
  <si>
    <t>Ville/code postale:</t>
  </si>
  <si>
    <t>City Code:</t>
  </si>
  <si>
    <t>Ort, Postleizahl:</t>
  </si>
  <si>
    <t>TVA:</t>
  </si>
  <si>
    <t>VAT Number:</t>
  </si>
  <si>
    <t>ID-Nummer:</t>
  </si>
  <si>
    <t>Discount:</t>
  </si>
  <si>
    <t>Rabatt:</t>
  </si>
  <si>
    <t>Note:</t>
  </si>
  <si>
    <t>Notiz:</t>
  </si>
  <si>
    <t xml:space="preserve">Remplisage épaisseur 10 mm (ou vitrage/miroir avec joint de compensation de 4 ou 6 mm) Porte avec encadrement </t>
  </si>
  <si>
    <t>Filling of thickness 10 mm (or glass / mirror applied with a sealing of thickness 4 or 6 mm) -  frame door</t>
  </si>
  <si>
    <t>Füllungsstärke 10 mm (oder Glas/Spiegel mit Dichtungsstärke 4 oder 6 mm) - Rahmentüren</t>
  </si>
  <si>
    <t xml:space="preserve">Remplisage épaisseur 4 mm (ou vitrage/miroir) Porte avec encadrement </t>
  </si>
  <si>
    <t>Filling of thickness 4 mm (glass / mirror) -  frame door</t>
  </si>
  <si>
    <t>Füllungsstärke 4 mm (oder Glas/Spiegel ) - Rahmentüren</t>
  </si>
  <si>
    <t xml:space="preserve">Remplisage épaisseur 18 mm (Panneau bois 18 mm ouou combinaison Paneau bois + vitrage/miroir) Porte avec encadrement </t>
  </si>
  <si>
    <t>Filling of thickness 18 mm (PB 18 mm, or combination PB + glass / mirror):</t>
  </si>
  <si>
    <t>Füllungsstärke 18 mm (Spanplatte 18 mm oder Kombination von Spanplatte + Glas/Spiegel)</t>
  </si>
  <si>
    <t>définire la quantité</t>
  </si>
  <si>
    <t>define amount</t>
  </si>
  <si>
    <t>hauteur</t>
  </si>
  <si>
    <t>height</t>
  </si>
  <si>
    <t>Höhe</t>
  </si>
  <si>
    <t>largeur</t>
  </si>
  <si>
    <t>width</t>
  </si>
  <si>
    <t>Breite</t>
  </si>
  <si>
    <t>amount of doors (door leaves)</t>
  </si>
  <si>
    <t>Anzahl der Türen</t>
  </si>
  <si>
    <t>couleur</t>
  </si>
  <si>
    <t>colour</t>
  </si>
  <si>
    <t>Farbe</t>
  </si>
  <si>
    <t>type de rail au sol</t>
  </si>
  <si>
    <t>type of bottom track guide system</t>
  </si>
  <si>
    <t>Typ der unteren Führung</t>
  </si>
  <si>
    <t>Dans le cas d´un remplisage en verre</t>
  </si>
  <si>
    <t>In case glass is used as leaf filling</t>
  </si>
  <si>
    <t>im Falle der Verwendung von Glas als Füllstoff</t>
  </si>
  <si>
    <t>il est nécessaire d´employer un vitrage sécurit</t>
  </si>
  <si>
    <t>it is necessary to apply a safety glass</t>
  </si>
  <si>
    <t>es ist notwendig, Sicherheitsglas zu verwenden</t>
  </si>
  <si>
    <t>ou de sécuriser le vitrage avec un film de protection</t>
  </si>
  <si>
    <t>or secure the glass with a protective foil on the glass</t>
  </si>
  <si>
    <t>Pour porte avec remplisage verre ou miroir</t>
  </si>
  <si>
    <t>For door filling made of glass or mirror</t>
  </si>
  <si>
    <t>Poids maximal de la porte  50 kg</t>
  </si>
  <si>
    <t>Maximum weight of the door leaf is 50 kg</t>
  </si>
  <si>
    <t>Poids maximal de la porte  35 kg</t>
  </si>
  <si>
    <t>Maximum weight of the door leaf is 35 kg</t>
  </si>
  <si>
    <t>il est nécessaire de remplir les 5 cellules!!!dimension en mm</t>
  </si>
  <si>
    <t>fill in these 5 boxes !!! data in mm</t>
  </si>
  <si>
    <t>il est nécessaire de remplir les 4 cellules!!!dimension en mm</t>
  </si>
  <si>
    <t>fill in these 4  boxes !!! data in mm</t>
  </si>
  <si>
    <t>es ist notwendig die folgenden 4 Felder ausfüllen. Angaben in mm</t>
  </si>
  <si>
    <t>battant de porte</t>
  </si>
  <si>
    <t>door leaf</t>
  </si>
  <si>
    <t>Türflügel</t>
  </si>
  <si>
    <t>dimension de remplissage 18 mm</t>
  </si>
  <si>
    <t>dimension of filling 18 mm</t>
  </si>
  <si>
    <t>Füllmaß 18 mm</t>
  </si>
  <si>
    <t>dimension de remplissage 12 mm</t>
  </si>
  <si>
    <t>dimension of filling 12 mm</t>
  </si>
  <si>
    <t>Füllmaß 12 mm</t>
  </si>
  <si>
    <t>dimension de miroir/ paneau bois 12 mm</t>
  </si>
  <si>
    <t>dimension of mirror / on PB 12 mm/</t>
  </si>
  <si>
    <t>Spiegelmaß/ auf Spanplatte 12mm</t>
  </si>
  <si>
    <t>longeur du profil prise de main (+ 2 mm)</t>
  </si>
  <si>
    <t>handle bar profile length (+ 2 mm)</t>
  </si>
  <si>
    <t>Länge des Greifprofils (+ 2 mm)</t>
  </si>
  <si>
    <t>soustraction supplémentaire de la hauteur des remplissages de porte calculés en cas d'utilisation de profilé de séparation/connection.</t>
  </si>
  <si>
    <t>additional substraction of the height of the calculated  door fillings when used divider profiles of the filling:</t>
  </si>
  <si>
    <t>Zusätzliche Ablesungen der Höhe der berechneten Füllungen bei Verwendung von Teilerprofilen.</t>
  </si>
  <si>
    <t>H18, T-profilé = 2 mm</t>
  </si>
  <si>
    <t xml:space="preserve">H18, T profile = 2 mm </t>
  </si>
  <si>
    <t>H18, T Profil = 2mm</t>
  </si>
  <si>
    <t>soustraction dans le cas d´un remplisage en verre  = 4mm (2 mm de chaque cotes)</t>
  </si>
  <si>
    <t>substraction when applied glass as door filling = 4 mm (2 mm each side)</t>
  </si>
  <si>
    <t>Abzug im Falle einer Glasfüllung = 4 mm (2 mm auf jeder Seite)</t>
  </si>
  <si>
    <t>voire l´image</t>
  </si>
  <si>
    <t>see the picture</t>
  </si>
  <si>
    <t>siehe Bild</t>
  </si>
  <si>
    <t>hauteur jusqu´a 3,5 m</t>
  </si>
  <si>
    <t>height up to 3,5 m !</t>
  </si>
  <si>
    <t>Höhe bis zu 3,5 m</t>
  </si>
  <si>
    <t>hauteur jusqu´a 3 m</t>
  </si>
  <si>
    <t>height up to 3 m !</t>
  </si>
  <si>
    <t>Höhe bis zu 3 m</t>
  </si>
  <si>
    <t>Il est nécessaire d'utiliser un film de protection(voir échantillon avec film de protection) Prix suivant choix du décor, certains décor sont disponibles uniquement à la commande.</t>
  </si>
  <si>
    <t>It is necessary to apply decorative foil (see sample book with decorative foils). The price depends on choosen decor, some decors are on demand.</t>
  </si>
  <si>
    <t>Dieses Set kann mit Dekorfolie versehen werden, siehe ein Musterbuch mit Folien. Der Preis hängt vom gewählten Dekor ab, einige Dekore sind auf Anfrage erhältlich.</t>
  </si>
  <si>
    <t>prix suivant choix du décor</t>
  </si>
  <si>
    <t>price according to decor</t>
  </si>
  <si>
    <t>Preis je nach Dekor</t>
  </si>
  <si>
    <t>systeme GM 18 (combination panneau bois  18 mm/verre) avec cadre</t>
  </si>
  <si>
    <t>system GM 18 (combination of PB 18 mm and glass) (with a frame)</t>
  </si>
  <si>
    <t>System GM 18(  Kombination aus Spanplatte 18mm und Glas) (mit Rahmen)</t>
  </si>
  <si>
    <t>simple (combination panneau bois 18 mm / verre)</t>
  </si>
  <si>
    <t xml:space="preserve">Simple (combination of PB 18 mm and glass) </t>
  </si>
  <si>
    <t xml:space="preserve">Simple ( Kombination aus Spanplatte 18mm und Glas) </t>
  </si>
  <si>
    <t>dimension de remplissage 16 mm</t>
  </si>
  <si>
    <t>dimension of the filling 16 mm</t>
  </si>
  <si>
    <t>Füllmaß 16mm</t>
  </si>
  <si>
    <t>Cette version ne peux pas etre combiné avec du vitrage/miroir</t>
  </si>
  <si>
    <t>Combination with glass / mirror is not applicable for this set</t>
  </si>
  <si>
    <t>In dieser Version kann nicht in Kombination mit Glas/Spiegel verwendet werden.</t>
  </si>
  <si>
    <t>Cet article est sur commande, veuillez prévoir 3 à 4 semaines pour le réapprovisionnement</t>
  </si>
  <si>
    <t>This item is on demand; expected delivery 3 -4 weeks</t>
  </si>
  <si>
    <t>Sonderanfertigung, bitte rechnen Sie mit 3- 4 Wochen Lieferfrist</t>
  </si>
  <si>
    <t>Accessoires en options:</t>
  </si>
  <si>
    <t>Optional accessories:</t>
  </si>
  <si>
    <t>domaine d´application</t>
  </si>
  <si>
    <t>the surface for application</t>
  </si>
  <si>
    <t>Anwendungsbereich</t>
  </si>
  <si>
    <t>film décoratif</t>
  </si>
  <si>
    <t>decorative foil</t>
  </si>
  <si>
    <t>Dekorfolien</t>
  </si>
  <si>
    <t>Systeme:(malette de présentation des profilés - a commander avec la réf. 494207)</t>
  </si>
  <si>
    <t>Systems  (use article Nr. 494207 to order the sample book)</t>
  </si>
  <si>
    <t>Systeme (Profilmuster bestellen Sie unter dem Code 494207 )</t>
  </si>
  <si>
    <t>DIMENSION INTERIEUR DU PLACARD:</t>
  </si>
  <si>
    <t>Inner dimensions of the wardrobe</t>
  </si>
  <si>
    <t>Innenmaß des Schranks</t>
  </si>
  <si>
    <t>dimension de remplissage 10 mm</t>
  </si>
  <si>
    <t>dimension of filling 10 mm</t>
  </si>
  <si>
    <t>Füllmaß 10 mm</t>
  </si>
  <si>
    <t>dimension de miroir/verre</t>
  </si>
  <si>
    <t>dimension of mirror / glass</t>
  </si>
  <si>
    <t>Glasmaß /Spiegelmaß</t>
  </si>
  <si>
    <t>longeur du rail haut et rail de guidage au sol</t>
  </si>
  <si>
    <t>length of guide and track guide of the leaf</t>
  </si>
  <si>
    <t>Länge der Führungs- und Abdeckleiste des Flügels</t>
  </si>
  <si>
    <t xml:space="preserve">rail haut/ rail de guidage  au sol </t>
  </si>
  <si>
    <t>upper / lower guide</t>
  </si>
  <si>
    <t>profil prises de main</t>
  </si>
  <si>
    <t>handle bar</t>
  </si>
  <si>
    <t>Greifleiste</t>
  </si>
  <si>
    <t>longeur du joint d'étanchéité de vitrage pour une porte</t>
  </si>
  <si>
    <t>length of the glass -sealing for one leaf</t>
  </si>
  <si>
    <t>Länge der Dichtung für das Glas an einem Flügel</t>
  </si>
  <si>
    <t xml:space="preserve">soustraction pour le joint : 2 mm/un coté </t>
  </si>
  <si>
    <t>substraction of the sealing : 2 mm /  side</t>
  </si>
  <si>
    <t>Abzug für Dichtungen: 2 mm/eine Seite</t>
  </si>
  <si>
    <t>Réf. article, prix:</t>
  </si>
  <si>
    <t>Article Nr.:, price:</t>
  </si>
  <si>
    <t>Bestellnummer, Preis:</t>
  </si>
  <si>
    <t>rail de guidage haut</t>
  </si>
  <si>
    <t>top track (guide)</t>
  </si>
  <si>
    <t xml:space="preserve">rail de guidage  au sol </t>
  </si>
  <si>
    <t>bottom track (guide)</t>
  </si>
  <si>
    <t>profilé cache vis  (masque):</t>
  </si>
  <si>
    <t>cover profile (mask)</t>
  </si>
  <si>
    <t>Abdeckprofil</t>
  </si>
  <si>
    <t>roulettes hautes (sets)</t>
  </si>
  <si>
    <t>top trolleys (sets)</t>
  </si>
  <si>
    <t>Obere Laufwagen (Sets)</t>
  </si>
  <si>
    <t>roulettes basses (set)</t>
  </si>
  <si>
    <t>bottom trolleys (set)</t>
  </si>
  <si>
    <t>Untere Laufwagen (Set)</t>
  </si>
  <si>
    <t>stoppeur /positionneur de porte pour rail bas</t>
  </si>
  <si>
    <t>bottom/ undercarriage positioner</t>
  </si>
  <si>
    <t>Unterer Positionierer</t>
  </si>
  <si>
    <t xml:space="preserve">positioner  </t>
  </si>
  <si>
    <t>Positioniervorrichtung</t>
  </si>
  <si>
    <t>stoppeur /positionneur de porte pour rail haut</t>
  </si>
  <si>
    <t>positioner for top trolley</t>
  </si>
  <si>
    <t>Positioniervorrichtung für die obere Führung</t>
  </si>
  <si>
    <t>brosse  fin de course</t>
  </si>
  <si>
    <t>stop brush</t>
  </si>
  <si>
    <t>Stoppbürste</t>
  </si>
  <si>
    <t>brosse laterale anti-poussiere</t>
  </si>
  <si>
    <t>anti-dust brush</t>
  </si>
  <si>
    <t>Staubbürste</t>
  </si>
  <si>
    <t>vis de fixation</t>
  </si>
  <si>
    <t>screw</t>
  </si>
  <si>
    <t>Verbindungsschraube</t>
  </si>
  <si>
    <t>profil de guidage haut (plafond)</t>
  </si>
  <si>
    <t>profile of top track frame (guide)</t>
  </si>
  <si>
    <t xml:space="preserve">profil horizontal inférieur pour encadrement </t>
  </si>
  <si>
    <t>profile of horizontal bottom track frame</t>
  </si>
  <si>
    <t>amortisseur soft close (paire) 25 KG</t>
  </si>
  <si>
    <t>shock absorber (pair) 25 kg</t>
  </si>
  <si>
    <t>Anschlagdämpfer (Paar) 25 kg</t>
  </si>
  <si>
    <t>amortisseur soft close (paire) 50 KG</t>
  </si>
  <si>
    <t>shock absorber (pair) 50 kg</t>
  </si>
  <si>
    <t>Anschlagdämpfer (Paar) 50 kg</t>
  </si>
  <si>
    <t>amortisseur soft close Simple (paire) 40 KG</t>
  </si>
  <si>
    <t>shock absorber Simple (pair) 40 kg</t>
  </si>
  <si>
    <t>Anschlagdämpfer Simple (Paar) 40 kg</t>
  </si>
  <si>
    <t>profilé de connection H10 - 3M</t>
  </si>
  <si>
    <t>connection profile H10 - 3 m</t>
  </si>
  <si>
    <t>Verbindungsprofil H10-3m</t>
  </si>
  <si>
    <t>profilé de connection H30 - 3M</t>
  </si>
  <si>
    <t>connection profile H30 - 3 m</t>
  </si>
  <si>
    <t>Verbindungsprofil H30-3m</t>
  </si>
  <si>
    <t>joint d'étanchéité pour vitrage 4 mm</t>
  </si>
  <si>
    <t>glass sealing 4 mm</t>
  </si>
  <si>
    <t>Glasdichtung 4mm</t>
  </si>
  <si>
    <t>joint d'étanchéité pour vitrage 4,5 mm</t>
  </si>
  <si>
    <t>glass sealing 4,5 mm</t>
  </si>
  <si>
    <t>Glasdichtung 4,5mm</t>
  </si>
  <si>
    <t>joint d'étanchéité pour vitrage 6 mm</t>
  </si>
  <si>
    <t>glass sealing 6 mm</t>
  </si>
  <si>
    <t>Glasdichtung 6mm</t>
  </si>
  <si>
    <t>joint d'étanchéité pour vitrage 4 mm asymétrique</t>
  </si>
  <si>
    <t>glass sealing 4 mm assymetrical</t>
  </si>
  <si>
    <t>Glasdichtung 4mm asymmetrisch</t>
  </si>
  <si>
    <t>rail haut :</t>
  </si>
  <si>
    <t>top track profile</t>
  </si>
  <si>
    <t>bottom track profile</t>
  </si>
  <si>
    <t>untere Profil:</t>
  </si>
  <si>
    <t>profilé cache vis = masquage</t>
  </si>
  <si>
    <t>cover profile  =  a mask</t>
  </si>
  <si>
    <t>Abdeckprofil =  Maske</t>
  </si>
  <si>
    <t>roulette haute</t>
  </si>
  <si>
    <t>top trolley</t>
  </si>
  <si>
    <t>Oberer Laufwagen</t>
  </si>
  <si>
    <t>roulette basse</t>
  </si>
  <si>
    <t>bottom trolley</t>
  </si>
  <si>
    <t>Unterer Laufwagen</t>
  </si>
  <si>
    <t>stoppeur /positionneur</t>
  </si>
  <si>
    <t>Positionierer</t>
  </si>
  <si>
    <t>brosse laterale anti-poussiere auto-adhesif</t>
  </si>
  <si>
    <t>anti-dust brush self adhesive</t>
  </si>
  <si>
    <t>selbstklebende Staubbürste</t>
  </si>
  <si>
    <t>Griffleiste</t>
  </si>
  <si>
    <t>profilé de connection H18 - 3M</t>
  </si>
  <si>
    <t>connection profile H18 - 3 m</t>
  </si>
  <si>
    <t>Verbindungsprofil H18 - 3m</t>
  </si>
  <si>
    <t>profilé de connection T - 3M avec rainure</t>
  </si>
  <si>
    <t>connection profile T - 3 m (with groove)</t>
  </si>
  <si>
    <t>Verbindungs-T-Profil 3m (mit Rille)</t>
  </si>
  <si>
    <t xml:space="preserve">profilé de connection T - 3M avec rebord </t>
  </si>
  <si>
    <t>connection profile T - 3 m (with brim)</t>
  </si>
  <si>
    <t>Verbindungs-T-Profil 3m (mit Saum)</t>
  </si>
  <si>
    <t>profilé "U" pour panneau bois 18 mm(lisse)</t>
  </si>
  <si>
    <t>"U" profile for PB 18 mm - 3 m (smooth)</t>
  </si>
  <si>
    <t>"U" Profil für Spanplatte 18mm - 3m/glatt</t>
  </si>
  <si>
    <t>profilé "U" pour panneau bois 18 mm(rebord)</t>
  </si>
  <si>
    <t>"U" profile for PB 18 mm - 3 m (brim)</t>
  </si>
  <si>
    <t>"U" Profil für Spanplatte 18mm - 3m/Saum</t>
  </si>
  <si>
    <t>profilé d'angles mini 11 x 17 mm - LG 1,7 m</t>
  </si>
  <si>
    <t>angle ruller mini 11x17xmm - 1,7 m</t>
  </si>
  <si>
    <t>Winkellineal Mini 11x17mm -1,7m</t>
  </si>
  <si>
    <t>profilé d'angles mini 11 x 17 mm - LG 2,35 m</t>
  </si>
  <si>
    <t>angle ruller mini 11x17xmm - 2,35 m</t>
  </si>
  <si>
    <t>Winkellineal Mini 11x17mm -2,35m</t>
  </si>
  <si>
    <t>profilé d'angles mini 11 x 17 mm - LG 3 m</t>
  </si>
  <si>
    <t>angle ruller mini 11x17xmm - 3 m</t>
  </si>
  <si>
    <t>Winkellineal Mini 11x17mm -3m</t>
  </si>
  <si>
    <t>profilé d'angles K2 19 x 18 mm - LG 1,7 m</t>
  </si>
  <si>
    <t>angle ruller K2 19x18mm - 1,7m</t>
  </si>
  <si>
    <t>Winkellineal K2 19x18mm - 1,7m</t>
  </si>
  <si>
    <t>profilé d'angles K2 19 x 18 mm - LG 2,35 m</t>
  </si>
  <si>
    <t>angle ruller K2 19x18mm - 2,35m</t>
  </si>
  <si>
    <t>Winkellineal K2 19x18mm - 2,35m</t>
  </si>
  <si>
    <t>profilé d'angles K2 19 x 18 mm - LG 3,00 m</t>
  </si>
  <si>
    <t>angle ruller K2 19x18mm - 3,00m</t>
  </si>
  <si>
    <t>Winkellineal K2 19x18mm - 3m</t>
  </si>
  <si>
    <t>amortisseur /soft close (pc)</t>
  </si>
  <si>
    <t>shock absorber (pc)</t>
  </si>
  <si>
    <t>Anschlagsdämpfer</t>
  </si>
  <si>
    <t>panneau bois</t>
  </si>
  <si>
    <t>PB</t>
  </si>
  <si>
    <t>Spannplatte</t>
  </si>
  <si>
    <t>miroir/ vitrage</t>
  </si>
  <si>
    <t>mirror / glass</t>
  </si>
  <si>
    <t>Spiegel/Glas</t>
  </si>
  <si>
    <t>vente</t>
  </si>
  <si>
    <t>sale</t>
  </si>
  <si>
    <t>Abverkauf</t>
  </si>
  <si>
    <t>1. Veuillez indiquer vos coordonnées, vous pouvez également indiquer votre remise client ici. Ces données seront transférées aux fiches individuelles.</t>
  </si>
  <si>
    <t>1. Please fill in your contact details, you can also indicate your customer discount here. These data will be transferred to the individual sheets.</t>
  </si>
  <si>
    <t>1.Bitte geben Sie Ihre Kontaktdaten ein, Sie können auch Ihren Kundenrabatt eingeben. Diese Angaben werden auf die einzelnen Blätter übertragen</t>
  </si>
  <si>
    <t>2.Sélectionnez le type de profilé prise de main souhaité  (cliquez sur le nom du profil en dessous de l'image).</t>
  </si>
  <si>
    <t>2. Select the desired type of handle bar profile (click on the profile name below the picture)</t>
  </si>
  <si>
    <t>2.Wählen Sie bitte das angefragte Greifprofil (Klicken Sie auf den Profilnamen unterhalb des Bildes)</t>
  </si>
  <si>
    <t>3. Sur la page d'assemblage du profil, définir les dimensions de reservation.</t>
  </si>
  <si>
    <t>3. On the profile assembly page define dimension of the hole</t>
  </si>
  <si>
    <t>3. Definieren Sie auf der Seite für die Profilzusammensetzung  die Abmessungen des Lochs</t>
  </si>
  <si>
    <t xml:space="preserve">4. Définir le nombre de portes que comportera l'ensemble </t>
  </si>
  <si>
    <t xml:space="preserve">4. Define of how many doors will the assembly consist of </t>
  </si>
  <si>
    <t>4.Geben Sie die Anzahl der Türen an, die die Zusammensetzung bilden sollen.</t>
  </si>
  <si>
    <t>5. Sélectionnez la couleur souhaitée pour le profil (cliquez sur le champ de la couleur, puis sur la flèche de la fenêtre - une liste s'ouvre, sélectionnez la couleur ici).</t>
  </si>
  <si>
    <t>5. Select the desired colour of the profile (click on the colour field and then click on the arrow window - a list will expand, select the colour here)</t>
  </si>
  <si>
    <t>5. Wählen Sie die gewünschte Profilfarbe (klicken Sie auf das Farbfeld und dann auf das Pfeilfenster - es öffnet sich eine Liste, wählen Sie hier die Farbe)</t>
  </si>
  <si>
    <t>6. Si vous souhaitez diviser la porte à l'aide de profilés de séparation/connection, indiquez le nombre de rails requis au bas du formulaire.</t>
  </si>
  <si>
    <t>6. In case you want to divide the door with dividing profiles, fill in the required number of rails at the bottom of the form</t>
  </si>
  <si>
    <t>6.Wenn Sie die Tür mit Trennprofilen unterteilen möchten, geben Sie unten im Formular die gewünschte Anzahl der Streifen an</t>
  </si>
  <si>
    <t>7. En cas d'utilisation de verre ou de miroir, un joint d'étanchéité doit être utilisé. En fonction de la combinaison possible du verre avec panneaux</t>
  </si>
  <si>
    <t>7. When using glass or mirror, a sealing profile must be used. Due to the possible combination of glass with boards</t>
  </si>
  <si>
    <t>7. Bei der Verwendung von Glas oder Spiegeln muss ein Dichtungsprofil verwendet werden. Aufgrund der möglichen Kombination von Glas mit Platten</t>
  </si>
  <si>
    <t>il n'est pas possible de déterminer à l'avance la longueur du joint.  L'assemblage calcule la longueur du joint par porte</t>
  </si>
  <si>
    <t>it is not possible to determine the length of the sealing in advance.  The assembly calculates the length of the sealing per leaf.</t>
  </si>
  <si>
    <t xml:space="preserve"> Es ist nicht möglich, die Länge im Voraus zu bestimmen, die Länge der Dichtung für den Flügel wird iin der Zusammensetzung  berechnet. </t>
  </si>
  <si>
    <t>Ensuite, la longueur est calculée pour le cas où l'ensemble est constitué de verre/miroir.</t>
  </si>
  <si>
    <t>Next, the length is calculated for the case the entire assembly is made of glass/mirror.</t>
  </si>
  <si>
    <t>Die Länge wird auch berechnet, wenn die gesamte Zusamensetzung aus Glas besteht.</t>
  </si>
  <si>
    <t>8. Si le profilé prise de main est divisé, une coupe de 5 mm de large est calculée.</t>
  </si>
  <si>
    <t>8. In case the handle bar profile is devided, a cut of width 5mm is calculated.</t>
  </si>
  <si>
    <t>Mode d'emploi:</t>
  </si>
  <si>
    <t>Instruction:</t>
  </si>
  <si>
    <t>Gebrauchsanweisung:</t>
  </si>
  <si>
    <t>Classeur d'échantilons -fim</t>
  </si>
  <si>
    <t>Book of samples  - foils</t>
  </si>
  <si>
    <t>Folienmusterbuch</t>
  </si>
  <si>
    <t>La feuille est sur commande sauf si elle est surlignée en vert.</t>
  </si>
  <si>
    <t>The foil is on demand unless fighlighted in green</t>
  </si>
  <si>
    <t>Außerhalb der grün markierten Dekore sind Folien auf Bestellung</t>
  </si>
  <si>
    <t>L'affichage des couleurs et des décors est approximatif et peut être faussée par les réglages de l'écran et le rendu des couleurs, etc.</t>
  </si>
  <si>
    <t>The display of colours and decors is approximate and may be distorted by monitor settings and colour rendering, etc.</t>
  </si>
  <si>
    <t>Die Darstellung von Farben und Dekoren ist annähernd und kann durch die Einstellungen und die Farbwiedergabe der Monitore verfälscht werden.</t>
  </si>
  <si>
    <t>Sur demande, nous pouvons fournir classeur  d'échantillons (ref article  Nr. 179111)</t>
  </si>
  <si>
    <t>Upon request we can provide book of samples (article Nr. 179111)</t>
  </si>
  <si>
    <t>Auf Anfrage können wir Ihnen ein physisches Musterbuch zusenden (Artikelnummer 179111)</t>
  </si>
  <si>
    <t>en stock</t>
  </si>
  <si>
    <t>on stock</t>
  </si>
  <si>
    <t>Auf Lager</t>
  </si>
  <si>
    <t xml:space="preserve">ce n'est pas nécessaire pour cette couleur </t>
  </si>
  <si>
    <t>it is not needed for this colour</t>
  </si>
  <si>
    <t>keine Notwendigkeit für diese Farbe</t>
  </si>
  <si>
    <t>Nouveauté</t>
  </si>
  <si>
    <t xml:space="preserve">NEW </t>
  </si>
  <si>
    <t>Neuigkeiten</t>
  </si>
  <si>
    <t xml:space="preserve">Nouveau, seulement sur commande </t>
  </si>
  <si>
    <t>NEW, on demand only</t>
  </si>
  <si>
    <t>Neuigkeiten, nur auf Anfrage</t>
  </si>
  <si>
    <t>Clause de non-responsabilité - Basé sur les données fournies par le fabricant, sous réserve d'erreurs. Il est recommandé de réaliser d'abord un prototype d'essai, en particulier dans le cas d'une production en série.</t>
  </si>
  <si>
    <t>Disclaimer - Based on data provided by the manufacturer, subject to errors. We recommend production of a test prototype first, especially in the case of mass production.</t>
  </si>
  <si>
    <t>Spécifier la couleur souhaitée de la feuille (rouleau de 14,7 m, largeur 4 cm)</t>
  </si>
  <si>
    <t>Specify desired colour of the foil (roll is 14.7 m, width 4 cm)</t>
  </si>
  <si>
    <t>Geben Sie die gewünschte Folienfarbe ein (14,7 m Packung, 4 mm Breite)</t>
  </si>
  <si>
    <t>Spécifier la quantité souhaité en métre</t>
  </si>
  <si>
    <t>Specify desired amount of meters</t>
  </si>
  <si>
    <t>Bitte geben Sie die gewünschte Meterzahl ein</t>
  </si>
  <si>
    <t>Spécifier la quantité de paquets souhaitée</t>
  </si>
  <si>
    <t>Specify desired amount of packs</t>
  </si>
  <si>
    <t>Bitte geben Sie die gewünschte Anzahl von Paketen ein</t>
  </si>
  <si>
    <t>Si vous augmentez votre commande de</t>
  </si>
  <si>
    <t>If you increase your order by</t>
  </si>
  <si>
    <t>wenn Sie Ihre Bestellung erhöhen um</t>
  </si>
  <si>
    <t>vous recevrez</t>
  </si>
  <si>
    <t>, you will receive</t>
  </si>
  <si>
    <t>, bekommen Sie</t>
  </si>
  <si>
    <t>gratuitement un amortisseur / soft close</t>
  </si>
  <si>
    <t>a shock absorber free of charge</t>
  </si>
  <si>
    <t>kostenloser Stoßdämpfer</t>
  </si>
  <si>
    <t>sur stock, jeux de 2 et 3 vantaux pour les longueurs 1,8 m (2 vantaux), 2,5 m (3 vantaux) et 2,7 m (2 vantaux)</t>
  </si>
  <si>
    <t>on stock sets of 2 and 3 leaves for length 1,8 m (2 leaves), 2,5 m (3 leaves) and 2,7 m (2 leaves)</t>
  </si>
  <si>
    <t>2- und 3-Flügel-Sets für die Längen 1,8 m (2 Flügel), 2,5 m (3 Flügel) und 2,7 m (2 Flügel) auf Lager</t>
  </si>
  <si>
    <t xml:space="preserve">un profil amélioré </t>
  </si>
  <si>
    <t>an upgraded profile</t>
  </si>
  <si>
    <t>verbessertes Profil</t>
  </si>
  <si>
    <t>brosse anti poussiére à enfiler</t>
  </si>
  <si>
    <t>slip-on brush</t>
  </si>
  <si>
    <t>versenkbare Bürste</t>
  </si>
  <si>
    <t xml:space="preserve">nouveauté en stock </t>
  </si>
  <si>
    <t>now new on stock</t>
  </si>
  <si>
    <t>jetzt auf Lager</t>
  </si>
  <si>
    <t>certains articles peuvent être sur commande</t>
  </si>
  <si>
    <t>some items might be subject of an order on demand</t>
  </si>
  <si>
    <t>profilé de connection H18 - MAXIM 1,8 m</t>
  </si>
  <si>
    <t>connection profile H18 MAXIM 1,8 m</t>
  </si>
  <si>
    <t>Verbindungsprofil H18 MAXIM 1,8 m</t>
  </si>
  <si>
    <t>profilé de connection H18 - MAXIM 2,5 m</t>
  </si>
  <si>
    <t>connection profile H18 MAXIM 2,5 m</t>
  </si>
  <si>
    <t>Verbindungsprofil H18 MAXIM 2,5 m</t>
  </si>
  <si>
    <t>profilé de connection H25 - MAXIM 1,8 m</t>
  </si>
  <si>
    <t>connection profile H25 MAXIM 1,8 m</t>
  </si>
  <si>
    <t>Verbindungsprofil H25 MAXIM 1,8 m</t>
  </si>
  <si>
    <t>profilé de connection H25 - MAXIM 2,5 m</t>
  </si>
  <si>
    <t>connection profile H25 MAXIM 2,5 m</t>
  </si>
  <si>
    <t xml:space="preserve">Nous recommandons l'achat supplémentaire de </t>
  </si>
  <si>
    <t xml:space="preserve">We recommend additional purchase of </t>
  </si>
  <si>
    <t>wir empfehlen, mehr zu kaufen</t>
  </si>
  <si>
    <t>d'amortisseurs/soft close, pour assurer l'isolation complète de l'ensemble</t>
  </si>
  <si>
    <t>pcs of  shock absorbers,  to ensure the set is fully insulated</t>
  </si>
  <si>
    <t>Stuck Stoßdämpfer, um die Zusamensetzung vollständig zu dämpfen</t>
  </si>
  <si>
    <t>Amortisseur/soft close gratuit ref (11027)</t>
  </si>
  <si>
    <t>shock absorber free of charge (11027)</t>
  </si>
  <si>
    <t>kostenloser Stoßdämpfer (11027)</t>
  </si>
  <si>
    <t>Soustraction de la hauteur pour l'instalation d'un amortisseur/soft close</t>
  </si>
  <si>
    <t>substraction of height when a shock absorber is installed</t>
  </si>
  <si>
    <t>Höhenmessung bei der Montage des Stoßdämpfers</t>
  </si>
  <si>
    <t>(Pour toutes les dimensions)</t>
  </si>
  <si>
    <t>(for all dimensions)</t>
  </si>
  <si>
    <t>(für alle Parameter)</t>
  </si>
  <si>
    <t>Longeur maximum du guide 3,6 m</t>
  </si>
  <si>
    <t xml:space="preserve">Fixing wedges Blue 40 pcs (glass 4 mm) </t>
  </si>
  <si>
    <t>maximale Führungsslänge</t>
  </si>
  <si>
    <t>Vis pour rail de guidage au sol</t>
  </si>
  <si>
    <t>a screw for bottom guide</t>
  </si>
  <si>
    <t>Fixierkeile Blue 40 St.(Glass 4 mm)</t>
  </si>
  <si>
    <t>profilé d'angles  11 x 17 mm - LG 1,7 m</t>
  </si>
  <si>
    <t>angle ruller 11x17mm - 1,7m</t>
  </si>
  <si>
    <t>Winkellineal 11x17mm -1,7m</t>
  </si>
  <si>
    <t>profilé d'angles  11 x 17 mm - LG 3,0 m</t>
  </si>
  <si>
    <t>angle ruller  11x17mm - 2,35m</t>
  </si>
  <si>
    <t>Winkellineal 11x17mm -2,35m</t>
  </si>
  <si>
    <t>profilé d'angles  11 x 17 mm - LG 2,35 m</t>
  </si>
  <si>
    <t>angle ruller  11x17mm - 3,0m</t>
  </si>
  <si>
    <t>Winkellineal 11x17mm -3m</t>
  </si>
  <si>
    <t>profilé d'angles 20 x 26 mm - LG 1,8 m</t>
  </si>
  <si>
    <t>angle ruller 20x26mm - 1,8m</t>
  </si>
  <si>
    <t>Winkellineal 20x26mm - 1,8m</t>
  </si>
  <si>
    <t>profilé d'angles 20 x 26 mm - LG 2,7 m</t>
  </si>
  <si>
    <t>angle ruller  20x26mm - 2,7m</t>
  </si>
  <si>
    <t>Winkellineal 20x26mm - 2,7m</t>
  </si>
  <si>
    <t>profilé d'angles  20 x 26 mm - LG 3,60 m</t>
  </si>
  <si>
    <t>angle ruller  20x26mm - 3,60m</t>
  </si>
  <si>
    <t>Winkellineal 20x26mm - 3,6m</t>
  </si>
  <si>
    <t>profilé de connection H -3 M</t>
  </si>
  <si>
    <t>connection profile H- 3 m</t>
  </si>
  <si>
    <t>Verbindungsprofil H- 3m</t>
  </si>
  <si>
    <t>profilé de connection H25  -2,70 M</t>
  </si>
  <si>
    <t>connection profile H25  2,7 m</t>
  </si>
  <si>
    <t>Verbundungsprofil H25 2,7m</t>
  </si>
  <si>
    <t>Accessoires supplémentaires pour le système de portes coulissantes</t>
  </si>
  <si>
    <t>Additional accessories for sliding doors system</t>
  </si>
  <si>
    <t>Promo-Amortisseur/soft close offert</t>
  </si>
  <si>
    <t>Promotion - shock absorber free of charge!</t>
  </si>
  <si>
    <t>Promotion - freier Stoßdämpfer</t>
  </si>
  <si>
    <t>1 pc pour lam. PB 18 mm, concerne les guidons Alfa, Tytan, Oaza, Victoria, Factor, Focus, Universal, Ergo, amortisseur art.Nr. 11027 ; cette promotion est valable jusqu'à épuisement du stock.</t>
  </si>
  <si>
    <t>1 pc for lam. PB 18 mm, concerns handle bars Alfa, Tytan, Oaza, Victoria, Factor, Focus, Universal, Ergo, shock absorber art.Nr. 11027; this promotion is valid till the stock lasts</t>
  </si>
  <si>
    <t>1 Stück für Laminat 18mm, bezieht sich auf die Griffprofile Alfa, Tytan, Oaza, Victoria, Factor, Focus, Universal, ErgoStoßdämpfer Nr 11027, gültig solange der Vorrat reicht</t>
  </si>
  <si>
    <t>Retour à la page d'acceuil</t>
  </si>
  <si>
    <t>Back to home page</t>
  </si>
  <si>
    <t>zurück zur Hauptseite</t>
  </si>
  <si>
    <t>Les dimensions maximales du vantail avec miroir sont de 2400 x 700 mm.</t>
  </si>
  <si>
    <t>Maximum size of the leaf with mirror is 2400 x 700 mm</t>
  </si>
  <si>
    <t>Simple guide pour systéme :</t>
  </si>
  <si>
    <t>Simple guide, for systems:</t>
  </si>
  <si>
    <t>einfache Führung, für Systeme</t>
  </si>
  <si>
    <t xml:space="preserve">fil d'agrafe / pince à brosse pour brosse de fin de course </t>
  </si>
  <si>
    <t>staple wire / brush clip for stop-brush</t>
  </si>
  <si>
    <t>Bürstenanschlagklemme</t>
  </si>
  <si>
    <t>Des ensembles complets de profilés et de raccords peuvent être fournis :</t>
  </si>
  <si>
    <t>Complete sets of profiles + fittings can be supplied:</t>
  </si>
  <si>
    <t>komplette Sätze von Profilen + Beschlägen können geliefert werden:</t>
  </si>
  <si>
    <t>jeux de 2 vantaux, largeur 1,8 m (profil 182716 + raccord 98054)</t>
  </si>
  <si>
    <t>set of 2 leaves, width 1,8 m (profile 182716 + fitting 98054)</t>
  </si>
  <si>
    <t>Satz mit 2 Flügeln, Breite 1,8 m (Profil 182716 + Beschlag 98054)</t>
  </si>
  <si>
    <t>jeux de 3 vantaux, largeur 2,5m (profil 188479 + raccord 100968)</t>
  </si>
  <si>
    <t>set of  3 leaves, width 2,5m (profile 188479 + fitting 100968)</t>
  </si>
  <si>
    <t>Satz mit 3 Flügeln, Breite 2,5 m (Profil 188479 + Beschlag 100968)</t>
  </si>
  <si>
    <t>Les ensembles d'articles commandés ne sont pas compatibles</t>
  </si>
  <si>
    <t>Ordered items sets are not the same matching</t>
  </si>
  <si>
    <t>Bestellte Artikelsets sind nicht gleich passend</t>
  </si>
  <si>
    <t>profilé de connection H- Simple 10</t>
  </si>
  <si>
    <t>connection profile H - Simple 10</t>
  </si>
  <si>
    <t>Verbindungs-H-Profil Simple 10</t>
  </si>
  <si>
    <t>profilé de connection H21- Simple 18</t>
  </si>
  <si>
    <t>connection profile H21 - Simple (18mm)</t>
  </si>
  <si>
    <t>Verbindungs-H21-Profil  Simple (18 mm)</t>
  </si>
  <si>
    <t>profilé de connection H28- Simple 18</t>
  </si>
  <si>
    <t>connection profile H28 - Simple (18mm)</t>
  </si>
  <si>
    <t>Verbindungs-H28-Profil  Simple (18 mm)</t>
  </si>
  <si>
    <t xml:space="preserve">Cales de fixation Blue 40 pcs (verre 4 mm) </t>
  </si>
  <si>
    <t xml:space="preserve">Système Blue </t>
  </si>
  <si>
    <t>10. Dans la section notes, vous pouvez indiquer d'éventuelles modifications, des commentaires, etc.</t>
  </si>
  <si>
    <t>10. In the section Notes you can state eventual changes, comments, etc.</t>
  </si>
  <si>
    <t>10. Im Kommentarfeld können Sie Änderungen, Kommentare usw. hinzufügen.</t>
  </si>
  <si>
    <t>plug-in brush</t>
  </si>
  <si>
    <t>Steckbürste</t>
  </si>
  <si>
    <t xml:space="preserve">profilé cache vis pour rail au sol </t>
  </si>
  <si>
    <t>cover for bottom guide</t>
  </si>
  <si>
    <t>Decker für untere Führung</t>
  </si>
  <si>
    <t>Lorsqu'il y a deux chevauchements, pour calculer les dimensions d'un vantail, vous pouvez indiquer une demi-largeur et 2 vantaux.</t>
  </si>
  <si>
    <t>When there are two overlaps, for calculating a leaf dimensions you can indicate half width and 2 leaves</t>
  </si>
  <si>
    <t>Bei zwei Überlappungen können Sie zur Berechnung der Abmessungen der Flügel die Angabe der halben Breite und der beiden Flügel nutzen.</t>
  </si>
  <si>
    <t>Les portes de la configuration choisie sont étroites et hautes ; la porte risque de rebondir (en particulier lorsqu'un amortisseur est utilisé).</t>
  </si>
  <si>
    <t>The leaves in the selected configuration are narrow and high; the leave might bounce (especially when a damper is used)</t>
  </si>
  <si>
    <t>Die Flügel für die gewählte Konfiguration schmal und hoch sind, insbesondere wenn ein Dämpfer verwendet wird, kann der Flügel überschießen</t>
  </si>
  <si>
    <t xml:space="preserve">FILM DE PROTECTION POUR LE VITRAGE </t>
  </si>
  <si>
    <t>PROTECTIVE FOIL FOR GLASS FILLING</t>
  </si>
  <si>
    <t>SCHUTZFOLIE FÜR GLASSCHEIBEN</t>
  </si>
  <si>
    <t>certains articles peuvent faire l'objet d'une commande sur demande, le délai de livraison prévu est d'environ 5 semaines</t>
  </si>
  <si>
    <t>some items might be subject of an order on demand, expected delivery time is approx. 5 weeks</t>
  </si>
  <si>
    <t>certains articles ne sont pas produits dans les longeurs souhaités</t>
  </si>
  <si>
    <t>some items are not produced in given length</t>
  </si>
  <si>
    <t>PROFILÉ AVEC PEINTURE</t>
  </si>
  <si>
    <t>PAINTING OF PROFILES</t>
  </si>
  <si>
    <t>LACKIERUNG VON PROFILEN</t>
  </si>
  <si>
    <t>disponible dans toute les teintes RAL</t>
  </si>
  <si>
    <t>can be painted in any RAL shade</t>
  </si>
  <si>
    <t>kann in jedem RAL-Farbton lackiert werden</t>
  </si>
  <si>
    <t>option brillant / mat (à préciser lors de la commande)</t>
  </si>
  <si>
    <t>option gloss / matt (specify in the order)</t>
  </si>
  <si>
    <t>wahlweise glänzend/matt (muss bei der Bestellung angegeben werden)</t>
  </si>
  <si>
    <t>limite maximun longeur de 3,85 m</t>
  </si>
  <si>
    <t>limited to a maximum length of 3.85 m</t>
  </si>
  <si>
    <t>begrenzt auf eine maximale Länge von 3,85 m</t>
  </si>
  <si>
    <t>Blue 18 mm (sans encadrement)</t>
  </si>
  <si>
    <t>Blue 18 mm (without frame)</t>
  </si>
  <si>
    <t>Blue 18 mm (ohne Rahmen)</t>
  </si>
  <si>
    <t>Blue 18 mm (avec encadrement)</t>
  </si>
  <si>
    <t>Blue 18 mm (frame)</t>
  </si>
  <si>
    <t>Blue 18 mm (Rahmen)</t>
  </si>
  <si>
    <t>Système confort</t>
  </si>
  <si>
    <t>System Comfort</t>
  </si>
  <si>
    <t>Notice d'assemblage</t>
  </si>
  <si>
    <t>Assembly instructions</t>
  </si>
  <si>
    <t>Montageanleitung</t>
  </si>
  <si>
    <t>Vous avez choisi 4 portes, définissez le nombre de chevauchements (2 ou 3)</t>
  </si>
  <si>
    <t>You chose 4 leaves, define amount of overlaps (2 or 3)</t>
  </si>
  <si>
    <t>Sie haben 4 Flügel ausgewählt, wählen Sie die Anzahl der Falten (2 oder 3)</t>
  </si>
  <si>
    <t>amortisseur/soft close Mini 25 kg (paire)</t>
  </si>
  <si>
    <t>soft closer MINI up to 25 kg (pair)</t>
  </si>
  <si>
    <t>MINI Stoßdämpfer bis zu 25 kg (Paar)</t>
  </si>
  <si>
    <t>amortisseur/soft close Mini 40 kg (paire)</t>
  </si>
  <si>
    <t>soft closer MINI up to 40 kg (pair)</t>
  </si>
  <si>
    <t>MINI Stoßdämpfer bis zu 40 kg (Paar)</t>
  </si>
  <si>
    <t>amortisseur/soft close Mini 60 kg (paire)</t>
  </si>
  <si>
    <t>soft closer MINI up to 60 kg (pair)</t>
  </si>
  <si>
    <t>MINI Stoßdämpfer bis zu 60 kg (Paar)</t>
  </si>
  <si>
    <t>amortisseur/sof close pour porte centrale 25 kg</t>
  </si>
  <si>
    <t>shock absorber for the middle leaf, up to 25 kg</t>
  </si>
  <si>
    <t>Stoßdämpfer für mittlere Flügel bis zu 25kg</t>
  </si>
  <si>
    <t>amortisseur/sof close pour porte centrale 40 kg</t>
  </si>
  <si>
    <t>shock absorber for the middle leaf, up to 40 kg</t>
  </si>
  <si>
    <t>Stoßdämpfer für mittlere Flügel bis zu 40kg</t>
  </si>
  <si>
    <t>profil redressage de porte cintrée (3m)</t>
  </si>
  <si>
    <t>door leaf straightener profile (3 m)</t>
  </si>
  <si>
    <t>Verstärkung - 3mm Profil</t>
  </si>
  <si>
    <t>cache de recouvrement de percage (4 piéces)</t>
  </si>
  <si>
    <t>cover cap for instalation hole (4 pcs)</t>
  </si>
  <si>
    <t>Lochstopfen (4 Stück)</t>
  </si>
  <si>
    <t>Largeur de porte maximum 1100 mm</t>
  </si>
  <si>
    <t>Leaf width can be max. 1100 mm !!!</t>
  </si>
  <si>
    <t>Die maximale Breite des Flügels kann 1100 mm betragen !!!</t>
  </si>
  <si>
    <t>poignée auto adhésive , blanc brillant</t>
  </si>
  <si>
    <t>stick-on handle, white gloss</t>
  </si>
  <si>
    <t>Klebegriff, weiß glänzend</t>
  </si>
  <si>
    <t>poignée auto adhésive , argent</t>
  </si>
  <si>
    <t>stick-on handle, silver</t>
  </si>
  <si>
    <t>Klebegriff, silber</t>
  </si>
  <si>
    <t>Bande décorative autocollante</t>
  </si>
  <si>
    <t>Decorative stick-on strip</t>
  </si>
  <si>
    <t>dekorative Klebestreifen</t>
  </si>
  <si>
    <t>ce profil n'est pas disponible dans la couleur et la longueur souhaitée</t>
  </si>
  <si>
    <t>this profile is not available in given colour and length</t>
  </si>
  <si>
    <t>Das Profil ist in dieser Farbe und Länge nicht erhältlich.</t>
  </si>
  <si>
    <t>serrure de porte coulissante</t>
  </si>
  <si>
    <t>sliding door lock</t>
  </si>
  <si>
    <t>Schiebetürschloss</t>
  </si>
  <si>
    <t>cale de démarcation pour le remplissage des feuilles 16 mm</t>
  </si>
  <si>
    <t>demarcation wedge for leaf filling 16 mm</t>
  </si>
  <si>
    <t>Keil zur Füllungserweiterung</t>
  </si>
  <si>
    <t>jeux de dilations 4 mm</t>
  </si>
  <si>
    <t>dilatation 4 mm</t>
  </si>
  <si>
    <t>Dilatation 4mm</t>
  </si>
  <si>
    <t>Catalogue général quincaillerie 2024 page :</t>
  </si>
  <si>
    <t>Catalogue of Fittings 2024 page:</t>
  </si>
  <si>
    <t>Beschlagskatalog Seite</t>
  </si>
  <si>
    <t>Fichier technique de ce systeme</t>
  </si>
  <si>
    <t>Technical drawing of this system</t>
  </si>
  <si>
    <t>Technische Zeichnung dieses Systems</t>
  </si>
  <si>
    <t>! !! Il est impératif de réduire la hauteur du vantail de porte de 4 mm supplémentaires en cas d'utilisation d'un amortisseur principal/central ; réduire uniquement le vantail sur lequel l'amortisseur principal/central est installé ! !!</t>
  </si>
  <si>
    <t>!!! It is imperative to reduce height of the door leaf for additional 4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</si>
  <si>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4 mm absenken.</t>
  </si>
  <si>
    <t>! !! Il est impératif de réduire la hauteur du vantail de porte de 2 mm supplémentaires en cas d'utilisation d'un amortisseur principal/central ; réduire uniquement le vantail sur lequel l'amortisseur principal/central est installé ! !!</t>
  </si>
  <si>
    <t>!!! It is imperative to reduce height of the door leaf for additional 2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</si>
  <si>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2 mm absenken.</t>
  </si>
  <si>
    <t xml:space="preserve">! !! Il est impératif de réduire la hauteur du vantail de porte de 4 mm supplémentaires en cas d'utilisation d'un amortisseur/sof close  Mini </t>
  </si>
  <si>
    <t>!!! It is imperative to reduce height of the door leaf for additional  4 mm if MINI SV shock-absorber is used !!!</t>
  </si>
  <si>
    <t>!!! Wenn Sie den MINI SV Dämpfer verwenden, müssen Sie die Höhe des Flügels um weitere 4 mm absenken.</t>
  </si>
  <si>
    <t>! !! Il est impératif de réduire la hauteur du vantail de porte de 49mm supplémentaires en cas d'utilisation d'un amortisseur principal/central ; réduire uniquement le vantail sur lequel l'amortisseur principal/central est installé ! !!</t>
  </si>
  <si>
    <t>!!! It is imperative to reduce height of the door leaf for additional 9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</si>
  <si>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9 mm absenken.</t>
  </si>
  <si>
    <t>Sur commande</t>
  </si>
  <si>
    <t>On demand</t>
  </si>
  <si>
    <t>auf Bestellung</t>
  </si>
  <si>
    <t>profilé de connection H25 - 3M</t>
  </si>
  <si>
    <t>connection profile  H25-3 m</t>
  </si>
  <si>
    <t>Verbindungsprofil H25 -3 m</t>
  </si>
  <si>
    <t>système GM 18 (Combinaison PB 18 mm et vitrage) (Sans encadrement)</t>
  </si>
  <si>
    <t>system GM 18 (combination PB 18mm and glass) (without frame)</t>
  </si>
  <si>
    <t>Systém GM 18 (Kombination aus Spanplatte 18 mm und Glas) (ohne Rahmen)</t>
  </si>
  <si>
    <t>Prosper GM (avec  encadrement)</t>
  </si>
  <si>
    <t>Prosper GM (frame)</t>
  </si>
  <si>
    <t>Prosper GM ( Rahmen)</t>
  </si>
  <si>
    <t>Prosper GM (sans encadrement)</t>
  </si>
  <si>
    <t>Prosper GM (without frame)</t>
  </si>
  <si>
    <t>Prosper GM (ohne Rahmen)</t>
  </si>
  <si>
    <t>Porto GM (avec  encadrement)</t>
  </si>
  <si>
    <t>Porto GM (frame)</t>
  </si>
  <si>
    <t>Porto GM (Rahmen)</t>
  </si>
  <si>
    <t>Porto GM (sans encadrement)</t>
  </si>
  <si>
    <t>Porto GM (without frame)</t>
  </si>
  <si>
    <t>Porto GM (ohne Rahmen)</t>
  </si>
  <si>
    <t>Era (avec  encadrement)</t>
  </si>
  <si>
    <t>Era (frame)</t>
  </si>
  <si>
    <t>Era (Rahmen)</t>
  </si>
  <si>
    <t>Era (sans encadrement)</t>
  </si>
  <si>
    <t>Era (without frame)</t>
  </si>
  <si>
    <t>Era (ohne Rahmen)</t>
  </si>
  <si>
    <t>Rekord (avec  encadrement)</t>
  </si>
  <si>
    <t>Rekord (frame)</t>
  </si>
  <si>
    <t>Rekord (Rahmen)</t>
  </si>
  <si>
    <t>Rekord (sans encadrement)</t>
  </si>
  <si>
    <t>Rekord (without frame)</t>
  </si>
  <si>
    <t>Rekord (ohne Rahmen)</t>
  </si>
  <si>
    <t>Arte (avec  encadrement)</t>
  </si>
  <si>
    <t>Arte (frame)</t>
  </si>
  <si>
    <t>Atre (Rahmen)</t>
  </si>
  <si>
    <t>Arte (sans encadrement)</t>
  </si>
  <si>
    <t>Arte (without frame)</t>
  </si>
  <si>
    <t>Arte (ohne Rahmen)</t>
  </si>
  <si>
    <t>noir structuré</t>
  </si>
  <si>
    <t>profil de raccordement H08/18 - 3 m</t>
  </si>
  <si>
    <t>connection profile H08/18 - 3 m</t>
  </si>
  <si>
    <t>Verbindungsprofil H08/18 - 3  m</t>
  </si>
  <si>
    <t>Petits échantillons</t>
  </si>
  <si>
    <t>Remise:</t>
  </si>
  <si>
    <t>article nr.</t>
  </si>
  <si>
    <t>code</t>
  </si>
  <si>
    <t>IF-adhesive cover cap 13mm 20pcs 06 olive metallic</t>
  </si>
  <si>
    <t>IF-adhesive cover cap 20mm 15pcs 93336 matt aluminum</t>
  </si>
  <si>
    <t>počet dveří</t>
  </si>
  <si>
    <t>počet dverí</t>
  </si>
  <si>
    <t>ilość drzwi</t>
  </si>
  <si>
    <t>nombre de portes</t>
  </si>
  <si>
    <t>Im Falle der Teilung der Griffprofile wird eine Breite von 5 mm. Berechnet.</t>
  </si>
  <si>
    <t>Spracované na základe údajov dodaných výrobcom, chyby vyhradené, zvlášť v prípade hromadnej výroby odporúčame najprv výrobu skúšobného prototypu.</t>
  </si>
  <si>
    <t>Auf der Grundlage der vom Hersteller gelieferten Daten, vorbehaltlich von Fehlern. Insbesondere bei der Massenproduktion empfehlen wir, zunächst einen Testprototyp herzustellen.</t>
  </si>
  <si>
    <t>Es ist notwendig die folgenden 5 Felder ausfüllen. Angaben in mm.</t>
  </si>
  <si>
    <t>Der Kode</t>
  </si>
  <si>
    <t>Obere/untere Profil (Führung)</t>
  </si>
  <si>
    <t>Für Glasscheiben oder Spiegel</t>
  </si>
  <si>
    <t>oder Glas mit einer Schutzfolie sichern.</t>
  </si>
  <si>
    <t>Optionales Zubehör:</t>
  </si>
  <si>
    <t>Obere Profil (Führung)</t>
  </si>
  <si>
    <t>Untere Profil (Führung)</t>
  </si>
  <si>
    <t>Obere Profil  (Führungsleiste)</t>
  </si>
  <si>
    <t>Horizontales unteres Profil</t>
  </si>
  <si>
    <t>Obere Profil:</t>
  </si>
  <si>
    <t>Geben Sie die Menge an</t>
  </si>
  <si>
    <t>Einige Artikel werden nicht in der gewählten Länge produziert.</t>
  </si>
  <si>
    <t>Einige Artikel sind auf Bestellung, bitte rechnen Sie mit einer Lieferzeit von bis zu 5 Wochen.</t>
  </si>
  <si>
    <t>Einige Artikel können auf Bestellung angefertigt werden.</t>
  </si>
  <si>
    <t>m, wenn es mehr verglaste Flügel gibt, ist es notwendig, zu multiplizieren.</t>
  </si>
  <si>
    <t>m pour plusieurs portes avec vitrage il est necessaire de multiplier</t>
  </si>
  <si>
    <t>m, pokiaľ je preskenných viac krídel, treba vynásobiť.</t>
  </si>
  <si>
    <t xml:space="preserve"> amennyiben több ajtószárny van meg.</t>
  </si>
  <si>
    <t>m, pokud je prosklených více křídel, nutno vynásobit.</t>
  </si>
  <si>
    <t>Sonstiges Zubehör für Schiebesysteme</t>
  </si>
  <si>
    <t>Benötigte Länge der Dichtung beim Gesamteinglasen (muss in ganzen Metern bestellt werden).</t>
  </si>
  <si>
    <t>Die maximale Größe des Flügels mit Spiegel beträgt 2400 x 700 mm.</t>
  </si>
  <si>
    <t>Das Höchstgewicht des Schrankflügels beträgt 50 kg.</t>
  </si>
  <si>
    <t>Das Höchstgewicht des Schrankflügels beträgt 35 kg.</t>
  </si>
  <si>
    <t>SEVROLL 06809 Gemini horní vedení 6m zlatá/mosaz</t>
  </si>
  <si>
    <t>SEVROLL 06816 Alfa II úchytová lišta 16/18mm 2,7m zlatá/mosaz</t>
  </si>
  <si>
    <t>SEVROLL 06817 Focus II úchytová lišta 16mm 2,7m zlatá/mosaz</t>
  </si>
  <si>
    <t>SEVROLL 06818 Focus II úchytová lišta 18mm 2,7m zlatá/mosaz</t>
  </si>
  <si>
    <t>SEVROLL 06800 maska Elegant II 1,7m zlatá/mosaz</t>
  </si>
  <si>
    <t>SEVROLL 06801 maska Elegant II 2,35m zlatá/mosaz</t>
  </si>
  <si>
    <t>SEVROLL 06802 maska Elegant II 3m zlatá/mosaz</t>
  </si>
  <si>
    <t>SEVROLL 06803 maska Elegant II 4,05m zlatá/mosaz</t>
  </si>
  <si>
    <t>SEVROLL 06804 maska Elegant II 6m zlatá/mosaz</t>
  </si>
  <si>
    <t>SEVROLL 06799 Elegant II spodní vedení 6m zlatá/mosaz</t>
  </si>
  <si>
    <t>?</t>
  </si>
  <si>
    <t>SEVROLL 06795 Elegant II spodní vedení 1,7m zlatá/mosaz</t>
  </si>
  <si>
    <t>SEVROLL 06796 Elegant II spodní vedení 2,35m zlatá/mosaz</t>
  </si>
  <si>
    <t>SEVROLL 06797 Elegant II spodní vedení 3m zlatá/mosaz</t>
  </si>
  <si>
    <t>SEVROLL 06798 Elegant II spodní vedení 4,05m zlatá/mosaz</t>
  </si>
  <si>
    <t>SEVROLL 06794 spojovací lišta H18 3m zlatá/mosaz</t>
  </si>
  <si>
    <t>SEVROLL 06805 Gemini horní vedení 1,7m zlatá/mosaz</t>
  </si>
  <si>
    <t>SEVROLL 06806 Gemini horní vedení 2,35m zlatá/mosaz</t>
  </si>
  <si>
    <t>SEVROLL 06807 Gemini horní vedení 3m zlatá/mosaz</t>
  </si>
  <si>
    <t>SEVROLL 06808 Gemini horní vedení 4,05m zlatá/mosaz</t>
  </si>
  <si>
    <t>SEVROLL 06790 úhelník Mini 17x11mm 1,7m zlatá/mosaz</t>
  </si>
  <si>
    <t>SEVROLL 06791 úhelník Mini 17x11mm 2,35m zlatá/mosaz</t>
  </si>
  <si>
    <t>SEVROLL 06792 úhelník Mini 17x11mm 3m zlatá/mosaz</t>
  </si>
  <si>
    <t>SEVROLL 06813 horní vodící lišta 1,7m zlatá/mosaz</t>
  </si>
  <si>
    <t>SEVROLL 06811 horní vodící lišta 2,35m zlatá/mosaz</t>
  </si>
  <si>
    <t>SEVROLL 06815 horní vodící lišta 3m zlatá/mosaz</t>
  </si>
  <si>
    <t>SEVROLL 06810 Gemini 10 spodní krycí lišta 1,7m 10mm zlatá/mosaz</t>
  </si>
  <si>
    <t>SEVROLL 06811 Gemini 10 spodní krycí lišta 2,35m 10mm zlatá/mosaz</t>
  </si>
  <si>
    <t>SEVROLL 06812 Gemini 10 spodní krycí lišta 3m 10mm zlatá/mosaz</t>
  </si>
  <si>
    <t>SEVROLL 06793 spojovací lišta H10 3m zlatá/mosaz</t>
  </si>
  <si>
    <t>SEVROLL 06789 profil "U" pro lamino 18mm 3m zlatá/mosaz</t>
  </si>
  <si>
    <t>SEVROLL 06819 Fox II úchytová lišta 10mm 2,7m zlatá/mosaz</t>
  </si>
  <si>
    <t>SEVROLL 06822 Gemini úchytová lišta 10mm 2,7m zlatá/mosaz</t>
  </si>
  <si>
    <t>SEVROLL 06821 System 10 II úchytová lišta 10mm 2,7m zlatá/mosaz</t>
  </si>
  <si>
    <t>SEVROLL 06809 Gemini felső vezetés 6m arany/sárgaréz</t>
  </si>
  <si>
    <t>SEVROLL 06809 Gemini horné  vedenie 6m zlatá/mosadz</t>
  </si>
  <si>
    <t>SEVROLL 06809 Gemini tor górny 6m złoty/mosiądz</t>
  </si>
  <si>
    <t>SEVROLL 06816 Alfa II fog.profil 16/18mm 2,70m arany/sárgaréz</t>
  </si>
  <si>
    <t>SEVROLL 06816 Alfa II úchytková lišta 16/18mm 2,7m zlatá/mosadz</t>
  </si>
  <si>
    <t>SEVROLL 06816 Alfa II rączka 16/18 mm 2,70 m złota/mosiądz</t>
  </si>
  <si>
    <t>SEVROLL 06817 Focus II 16mm fogantyú profil 2,7m arany/sárgaréz</t>
  </si>
  <si>
    <t>SEVROLL 06817 Focus II 16mm úchytová lišta 2,7m zlatá/mosadz</t>
  </si>
  <si>
    <t>SEVROLL 06817 Focus II 16 mm rączka 2,7 m, złota/mosiądz</t>
  </si>
  <si>
    <t>SEVROLL 06818 Focus II 18mm fogantyú profil 2,7m arany/sárgaréz</t>
  </si>
  <si>
    <t>SEVROLL 06818 Focus II 18mm úchytová lišta 2,7m zlatá/mosadz</t>
  </si>
  <si>
    <t>SEVROLL 06818 Focus II 18 mm rączka 2,7 m, złota/mosiądz</t>
  </si>
  <si>
    <t>SEVROLL 06800 Maszk Elegant II 1,7m arany/sárgaréz</t>
  </si>
  <si>
    <t>SEVROLL 06800 maska Elegant II 1,7m zlatá/mosadz</t>
  </si>
  <si>
    <t>SEVROLL 06800 zaślepka do toru Elegant II 1,7m złoty/mosiądz</t>
  </si>
  <si>
    <t>SEVROLL 06801 takaró profil Elegant II 2,35m arany/sárgaréz</t>
  </si>
  <si>
    <t>SEVROLL 06801 maska Elegant II 2,35m zlatá/mosadz</t>
  </si>
  <si>
    <t>SEVROLL 06801 zaślepka do toru Elegant II 2,35m złoty/mosiądz</t>
  </si>
  <si>
    <t>SEVROLL 06802 takaró profil Elegant II 3m arany/sárgaréz</t>
  </si>
  <si>
    <t>SEVROLL 06802 maska Elegant II 3m zlatá/mosadz</t>
  </si>
  <si>
    <t>SEVROLL 06802 profil maskujący do toru Elegant II 3m złoty/mosiądz</t>
  </si>
  <si>
    <t>SEVROLL takaró profil Elegant II 4,05m arany/sárgaréz</t>
  </si>
  <si>
    <t>SEVROLL maska Elegant II 4,05m zlatá/mosadz</t>
  </si>
  <si>
    <t>SEVROLL 04311 profil maskujący do toru Elegant II 4,05m złoty/mosiądz</t>
  </si>
  <si>
    <t>SEVROLL 06804 Maszk Elegant II 6m arany/sárgaréz</t>
  </si>
  <si>
    <t>SEVROLL 06804 maska Elegant II 6m zlatá/mosadz</t>
  </si>
  <si>
    <t>SEVROLL 06804 zaślepka do toru Elegant II 6m złoty/mosiądz</t>
  </si>
  <si>
    <t>SEVROLL 06799 Elegant II alsó vezetés 6m arany/sárgaréz</t>
  </si>
  <si>
    <t>SEVROLL 06799 Elegant II spodné vedenie 6m zlatá/mosadz</t>
  </si>
  <si>
    <t>SEVROLL 06799 Elegant II tor dolny 6m złoty/mosiądz</t>
  </si>
  <si>
    <t>SEVROLL 06795 Elegant II alsó vezetés 1,7m arany/sárgaréz</t>
  </si>
  <si>
    <t>SEVROLL 06795 Elegant II spodné vedenie 1,7m zlatá/mosadz</t>
  </si>
  <si>
    <t>SEVROLL 06795 Elegant II tor dolny 1,7m złoty/mosiądz</t>
  </si>
  <si>
    <t>SEVROLL 06796 Elegant II alsó vezetés 2,35m arany/sárgaréz</t>
  </si>
  <si>
    <t>SEVROLL 06796 Elegant II spodné vedenie 2,35m zlatá/mosadz</t>
  </si>
  <si>
    <t>SEVROLL 06796 Elegant II tor dolny 2,35m złoty/mosiądz</t>
  </si>
  <si>
    <t>SEVROLL 06797 Elegant II alsó vezetés 3m arany/sárgaréz</t>
  </si>
  <si>
    <t>SEVROLL 06797 Elegant II spodné vedenie 3m zlatá/mosadz</t>
  </si>
  <si>
    <t>SEVROLL 06797 Elegant II tor dolny 3m złoty/mosiądz</t>
  </si>
  <si>
    <t>SEVROLL 06798 Elegant II alsó vezetés 4,05m arany/sárgaréz</t>
  </si>
  <si>
    <t>SEVROLL 06798 Elegant II spodné vedenie 4,05m zlatá/mosadz</t>
  </si>
  <si>
    <t>SEVROLL 06798 Elegant II tor dolny 4,05m złoty/mosiądz</t>
  </si>
  <si>
    <t>SEVROLL 06794 összekötő profil H18 3m arany/sárgaréz</t>
  </si>
  <si>
    <t>SEVROLL 06794 spojovacia  lišta H18 3m zlatá/mosadz</t>
  </si>
  <si>
    <t>SEVROLL 06794 spojovací lišta H18 3m zlatá/mosiądz</t>
  </si>
  <si>
    <t>SEVROLL 06805 Gemini felső vezetés 1,7m arany/sárgaréz</t>
  </si>
  <si>
    <t>SEVROLL 06805 Gemini horné  vedenie 1,7m zlatá/mosadz</t>
  </si>
  <si>
    <t>SEVROLL 06805 Gemini tor górny 1,7m złoty/mosiądz</t>
  </si>
  <si>
    <t>SEVROLL 06806 Gemini felső vezetés 2,35m arany/sárgaréz</t>
  </si>
  <si>
    <t>SEVROLL 06806 Gemini horné  vedenie 2,35m zlatá/mosadz</t>
  </si>
  <si>
    <t>SEVROLL 06806 Gemini horní vedení 2,35m zlatá/mosiądz</t>
  </si>
  <si>
    <t>SEVROLL 06807 Gemini felső vezetés 3m arany/sárgaréz</t>
  </si>
  <si>
    <t>SEVROLL 06807 Gemini horné  vedenie 3m zlatá/mosadz</t>
  </si>
  <si>
    <t>SEVROLL 06807 Gemini horní vedení 3m złoty/mosiądz</t>
  </si>
  <si>
    <t>SEVROLL 06808 Gemini felső vezetés 4,05m arany/sárgaréz</t>
  </si>
  <si>
    <t>SEVROLL 06808 Gemini horné  vedenie 4,05m zlatá/mosadz</t>
  </si>
  <si>
    <t>SEVROLL 06808 Gemini horní vedení 4,05m zlatá/mosiądz</t>
  </si>
  <si>
    <t>SEVROLL 06790 szögletvas 17x11mm 1,7m arany/sárgaréz</t>
  </si>
  <si>
    <t>SEVROLL 06790 uholník Mini 17x11mm 1,7m zlatá/mosadz</t>
  </si>
  <si>
    <t>SEVROLL 06790 kątownik Mini 17x11mm 1,7m złoty/mosiądz</t>
  </si>
  <si>
    <t>SEVROLL 06791 szögletvas Mini 17x11mm 2,35m arany/sárgaréz</t>
  </si>
  <si>
    <t>SEVROLL 06791 uholník Mini 17x11mm 2,35m zlatá/mosadz</t>
  </si>
  <si>
    <t>SEVROLL 06791 kątownik Mini 17x11mm 2,35m złoty/mosiądz</t>
  </si>
  <si>
    <t>SEVROLL 06792 szögletvas 17x11mm 3m arany/sárgaréz</t>
  </si>
  <si>
    <t>SEVROLL 06792 uholník Mini 17x11mm 3m zlatá/mosadz</t>
  </si>
  <si>
    <t>SEVROLL 06792 kątownik Mini 17x11mm 3m złoty/mosiądz</t>
  </si>
  <si>
    <t>SEVROLL 06813 felső vezető profile 1,7m arany/sárgaréz</t>
  </si>
  <si>
    <t>SEVROLL 06813 - horná vodiaca lišta 1,7m zlatá/mosadz</t>
  </si>
  <si>
    <t>SEVROLL 06813 listwa pozioma górna 1,7 m złota/mosiądz</t>
  </si>
  <si>
    <t>SEVROLL 06811 felső vezető profil 2,35m arany/sárgaréz</t>
  </si>
  <si>
    <t>SEVROLL 06811 horná vodiaca lišta 2,35m zlatá/mosadz</t>
  </si>
  <si>
    <t>SEVROLL 06811 listwa pozioma górna 2,35m złoty/mosiądz</t>
  </si>
  <si>
    <t>SEVROLL 06815 felső vezető profil 3m arany/sárgaréz</t>
  </si>
  <si>
    <t>SEVROLL 06815 horná vodiaca lišta 3m zlatá/mosadz</t>
  </si>
  <si>
    <t>SEVROLL 06815 listwa pozioma górna 3m złoty/mosiądz</t>
  </si>
  <si>
    <t>SEVROLL 06810 alsó takaró profil 1,7m 10mm arany/sárgaréz</t>
  </si>
  <si>
    <t>SEVROLL 06810 spodná krycia lišta 1,7m 10mm zlatá/mosadz</t>
  </si>
  <si>
    <t>SEVROLL 06810 Gemini 10 listwa pozioma dolna 1,7m 10mm złoty/mosiądz</t>
  </si>
  <si>
    <t>SEVROLL 06811 alsó takaró profil 2,35m 10mm arany/sárgaréz</t>
  </si>
  <si>
    <t>SEVROLL 06811 spodná krycia lišta 2,35m 10mm zlatá/mosadz</t>
  </si>
  <si>
    <t>SEVROLL 06811 Gemini 10 listwa pozioma dolna 2,35m 10mm złoty/mosiądz</t>
  </si>
  <si>
    <t>SEVROLL 06812 alsó takaró profil 3m 10mm arany/sárgaréz</t>
  </si>
  <si>
    <t>SEVROLL 06812 spodná krycia lišta 3m 10mm zlatá/mosadz</t>
  </si>
  <si>
    <t>SEVROLL 06812 Gemini 10 listwa pozioma dolna 3m 10mm złoty/mosiądz</t>
  </si>
  <si>
    <t>SEVROLL 06793 összekötő profil H10 3m arany/sárgaréz</t>
  </si>
  <si>
    <t>SEVROLL 06793 spojovacia lišta H10 3m zlatá/mosadz</t>
  </si>
  <si>
    <t>SEVROLL 06793 listwa łącząca H10 3m złoty/mosiądz</t>
  </si>
  <si>
    <t>SEVROLL 06789 "U" profil rétegelt lemezhez 18mm 3m arany/sárgaréz</t>
  </si>
  <si>
    <t>SEVROLL 06789 profil "U" pre lamino 18mm 3m zlatá/mosadz</t>
  </si>
  <si>
    <t>SEVROLL 06789 profil "U" do płyty laminowanej 18mm 3m złoty/mosiądz</t>
  </si>
  <si>
    <t>SEVROLL 06819 Fox II fogantyú profil 2,7m arany/sárgaréz</t>
  </si>
  <si>
    <t>SEVROLL 06819 Fox úchytová lišta 2,7m zlatá/mosadz</t>
  </si>
  <si>
    <t>SEVROLL 06819 Fox II rączka 2,7m złoty/mosiądz</t>
  </si>
  <si>
    <t>SEVROLL 06822 Gemini fogantyú profil 2,7m arany/sárgaréz</t>
  </si>
  <si>
    <t>SEVROLL 06822 Gemini Gemini úchytová lišta 2,7m zlatá/mosadz</t>
  </si>
  <si>
    <t>SEVROLL 06822 Gemini rączka 2,7m złoty/mosiądz</t>
  </si>
  <si>
    <t>SEVROLL 06821 System 10 II fogantyú profil 2,7m arany/sárgaréz</t>
  </si>
  <si>
    <t>SEVROLL 06821 System 10 II úchytová lišta 2,7m zlatá/mosadz</t>
  </si>
  <si>
    <t>SEVROLL 06821 System 10 II rączka 2,7m złoty/mosiądz</t>
  </si>
  <si>
    <t>SEVROLL 06809 Gemini overhead line 6m gold/brass</t>
  </si>
  <si>
    <t>SEVROLL 06816 Alfa II mounting bar 16/18mm 2.70m gold/brass</t>
  </si>
  <si>
    <t>SEVROLL 06817 Focus II 16mm mounting bar 2.7m gold/brass</t>
  </si>
  <si>
    <t>SEVROLL 06818 Focus II 18mm mounting bar 2.7m gold/brass</t>
  </si>
  <si>
    <t>SEVROLL 06800 mask Elegant II 1.7m gold/brass</t>
  </si>
  <si>
    <t>SEVROLL 06801 mask Elegant II 2.35m gold/brass</t>
  </si>
  <si>
    <t>SEVROLL 06802 mask Elegant II 3m gold/brass</t>
  </si>
  <si>
    <t>SEVROLL 04311 mask Elegant II 4.05m gold/brass</t>
  </si>
  <si>
    <t>SEVROLL 06804 mask Elegant II 6m gold/brass</t>
  </si>
  <si>
    <t>SEVROLL 06799 Elegant II bottom line 6m gold/brass</t>
  </si>
  <si>
    <t>SEVROLL 06795 Elegant II bottom line 1.7m gold/brass</t>
  </si>
  <si>
    <t>SEVROLL 06796 Elegant II bottom line 2.35m gold/brass</t>
  </si>
  <si>
    <t>SEVROLL 06797 Elegant II bottom line 3m gold/brass</t>
  </si>
  <si>
    <t>SEVROLL 06798 Elegant II bottom line 4.05m gold/brass</t>
  </si>
  <si>
    <t>SEVROLL 06794 connecting rail H18 3m gold/brass</t>
  </si>
  <si>
    <t>SEVROLL 06805 Gemini overhead line 1.7m gold/brass</t>
  </si>
  <si>
    <t>SEVROLL 06806 Gemini overhead line 2.35m gold/brass</t>
  </si>
  <si>
    <t>SEVROLL 06807 Gemini overhead line 3m gold/brass</t>
  </si>
  <si>
    <t>SEVROLL 06808 Gemini overhead line 4.05m gold/brass</t>
  </si>
  <si>
    <t>SEVROLL 06790 angle Mini 17x11mm 1.7m gold/brass</t>
  </si>
  <si>
    <t>SEVROLL 06791 angle Mini 17x11mm 2.35m gold/brass</t>
  </si>
  <si>
    <t>SEVROLL 06792 angle Mini 17x11mm 3m gold/brass</t>
  </si>
  <si>
    <t>SEVROLL 06813 upper guide rail 1.7m gold/brass</t>
  </si>
  <si>
    <t>SEVROLL 06811 upper guide rail 2.35m gold/brass</t>
  </si>
  <si>
    <t>SEVROLL 06815 upper guide rail 3m gold/brass</t>
  </si>
  <si>
    <t>SEVROLL 06810 Gemini 10 bottom cover strip 1.7m 10mm gold/brass</t>
  </si>
  <si>
    <t>SEVROLL 06811 Gemini 10 bottom cover bar 2.35m 10mm gold/brass</t>
  </si>
  <si>
    <t>SEVROLL 06812 Gemini 10 bottom cover strip 3m 10mm gold/brass</t>
  </si>
  <si>
    <t>SEVROLL 06793 connection rail H10 3m gold/brass</t>
  </si>
  <si>
    <t>SEVROLL 06789 "U" profile for laminate 18mm 3m gold/brass</t>
  </si>
  <si>
    <t>SEVROLL 06819 Fox II grab rail 2.7m gold/brass</t>
  </si>
  <si>
    <t>SEVROLL 06822 Gemini grab rail 2.7m gold/brass</t>
  </si>
  <si>
    <t>SEVROLL 06821 System 10 II mounting rail 2.7m gold/brass</t>
  </si>
  <si>
    <t>zlatá/mosaz</t>
  </si>
  <si>
    <t>arany/sárgaréz</t>
  </si>
  <si>
    <t>złoty/mosiądz</t>
  </si>
  <si>
    <t>zlatá/mosadz</t>
  </si>
  <si>
    <t>or/laiton</t>
  </si>
  <si>
    <t>golden/brass</t>
  </si>
  <si>
    <t>gold/messing</t>
  </si>
  <si>
    <t xml:space="preserve"> </t>
  </si>
  <si>
    <t>1+1</t>
  </si>
  <si>
    <t>ver. 2026-03-01</t>
  </si>
  <si>
    <t>543599</t>
  </si>
  <si>
    <t>554290</t>
  </si>
  <si>
    <t>Alfa II fogantyú profil 100mm arany/sárgaréz</t>
  </si>
  <si>
    <t>Tytan fogantyú profil 100mm 18mm oliva</t>
  </si>
  <si>
    <t>Alfa II úchytová lišta 18mm 100m zlatá/mosadz</t>
  </si>
  <si>
    <t>Tytan úchytová lišta 18mm 100m oliva</t>
  </si>
  <si>
    <t>Tytan rączka 100mm 18mm oliwka</t>
  </si>
  <si>
    <t>Alfa II profil de poignée 100mm 18mm or/laiton</t>
  </si>
  <si>
    <t>Tytan profil de poignée 100mm 18mm olive</t>
  </si>
  <si>
    <t>Tytan mounting bar 100mm olive</t>
  </si>
  <si>
    <t>Alfa II úchytová lišta 100mm zlatá/mosaz</t>
  </si>
  <si>
    <t>Tytan úchytová lišta 100mm 18mm oliva</t>
  </si>
  <si>
    <t>Alfa II rączka 100mm złoty/mosiądz</t>
  </si>
  <si>
    <t>Alfa II mounting bar 100mm gold/brass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</si>
</sst>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</numFmts>
  <fonts count="10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name val="Calibri"/>
      <family val="2"/>
      <charset val="238"/>
    </font>
    <font>
      <sz val="8"/>
      <name val="Arial CE"/>
      <charset val="238"/>
    </font>
    <font>
      <sz val="11"/>
      <name val="Aptos"/>
      <family val="2"/>
    </font>
    <font>
      <b/>
      <sz val="9"/>
      <color indexed="10"/>
      <name val="Arial CE"/>
      <family val="2"/>
      <charset val="238"/>
    </font>
    <font>
      <b/>
      <sz val="26"/>
      <name val="Symbol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164" fontId="5" fillId="0" borderId="0"/>
    <xf numFmtId="164" fontId="3" fillId="0" borderId="0"/>
    <xf numFmtId="0" fontId="7" fillId="0" borderId="0"/>
    <xf numFmtId="0" fontId="5" fillId="0" borderId="0"/>
    <xf numFmtId="0" fontId="3" fillId="0" borderId="0"/>
    <xf numFmtId="0" fontId="39" fillId="0" borderId="0" applyNumberFormat="0" applyFill="0" applyBorder="0" applyAlignment="0" applyProtection="0">
      <alignment vertical="top"/>
      <protection locked="0"/>
    </xf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164" fontId="5" fillId="0" borderId="0"/>
    <xf numFmtId="164" fontId="3" fillId="0" borderId="0"/>
    <xf numFmtId="44" fontId="16" fillId="0" borderId="0" applyFill="0" applyBorder="0" applyAlignment="0" applyProtection="0"/>
    <xf numFmtId="44" fontId="4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34" fillId="0" borderId="0"/>
    <xf numFmtId="0" fontId="2" fillId="0" borderId="0"/>
    <xf numFmtId="0" fontId="94" fillId="0" borderId="0"/>
    <xf numFmtId="0" fontId="4" fillId="0" borderId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4" fillId="0" borderId="0"/>
    <xf numFmtId="0" fontId="2" fillId="0" borderId="0"/>
    <xf numFmtId="0" fontId="34" fillId="0" borderId="0"/>
    <xf numFmtId="0" fontId="34" fillId="0" borderId="0"/>
    <xf numFmtId="0" fontId="4" fillId="0" borderId="0"/>
    <xf numFmtId="0" fontId="1" fillId="0" borderId="0"/>
    <xf numFmtId="0" fontId="34" fillId="0" borderId="0"/>
  </cellStyleXfs>
  <cellXfs count="721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6" fillId="0" borderId="0" xfId="79" applyAlignment="1">
      <alignment horizontal="left"/>
    </xf>
    <xf numFmtId="0" fontId="6" fillId="0" borderId="0" xfId="79"/>
    <xf numFmtId="0" fontId="6" fillId="0" borderId="0" xfId="79" applyAlignment="1">
      <alignment horizontal="center"/>
    </xf>
    <xf numFmtId="0" fontId="10" fillId="0" borderId="0" xfId="79" applyFont="1" applyAlignment="1">
      <alignment horizontal="left" vertical="center" indent="1"/>
    </xf>
    <xf numFmtId="0" fontId="6" fillId="0" borderId="0" xfId="79" applyAlignment="1">
      <alignment horizontal="center" vertical="center"/>
    </xf>
    <xf numFmtId="0" fontId="11" fillId="0" borderId="0" xfId="79" applyFont="1" applyAlignment="1">
      <alignment horizontal="center" vertical="center"/>
    </xf>
    <xf numFmtId="0" fontId="12" fillId="0" borderId="0" xfId="79" applyFont="1" applyAlignment="1">
      <alignment horizontal="left" vertical="center" indent="1"/>
    </xf>
    <xf numFmtId="166" fontId="6" fillId="0" borderId="0" xfId="79" applyNumberFormat="1" applyAlignment="1">
      <alignment horizontal="center" vertical="center"/>
    </xf>
    <xf numFmtId="0" fontId="6" fillId="0" borderId="0" xfId="79" applyAlignment="1">
      <alignment horizontal="left" vertical="center"/>
    </xf>
    <xf numFmtId="0" fontId="12" fillId="2" borderId="0" xfId="79" applyFont="1" applyFill="1" applyAlignment="1">
      <alignment horizontal="left" vertical="center" indent="1"/>
    </xf>
    <xf numFmtId="1" fontId="6" fillId="0" borderId="0" xfId="79" applyNumberFormat="1" applyAlignment="1">
      <alignment horizontal="center" vertical="center"/>
    </xf>
    <xf numFmtId="1" fontId="6" fillId="0" borderId="0" xfId="79" applyNumberForma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 vertical="center"/>
      <protection hidden="1"/>
    </xf>
    <xf numFmtId="0" fontId="17" fillId="0" borderId="0" xfId="79" applyFont="1" applyAlignment="1">
      <alignment horizontal="center"/>
    </xf>
    <xf numFmtId="0" fontId="15" fillId="0" borderId="0" xfId="79" applyFont="1" applyAlignment="1" applyProtection="1">
      <alignment horizontal="center" vertical="center"/>
      <protection hidden="1"/>
    </xf>
    <xf numFmtId="0" fontId="17" fillId="0" borderId="0" xfId="79" applyFont="1" applyAlignment="1" applyProtection="1">
      <alignment horizontal="center"/>
      <protection hidden="1"/>
    </xf>
    <xf numFmtId="0" fontId="6" fillId="0" borderId="0" xfId="79" applyProtection="1">
      <protection hidden="1"/>
    </xf>
    <xf numFmtId="0" fontId="6" fillId="3" borderId="1" xfId="79" applyFill="1" applyBorder="1" applyAlignment="1" applyProtection="1">
      <alignment horizontal="center" vertical="center"/>
      <protection locked="0"/>
    </xf>
    <xf numFmtId="0" fontId="6" fillId="0" borderId="0" xfId="79" applyAlignment="1" applyProtection="1">
      <alignment horizontal="left"/>
      <protection hidden="1"/>
    </xf>
    <xf numFmtId="0" fontId="6" fillId="0" borderId="0" xfId="79" applyAlignment="1" applyProtection="1">
      <alignment horizontal="center"/>
      <protection hidden="1"/>
    </xf>
    <xf numFmtId="1" fontId="19" fillId="0" borderId="0" xfId="79" applyNumberFormat="1" applyFont="1" applyAlignment="1" applyProtection="1">
      <alignment horizontal="left" vertical="center"/>
      <protection hidden="1"/>
    </xf>
    <xf numFmtId="0" fontId="18" fillId="0" borderId="0" xfId="79" applyFont="1" applyAlignment="1">
      <alignment horizontal="center" vertical="center"/>
    </xf>
    <xf numFmtId="0" fontId="21" fillId="0" borderId="0" xfId="79" applyFont="1" applyAlignment="1">
      <alignment horizontal="center" vertical="center"/>
    </xf>
    <xf numFmtId="0" fontId="24" fillId="0" borderId="0" xfId="79" applyFont="1" applyAlignment="1">
      <alignment horizontal="left"/>
    </xf>
    <xf numFmtId="0" fontId="6" fillId="4" borderId="2" xfId="79" applyFill="1" applyBorder="1" applyAlignment="1" applyProtection="1">
      <alignment horizontal="center"/>
      <protection locked="0"/>
    </xf>
    <xf numFmtId="0" fontId="6" fillId="4" borderId="2" xfId="79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/>
    </xf>
    <xf numFmtId="0" fontId="25" fillId="5" borderId="3" xfId="0" applyFont="1" applyFill="1" applyBorder="1" applyAlignment="1">
      <alignment horizontal="left"/>
    </xf>
    <xf numFmtId="166" fontId="6" fillId="0" borderId="0" xfId="79" applyNumberFormat="1" applyAlignment="1">
      <alignment horizontal="center"/>
    </xf>
    <xf numFmtId="0" fontId="6" fillId="8" borderId="0" xfId="79" applyFill="1"/>
    <xf numFmtId="0" fontId="6" fillId="8" borderId="0" xfId="79" applyFill="1" applyAlignment="1">
      <alignment horizontal="center"/>
    </xf>
    <xf numFmtId="0" fontId="19" fillId="0" borderId="0" xfId="79" applyFont="1"/>
    <xf numFmtId="0" fontId="21" fillId="0" borderId="0" xfId="79" applyFont="1" applyAlignment="1">
      <alignment horizontal="center"/>
    </xf>
    <xf numFmtId="0" fontId="6" fillId="0" borderId="0" xfId="79" applyAlignment="1">
      <alignment horizontal="right"/>
    </xf>
    <xf numFmtId="0" fontId="10" fillId="9" borderId="0" xfId="79" applyFont="1" applyFill="1" applyAlignment="1">
      <alignment horizontal="left" vertical="center" indent="1"/>
    </xf>
    <xf numFmtId="0" fontId="6" fillId="9" borderId="0" xfId="79" applyFill="1" applyAlignment="1" applyProtection="1">
      <alignment horizontal="center" vertical="center"/>
      <protection hidden="1"/>
    </xf>
    <xf numFmtId="1" fontId="19" fillId="9" borderId="0" xfId="79" applyNumberFormat="1" applyFont="1" applyFill="1" applyAlignment="1" applyProtection="1">
      <alignment horizontal="left" vertical="center"/>
      <protection hidden="1"/>
    </xf>
    <xf numFmtId="0" fontId="6" fillId="9" borderId="0" xfId="79" applyFill="1" applyAlignment="1" applyProtection="1">
      <alignment horizontal="center" vertical="center"/>
      <protection locked="0"/>
    </xf>
    <xf numFmtId="0" fontId="6" fillId="9" borderId="2" xfId="79" applyFill="1" applyBorder="1" applyAlignment="1" applyProtection="1">
      <alignment horizontal="center" vertical="center"/>
      <protection locked="0"/>
    </xf>
    <xf numFmtId="0" fontId="6" fillId="9" borderId="0" xfId="79" applyFill="1"/>
    <xf numFmtId="0" fontId="26" fillId="9" borderId="0" xfId="79" applyFont="1" applyFill="1" applyAlignment="1">
      <alignment horizontal="right"/>
    </xf>
    <xf numFmtId="0" fontId="21" fillId="9" borderId="0" xfId="79" applyFont="1" applyFill="1"/>
    <xf numFmtId="0" fontId="41" fillId="0" borderId="0" xfId="79" applyFont="1" applyAlignment="1">
      <alignment horizontal="center"/>
    </xf>
    <xf numFmtId="0" fontId="42" fillId="0" borderId="0" xfId="79" applyFont="1" applyAlignment="1">
      <alignment horizontal="left" vertical="center"/>
    </xf>
    <xf numFmtId="0" fontId="42" fillId="0" borderId="0" xfId="79" applyFont="1" applyAlignment="1">
      <alignment horizontal="left"/>
    </xf>
    <xf numFmtId="0" fontId="5" fillId="0" borderId="2" xfId="4" applyBorder="1"/>
    <xf numFmtId="0" fontId="5" fillId="0" borderId="2" xfId="4" applyBorder="1" applyAlignment="1">
      <alignment horizontal="center"/>
    </xf>
    <xf numFmtId="0" fontId="6" fillId="0" borderId="0" xfId="79" applyAlignment="1">
      <alignment horizontal="left" vertical="center" indent="1"/>
    </xf>
    <xf numFmtId="0" fontId="8" fillId="0" borderId="0" xfId="4" applyFont="1"/>
    <xf numFmtId="3" fontId="6" fillId="3" borderId="1" xfId="79" applyNumberFormat="1" applyFill="1" applyBorder="1" applyAlignment="1" applyProtection="1">
      <alignment horizontal="center" vertical="center"/>
      <protection locked="0"/>
    </xf>
    <xf numFmtId="3" fontId="6" fillId="0" borderId="1" xfId="79" applyNumberFormat="1" applyBorder="1" applyAlignment="1" applyProtection="1">
      <alignment horizontal="center" vertical="center"/>
      <protection hidden="1"/>
    </xf>
    <xf numFmtId="3" fontId="6" fillId="0" borderId="0" xfId="79" applyNumberFormat="1" applyAlignment="1">
      <alignment horizontal="center" vertical="center"/>
    </xf>
    <xf numFmtId="167" fontId="6" fillId="0" borderId="1" xfId="79" applyNumberFormat="1" applyBorder="1" applyAlignment="1" applyProtection="1">
      <alignment horizontal="center" vertical="center"/>
      <protection hidden="1"/>
    </xf>
    <xf numFmtId="167" fontId="6" fillId="8" borderId="1" xfId="79" applyNumberFormat="1" applyFill="1" applyBorder="1" applyAlignment="1" applyProtection="1">
      <alignment horizontal="center" vertical="center"/>
      <protection hidden="1"/>
    </xf>
    <xf numFmtId="3" fontId="6" fillId="0" borderId="9" xfId="79" applyNumberFormat="1" applyBorder="1" applyAlignment="1" applyProtection="1">
      <alignment horizontal="center" vertical="center"/>
      <protection hidden="1"/>
    </xf>
    <xf numFmtId="0" fontId="38" fillId="0" borderId="0" xfId="58" applyAlignment="1">
      <alignment horizontal="center"/>
    </xf>
    <xf numFmtId="0" fontId="28" fillId="0" borderId="0" xfId="79" applyFont="1" applyAlignment="1">
      <alignment horizontal="left" vertical="center" indent="1"/>
    </xf>
    <xf numFmtId="3" fontId="6" fillId="0" borderId="0" xfId="79" applyNumberFormat="1" applyAlignment="1" applyProtection="1">
      <alignment horizontal="center" vertical="center"/>
      <protection hidden="1"/>
    </xf>
    <xf numFmtId="167" fontId="6" fillId="10" borderId="1" xfId="79" applyNumberFormat="1" applyFill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center" vertical="center"/>
      <protection hidden="1"/>
    </xf>
    <xf numFmtId="3" fontId="6" fillId="0" borderId="2" xfId="79" applyNumberFormat="1" applyBorder="1" applyAlignment="1" applyProtection="1">
      <alignment horizontal="center" vertical="center"/>
      <protection hidden="1"/>
    </xf>
    <xf numFmtId="167" fontId="6" fillId="0" borderId="2" xfId="79" applyNumberFormat="1" applyBorder="1" applyAlignment="1" applyProtection="1">
      <alignment horizontal="center" vertical="center"/>
      <protection hidden="1"/>
    </xf>
    <xf numFmtId="3" fontId="6" fillId="10" borderId="12" xfId="79" applyNumberFormat="1" applyFill="1" applyBorder="1" applyAlignment="1" applyProtection="1">
      <alignment horizontal="center" vertical="center"/>
      <protection hidden="1"/>
    </xf>
    <xf numFmtId="0" fontId="20" fillId="0" borderId="0" xfId="79" applyFont="1" applyAlignment="1" applyProtection="1">
      <alignment horizontal="center" vertical="center"/>
      <protection hidden="1"/>
    </xf>
    <xf numFmtId="0" fontId="23" fillId="0" borderId="0" xfId="79" applyFont="1" applyAlignment="1">
      <alignment horizontal="left" vertical="center" indent="1"/>
    </xf>
    <xf numFmtId="0" fontId="26" fillId="0" borderId="0" xfId="79" applyFont="1" applyAlignment="1">
      <alignment horizontal="right"/>
    </xf>
    <xf numFmtId="0" fontId="19" fillId="0" borderId="0" xfId="79" applyFont="1" applyAlignment="1">
      <alignment horizontal="left" indent="1"/>
    </xf>
    <xf numFmtId="0" fontId="10" fillId="0" borderId="0" xfId="79" applyFont="1" applyAlignment="1">
      <alignment horizontal="right" vertical="center" indent="1"/>
    </xf>
    <xf numFmtId="0" fontId="12" fillId="9" borderId="0" xfId="79" applyFont="1" applyFill="1" applyAlignment="1">
      <alignment horizontal="left" vertical="center" indent="1"/>
    </xf>
    <xf numFmtId="0" fontId="22" fillId="9" borderId="0" xfId="79" applyFont="1" applyFill="1" applyAlignment="1">
      <alignment horizontal="left" vertical="center" indent="1"/>
    </xf>
    <xf numFmtId="0" fontId="22" fillId="9" borderId="0" xfId="79" applyFont="1" applyFill="1"/>
    <xf numFmtId="0" fontId="22" fillId="9" borderId="0" xfId="79" applyFont="1" applyFill="1" applyAlignment="1">
      <alignment horizontal="center"/>
    </xf>
    <xf numFmtId="0" fontId="29" fillId="0" borderId="0" xfId="79" applyFont="1" applyAlignment="1">
      <alignment horizontal="left" vertical="center" indent="1"/>
    </xf>
    <xf numFmtId="0" fontId="17" fillId="0" borderId="0" xfId="79" applyFont="1" applyAlignment="1">
      <alignment horizontal="center" vertical="center"/>
    </xf>
    <xf numFmtId="0" fontId="17" fillId="0" borderId="0" xfId="79" applyFont="1"/>
    <xf numFmtId="0" fontId="17" fillId="0" borderId="0" xfId="79" applyFont="1" applyAlignment="1" applyProtection="1">
      <alignment horizontal="center"/>
      <protection locked="0"/>
    </xf>
    <xf numFmtId="0" fontId="30" fillId="0" borderId="0" xfId="79" applyFont="1" applyAlignment="1">
      <alignment horizontal="left"/>
    </xf>
    <xf numFmtId="167" fontId="6" fillId="0" borderId="0" xfId="79" applyNumberFormat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6" fillId="0" borderId="0" xfId="1" applyNumberFormat="1" applyFont="1" applyAlignment="1" applyProtection="1">
      <alignment horizontal="right" vertical="center"/>
      <protection hidden="1"/>
    </xf>
    <xf numFmtId="4" fontId="16" fillId="0" borderId="0" xfId="7" applyNumberFormat="1" applyFont="1" applyBorder="1" applyAlignment="1" applyProtection="1">
      <alignment horizontal="right"/>
      <protection hidden="1"/>
    </xf>
    <xf numFmtId="4" fontId="16" fillId="0" borderId="0" xfId="7" applyNumberFormat="1" applyFont="1" applyAlignment="1">
      <alignment horizontal="right"/>
    </xf>
    <xf numFmtId="4" fontId="6" fillId="0" borderId="0" xfId="79" applyNumberFormat="1" applyAlignment="1">
      <alignment horizontal="right"/>
    </xf>
    <xf numFmtId="4" fontId="6" fillId="0" borderId="0" xfId="1" applyNumberFormat="1" applyFont="1" applyAlignment="1">
      <alignment horizontal="right" vertical="center"/>
    </xf>
    <xf numFmtId="4" fontId="6" fillId="0" borderId="0" xfId="79" applyNumberFormat="1" applyAlignment="1" applyProtection="1">
      <alignment horizontal="right" vertical="center"/>
      <protection hidden="1"/>
    </xf>
    <xf numFmtId="4" fontId="6" fillId="9" borderId="0" xfId="1" applyNumberFormat="1" applyFont="1" applyFill="1" applyAlignment="1" applyProtection="1">
      <alignment horizontal="right" vertical="center"/>
      <protection hidden="1"/>
    </xf>
    <xf numFmtId="4" fontId="16" fillId="9" borderId="0" xfId="7" applyNumberFormat="1" applyFont="1" applyFill="1" applyBorder="1" applyAlignment="1" applyProtection="1">
      <alignment horizontal="right"/>
      <protection hidden="1"/>
    </xf>
    <xf numFmtId="4" fontId="6" fillId="9" borderId="0" xfId="79" applyNumberFormat="1" applyFill="1" applyAlignment="1">
      <alignment horizontal="right"/>
    </xf>
    <xf numFmtId="4" fontId="11" fillId="9" borderId="13" xfId="79" applyNumberFormat="1" applyFont="1" applyFill="1" applyBorder="1" applyAlignment="1" applyProtection="1">
      <alignment horizontal="right" vertical="center"/>
      <protection hidden="1"/>
    </xf>
    <xf numFmtId="4" fontId="11" fillId="9" borderId="14" xfId="79" applyNumberFormat="1" applyFont="1" applyFill="1" applyBorder="1" applyAlignment="1" applyProtection="1">
      <alignment horizontal="right" vertical="center"/>
      <protection hidden="1"/>
    </xf>
    <xf numFmtId="4" fontId="6" fillId="0" borderId="0" xfId="1" applyNumberFormat="1" applyFont="1" applyAlignment="1" applyProtection="1">
      <alignment horizontal="left" vertical="center"/>
      <protection hidden="1"/>
    </xf>
    <xf numFmtId="4" fontId="16" fillId="0" borderId="0" xfId="7" applyNumberFormat="1" applyFont="1" applyBorder="1" applyAlignment="1" applyProtection="1">
      <protection hidden="1"/>
    </xf>
    <xf numFmtId="4" fontId="6" fillId="0" borderId="0" xfId="1" applyNumberFormat="1" applyFont="1" applyAlignment="1" applyProtection="1">
      <alignment vertical="center"/>
      <protection hidden="1"/>
    </xf>
    <xf numFmtId="4" fontId="6" fillId="9" borderId="0" xfId="79" applyNumberFormat="1" applyFill="1"/>
    <xf numFmtId="4" fontId="9" fillId="9" borderId="14" xfId="7" applyNumberFormat="1" applyFont="1" applyFill="1" applyBorder="1" applyAlignment="1"/>
    <xf numFmtId="4" fontId="6" fillId="9" borderId="0" xfId="1" applyNumberFormat="1" applyFont="1" applyFill="1" applyAlignment="1" applyProtection="1">
      <alignment vertical="center"/>
      <protection hidden="1"/>
    </xf>
    <xf numFmtId="4" fontId="11" fillId="9" borderId="14" xfId="79" applyNumberFormat="1" applyFont="1" applyFill="1" applyBorder="1" applyAlignment="1" applyProtection="1">
      <alignment vertical="center"/>
      <protection hidden="1"/>
    </xf>
    <xf numFmtId="4" fontId="9" fillId="9" borderId="14" xfId="7" applyNumberFormat="1" applyFont="1" applyFill="1" applyBorder="1" applyAlignment="1" applyProtection="1">
      <protection hidden="1"/>
    </xf>
    <xf numFmtId="4" fontId="9" fillId="9" borderId="14" xfId="7" applyNumberFormat="1" applyFont="1" applyFill="1" applyBorder="1" applyAlignment="1">
      <alignment horizontal="right"/>
    </xf>
    <xf numFmtId="4" fontId="9" fillId="9" borderId="14" xfId="7" applyNumberFormat="1" applyFont="1" applyFill="1" applyBorder="1" applyAlignment="1" applyProtection="1">
      <alignment horizontal="right"/>
      <protection hidden="1"/>
    </xf>
    <xf numFmtId="4" fontId="9" fillId="9" borderId="2" xfId="7" applyNumberFormat="1" applyFont="1" applyFill="1" applyBorder="1" applyAlignment="1">
      <alignment horizontal="right"/>
    </xf>
    <xf numFmtId="4" fontId="11" fillId="9" borderId="0" xfId="1" applyNumberFormat="1" applyFont="1" applyFill="1" applyAlignment="1" applyProtection="1">
      <alignment horizontal="right" vertical="center"/>
      <protection hidden="1"/>
    </xf>
    <xf numFmtId="4" fontId="22" fillId="9" borderId="0" xfId="79" applyNumberFormat="1" applyFont="1" applyFill="1" applyAlignment="1">
      <alignment horizontal="right"/>
    </xf>
    <xf numFmtId="4" fontId="22" fillId="9" borderId="2" xfId="79" applyNumberFormat="1" applyFont="1" applyFill="1" applyBorder="1" applyAlignment="1">
      <alignment horizontal="right"/>
    </xf>
    <xf numFmtId="4" fontId="11" fillId="9" borderId="0" xfId="79" applyNumberFormat="1" applyFont="1" applyFill="1" applyAlignment="1" applyProtection="1">
      <alignment horizontal="right" vertical="center"/>
      <protection hidden="1"/>
    </xf>
    <xf numFmtId="4" fontId="9" fillId="9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Alignment="1" applyProtection="1">
      <alignment horizontal="center" vertical="center"/>
      <protection hidden="1"/>
    </xf>
    <xf numFmtId="1" fontId="21" fillId="0" borderId="0" xfId="79" applyNumberFormat="1" applyFont="1" applyAlignment="1" applyProtection="1">
      <alignment horizontal="center" vertical="center"/>
      <protection hidden="1"/>
    </xf>
    <xf numFmtId="1" fontId="26" fillId="0" borderId="0" xfId="79" applyNumberFormat="1" applyFont="1" applyAlignment="1" applyProtection="1">
      <alignment horizontal="left" vertical="center"/>
      <protection hidden="1"/>
    </xf>
    <xf numFmtId="1" fontId="31" fillId="0" borderId="0" xfId="79" applyNumberFormat="1" applyFont="1" applyAlignment="1" applyProtection="1">
      <alignment horizontal="left" vertical="center"/>
      <protection hidden="1"/>
    </xf>
    <xf numFmtId="4" fontId="11" fillId="0" borderId="0" xfId="1" applyNumberFormat="1" applyFont="1" applyAlignment="1" applyProtection="1">
      <alignment vertical="center"/>
      <protection hidden="1"/>
    </xf>
    <xf numFmtId="4" fontId="9" fillId="0" borderId="0" xfId="7" applyNumberFormat="1" applyFont="1" applyBorder="1" applyAlignment="1" applyProtection="1">
      <protection hidden="1"/>
    </xf>
    <xf numFmtId="0" fontId="11" fillId="0" borderId="0" xfId="79" applyFont="1" applyAlignment="1">
      <alignment horizontal="center"/>
    </xf>
    <xf numFmtId="0" fontId="11" fillId="0" borderId="0" xfId="79" applyFont="1"/>
    <xf numFmtId="0" fontId="21" fillId="0" borderId="0" xfId="79" applyFont="1"/>
    <xf numFmtId="0" fontId="18" fillId="0" borderId="0" xfId="79" applyFont="1" applyAlignment="1">
      <alignment horizontal="center"/>
    </xf>
    <xf numFmtId="0" fontId="22" fillId="8" borderId="0" xfId="79" applyFont="1" applyFill="1" applyAlignment="1">
      <alignment horizontal="left" vertical="center" indent="1"/>
    </xf>
    <xf numFmtId="4" fontId="11" fillId="0" borderId="0" xfId="1" applyNumberFormat="1" applyFont="1" applyAlignment="1" applyProtection="1">
      <alignment horizontal="right" vertical="center"/>
      <protection hidden="1"/>
    </xf>
    <xf numFmtId="4" fontId="9" fillId="0" borderId="0" xfId="7" applyNumberFormat="1" applyFont="1" applyBorder="1" applyAlignment="1" applyProtection="1">
      <alignment horizontal="right"/>
      <protection hidden="1"/>
    </xf>
    <xf numFmtId="0" fontId="43" fillId="0" borderId="0" xfId="79" applyFont="1" applyAlignment="1">
      <alignment horizontal="center"/>
    </xf>
    <xf numFmtId="0" fontId="41" fillId="0" borderId="0" xfId="79" applyFont="1"/>
    <xf numFmtId="167" fontId="6" fillId="0" borderId="15" xfId="79" applyNumberFormat="1" applyBorder="1" applyAlignment="1" applyProtection="1">
      <alignment horizontal="center" vertical="center"/>
      <protection hidden="1"/>
    </xf>
    <xf numFmtId="167" fontId="6" fillId="0" borderId="16" xfId="79" applyNumberFormat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21" fillId="4" borderId="2" xfId="79" applyFont="1" applyFill="1" applyBorder="1" applyAlignment="1">
      <alignment horizontal="center"/>
    </xf>
    <xf numFmtId="0" fontId="21" fillId="4" borderId="2" xfId="79" applyFont="1" applyFill="1" applyBorder="1" applyAlignment="1" applyProtection="1">
      <alignment horizontal="center"/>
      <protection hidden="1"/>
    </xf>
    <xf numFmtId="3" fontId="6" fillId="9" borderId="0" xfId="79" applyNumberFormat="1" applyFill="1" applyAlignment="1">
      <alignment horizontal="center" vertical="center"/>
    </xf>
    <xf numFmtId="0" fontId="46" fillId="0" borderId="0" xfId="0" applyFont="1" applyAlignment="1">
      <alignment horizontal="left" vertical="top" indent="1"/>
    </xf>
    <xf numFmtId="0" fontId="22" fillId="0" borderId="0" xfId="79" applyFont="1" applyAlignment="1">
      <alignment horizontal="left" vertical="center" indent="1"/>
    </xf>
    <xf numFmtId="0" fontId="47" fillId="0" borderId="0" xfId="0" applyFont="1"/>
    <xf numFmtId="0" fontId="47" fillId="0" borderId="0" xfId="79" applyFont="1"/>
    <xf numFmtId="0" fontId="47" fillId="0" borderId="0" xfId="79" applyFont="1" applyProtection="1">
      <protection hidden="1"/>
    </xf>
    <xf numFmtId="0" fontId="47" fillId="0" borderId="0" xfId="47" applyFont="1"/>
    <xf numFmtId="0" fontId="47" fillId="0" borderId="0" xfId="4" applyFont="1"/>
    <xf numFmtId="0" fontId="47" fillId="0" borderId="0" xfId="0" applyFont="1" applyProtection="1">
      <protection locked="0"/>
    </xf>
    <xf numFmtId="166" fontId="6" fillId="0" borderId="0" xfId="79" quotePrefix="1" applyNumberFormat="1" applyAlignment="1">
      <alignment horizontal="center" vertical="center"/>
    </xf>
    <xf numFmtId="0" fontId="3" fillId="0" borderId="0" xfId="4" applyFont="1"/>
    <xf numFmtId="0" fontId="3" fillId="0" borderId="0" xfId="4" quotePrefix="1" applyFont="1"/>
    <xf numFmtId="167" fontId="6" fillId="0" borderId="0" xfId="79" applyNumberFormat="1" applyAlignment="1">
      <alignment horizontal="center"/>
    </xf>
    <xf numFmtId="1" fontId="6" fillId="0" borderId="0" xfId="79" applyNumberFormat="1"/>
    <xf numFmtId="167" fontId="6" fillId="0" borderId="0" xfId="79" applyNumberFormat="1"/>
    <xf numFmtId="3" fontId="6" fillId="0" borderId="0" xfId="79" applyNumberFormat="1"/>
    <xf numFmtId="0" fontId="6" fillId="0" borderId="0" xfId="79" quotePrefix="1"/>
    <xf numFmtId="0" fontId="6" fillId="0" borderId="0" xfId="79" applyAlignment="1">
      <alignment wrapText="1"/>
    </xf>
    <xf numFmtId="167" fontId="6" fillId="0" borderId="0" xfId="79" applyNumberFormat="1" applyAlignment="1" applyProtection="1">
      <alignment horizontal="left" vertical="center"/>
      <protection hidden="1"/>
    </xf>
    <xf numFmtId="0" fontId="3" fillId="0" borderId="0" xfId="5"/>
    <xf numFmtId="0" fontId="36" fillId="0" borderId="0" xfId="0" applyFont="1"/>
    <xf numFmtId="0" fontId="50" fillId="0" borderId="0" xfId="79" applyFont="1" applyAlignment="1">
      <alignment horizontal="left" vertical="center" indent="1"/>
    </xf>
    <xf numFmtId="167" fontId="43" fillId="0" borderId="0" xfId="79" applyNumberFormat="1" applyFont="1" applyAlignment="1" applyProtection="1">
      <alignment horizontal="center" vertical="center"/>
      <protection hidden="1"/>
    </xf>
    <xf numFmtId="167" fontId="43" fillId="0" borderId="16" xfId="79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wrapText="1"/>
    </xf>
    <xf numFmtId="0" fontId="9" fillId="0" borderId="17" xfId="0" applyFont="1" applyBorder="1"/>
    <xf numFmtId="0" fontId="0" fillId="0" borderId="18" xfId="0" applyBorder="1"/>
    <xf numFmtId="4" fontId="9" fillId="0" borderId="19" xfId="0" applyNumberFormat="1" applyFont="1" applyBorder="1"/>
    <xf numFmtId="0" fontId="3" fillId="0" borderId="2" xfId="4" applyFont="1" applyBorder="1"/>
    <xf numFmtId="0" fontId="3" fillId="13" borderId="2" xfId="4" applyFont="1" applyFill="1" applyBorder="1"/>
    <xf numFmtId="0" fontId="5" fillId="13" borderId="2" xfId="4" applyFill="1" applyBorder="1"/>
    <xf numFmtId="0" fontId="5" fillId="0" borderId="10" xfId="4" applyBorder="1" applyAlignment="1">
      <alignment horizontal="left"/>
    </xf>
    <xf numFmtId="0" fontId="5" fillId="0" borderId="0" xfId="4" applyAlignment="1">
      <alignment horizontal="left"/>
    </xf>
    <xf numFmtId="0" fontId="6" fillId="0" borderId="0" xfId="79" applyAlignment="1" applyProtection="1">
      <alignment horizontal="center"/>
      <protection locked="0"/>
    </xf>
    <xf numFmtId="0" fontId="11" fillId="0" borderId="0" xfId="79" applyFont="1" applyAlignment="1" applyProtection="1">
      <alignment horizontal="center"/>
      <protection locked="0"/>
    </xf>
    <xf numFmtId="0" fontId="38" fillId="0" borderId="0" xfId="64" applyAlignment="1">
      <alignment horizontal="center"/>
    </xf>
    <xf numFmtId="0" fontId="38" fillId="0" borderId="2" xfId="58" applyBorder="1" applyAlignment="1">
      <alignment horizontal="center"/>
    </xf>
    <xf numFmtId="1" fontId="20" fillId="0" borderId="0" xfId="79" applyNumberFormat="1" applyFont="1" applyAlignment="1" applyProtection="1">
      <alignment horizontal="center" vertical="center"/>
      <protection hidden="1"/>
    </xf>
    <xf numFmtId="0" fontId="22" fillId="0" borderId="0" xfId="79" applyFont="1" applyAlignment="1">
      <alignment horizontal="center"/>
    </xf>
    <xf numFmtId="167" fontId="6" fillId="0" borderId="9" xfId="79" applyNumberFormat="1" applyBorder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top" wrapText="1"/>
    </xf>
    <xf numFmtId="0" fontId="21" fillId="0" borderId="0" xfId="79" applyFont="1" applyAlignment="1" applyProtection="1">
      <alignment horizontal="center"/>
      <protection locked="0"/>
    </xf>
    <xf numFmtId="1" fontId="6" fillId="0" borderId="0" xfId="79" applyNumberFormat="1" applyAlignment="1" applyProtection="1">
      <alignment horizontal="right" vertical="center"/>
      <protection hidden="1"/>
    </xf>
    <xf numFmtId="0" fontId="9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9" fontId="4" fillId="0" borderId="0" xfId="25" applyNumberFormat="1" applyAlignment="1">
      <alignment wrapText="1"/>
    </xf>
    <xf numFmtId="4" fontId="4" fillId="0" borderId="0" xfId="25" applyNumberFormat="1" applyAlignment="1">
      <alignment wrapText="1"/>
    </xf>
    <xf numFmtId="0" fontId="0" fillId="0" borderId="0" xfId="25" applyFont="1"/>
    <xf numFmtId="0" fontId="4" fillId="0" borderId="0" xfId="25"/>
    <xf numFmtId="49" fontId="4" fillId="0" borderId="0" xfId="25" applyNumberFormat="1"/>
    <xf numFmtId="4" fontId="4" fillId="0" borderId="0" xfId="25" applyNumberFormat="1"/>
    <xf numFmtId="4" fontId="4" fillId="0" borderId="0" xfId="13" applyNumberFormat="1"/>
    <xf numFmtId="168" fontId="4" fillId="0" borderId="0" xfId="25" applyNumberFormat="1"/>
    <xf numFmtId="168" fontId="4" fillId="0" borderId="0" xfId="13" applyNumberFormat="1"/>
    <xf numFmtId="0" fontId="4" fillId="0" borderId="0" xfId="25" applyAlignment="1">
      <alignment wrapText="1"/>
    </xf>
    <xf numFmtId="0" fontId="39" fillId="0" borderId="0" xfId="6" applyAlignment="1" applyProtection="1"/>
    <xf numFmtId="0" fontId="39" fillId="0" borderId="0" xfId="6" applyAlignment="1" applyProtection="1">
      <protection locked="0" hidden="1"/>
    </xf>
    <xf numFmtId="0" fontId="40" fillId="0" borderId="0" xfId="47" applyFont="1" applyAlignment="1">
      <alignment vertical="top" wrapText="1"/>
    </xf>
    <xf numFmtId="4" fontId="6" fillId="0" borderId="0" xfId="79" applyNumberFormat="1" applyAlignment="1">
      <alignment horizontal="right" vertical="center"/>
    </xf>
    <xf numFmtId="0" fontId="6" fillId="3" borderId="1" xfId="79" applyFill="1" applyBorder="1" applyAlignment="1" applyProtection="1">
      <alignment horizontal="center" vertical="center" wrapText="1"/>
      <protection locked="0"/>
    </xf>
    <xf numFmtId="0" fontId="56" fillId="0" borderId="0" xfId="88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49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9" fillId="17" borderId="0" xfId="6" applyFont="1" applyFill="1" applyBorder="1" applyAlignment="1" applyProtection="1">
      <alignment horizontal="center"/>
    </xf>
    <xf numFmtId="0" fontId="60" fillId="17" borderId="0" xfId="6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34" fillId="0" borderId="0" xfId="4" applyFont="1"/>
    <xf numFmtId="0" fontId="77" fillId="0" borderId="0" xfId="6" applyFont="1" applyAlignment="1" applyProtection="1">
      <alignment horizontal="left" indent="1"/>
      <protection locked="0" hidden="1"/>
    </xf>
    <xf numFmtId="0" fontId="43" fillId="0" borderId="0" xfId="79" applyFont="1"/>
    <xf numFmtId="0" fontId="6" fillId="0" borderId="0" xfId="79" applyAlignment="1" applyProtection="1">
      <alignment horizontal="center" vertical="center"/>
      <protection locked="0"/>
    </xf>
    <xf numFmtId="0" fontId="49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9" fillId="17" borderId="4" xfId="6" applyFont="1" applyFill="1" applyBorder="1" applyAlignment="1" applyProtection="1">
      <alignment horizontal="center"/>
      <protection hidden="1"/>
    </xf>
    <xf numFmtId="0" fontId="49" fillId="17" borderId="3" xfId="6" applyFont="1" applyFill="1" applyBorder="1" applyAlignment="1" applyProtection="1">
      <alignment horizontal="center"/>
      <protection hidden="1"/>
    </xf>
    <xf numFmtId="0" fontId="49" fillId="16" borderId="0" xfId="6" applyFont="1" applyFill="1" applyBorder="1" applyAlignment="1" applyProtection="1">
      <alignment wrapText="1"/>
      <protection hidden="1"/>
    </xf>
    <xf numFmtId="0" fontId="49" fillId="16" borderId="3" xfId="6" applyFont="1" applyFill="1" applyBorder="1" applyAlignment="1" applyProtection="1">
      <alignment wrapText="1"/>
      <protection hidden="1"/>
    </xf>
    <xf numFmtId="0" fontId="49" fillId="18" borderId="0" xfId="6" applyFont="1" applyFill="1" applyBorder="1" applyAlignment="1" applyProtection="1">
      <alignment wrapText="1"/>
      <protection hidden="1"/>
    </xf>
    <xf numFmtId="0" fontId="49" fillId="16" borderId="4" xfId="6" applyFont="1" applyFill="1" applyBorder="1" applyAlignment="1" applyProtection="1">
      <alignment wrapText="1"/>
      <protection hidden="1"/>
    </xf>
    <xf numFmtId="0" fontId="49" fillId="16" borderId="5" xfId="6" applyFont="1" applyFill="1" applyBorder="1" applyAlignment="1" applyProtection="1">
      <alignment wrapText="1"/>
      <protection hidden="1"/>
    </xf>
    <xf numFmtId="0" fontId="49" fillId="16" borderId="6" xfId="6" applyFont="1" applyFill="1" applyBorder="1" applyAlignment="1" applyProtection="1">
      <alignment wrapText="1"/>
      <protection hidden="1"/>
    </xf>
    <xf numFmtId="0" fontId="49" fillId="16" borderId="20" xfId="6" applyFont="1" applyFill="1" applyBorder="1" applyAlignment="1" applyProtection="1">
      <alignment wrapText="1"/>
      <protection hidden="1"/>
    </xf>
    <xf numFmtId="0" fontId="49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8" fillId="0" borderId="0" xfId="4" applyFont="1" applyAlignment="1" applyProtection="1">
      <alignment horizontal="center"/>
      <protection hidden="1"/>
    </xf>
    <xf numFmtId="0" fontId="8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8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9" fillId="19" borderId="0" xfId="1" applyNumberFormat="1" applyFont="1" applyFill="1" applyAlignment="1" applyProtection="1">
      <alignment horizontal="center"/>
      <protection hidden="1"/>
    </xf>
    <xf numFmtId="0" fontId="48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9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5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9" fillId="20" borderId="0" xfId="6" applyFill="1" applyBorder="1" applyAlignment="1" applyProtection="1">
      <alignment horizontal="center"/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9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4" fillId="19" borderId="4" xfId="6" applyFont="1" applyFill="1" applyBorder="1" applyAlignment="1" applyProtection="1">
      <alignment horizontal="center" vertical="top"/>
      <protection hidden="1"/>
    </xf>
    <xf numFmtId="0" fontId="44" fillId="20" borderId="0" xfId="6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9" fillId="21" borderId="0" xfId="6" applyFont="1" applyFill="1" applyBorder="1" applyAlignment="1" applyProtection="1">
      <alignment wrapText="1"/>
      <protection hidden="1"/>
    </xf>
    <xf numFmtId="4" fontId="6" fillId="0" borderId="0" xfId="1" applyNumberFormat="1" applyFont="1" applyAlignment="1" applyProtection="1">
      <alignment horizontal="right"/>
      <protection hidden="1"/>
    </xf>
    <xf numFmtId="4" fontId="6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49" fillId="0" borderId="0" xfId="6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7" xfId="0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6" fillId="4" borderId="2" xfId="79" applyFill="1" applyBorder="1" applyAlignment="1" applyProtection="1">
      <alignment horizontal="center"/>
      <protection locked="0" hidden="1"/>
    </xf>
    <xf numFmtId="0" fontId="21" fillId="4" borderId="2" xfId="79" applyFont="1" applyFill="1" applyBorder="1" applyAlignment="1" applyProtection="1">
      <alignment horizontal="center"/>
      <protection locked="0" hidden="1"/>
    </xf>
    <xf numFmtId="0" fontId="82" fillId="0" borderId="0" xfId="6" applyNumberFormat="1" applyFont="1" applyFill="1" applyAlignment="1" applyProtection="1"/>
    <xf numFmtId="49" fontId="47" fillId="0" borderId="0" xfId="47" applyNumberFormat="1" applyFont="1" applyAlignment="1">
      <alignment horizontal="left" vertical="top" wrapText="1"/>
    </xf>
    <xf numFmtId="49" fontId="47" fillId="0" borderId="0" xfId="47" applyNumberFormat="1" applyFont="1" applyAlignment="1">
      <alignment vertical="top" wrapText="1"/>
    </xf>
    <xf numFmtId="49" fontId="52" fillId="0" borderId="0" xfId="47" applyNumberFormat="1" applyFont="1" applyAlignment="1">
      <alignment horizontal="left"/>
    </xf>
    <xf numFmtId="49" fontId="52" fillId="0" borderId="0" xfId="47" applyNumberFormat="1" applyFont="1"/>
    <xf numFmtId="0" fontId="20" fillId="0" borderId="0" xfId="79" applyFont="1" applyAlignment="1">
      <alignment horizontal="left"/>
    </xf>
    <xf numFmtId="0" fontId="6" fillId="0" borderId="0" xfId="79" applyAlignment="1" applyProtection="1">
      <alignment horizontal="left" vertical="center"/>
      <protection hidden="1"/>
    </xf>
    <xf numFmtId="0" fontId="20" fillId="0" borderId="0" xfId="79" applyFont="1" applyAlignment="1" applyProtection="1">
      <alignment horizontal="left"/>
      <protection hidden="1"/>
    </xf>
    <xf numFmtId="0" fontId="20" fillId="0" borderId="0" xfId="79" applyFont="1" applyAlignment="1">
      <alignment horizontal="left" vertical="center"/>
    </xf>
    <xf numFmtId="0" fontId="34" fillId="0" borderId="0" xfId="0" applyFont="1"/>
    <xf numFmtId="0" fontId="80" fillId="0" borderId="0" xfId="0" applyFont="1" applyAlignment="1">
      <alignment horizontal="left" vertical="top" indent="1"/>
    </xf>
    <xf numFmtId="0" fontId="6" fillId="0" borderId="0" xfId="79" applyAlignment="1">
      <alignment horizontal="left" indent="1"/>
    </xf>
    <xf numFmtId="0" fontId="20" fillId="0" borderId="0" xfId="79" applyFont="1" applyAlignment="1">
      <alignment horizontal="center" vertical="center"/>
    </xf>
    <xf numFmtId="0" fontId="81" fillId="0" borderId="0" xfId="0" applyFont="1"/>
    <xf numFmtId="0" fontId="34" fillId="0" borderId="0" xfId="0" applyFont="1" applyAlignment="1">
      <alignment vertical="top"/>
    </xf>
    <xf numFmtId="0" fontId="83" fillId="0" borderId="0" xfId="4" applyFont="1"/>
    <xf numFmtId="0" fontId="64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64" fillId="0" borderId="0" xfId="0" applyFont="1"/>
    <xf numFmtId="0" fontId="84" fillId="0" borderId="0" xfId="0" applyFont="1"/>
    <xf numFmtId="0" fontId="3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2" fillId="0" borderId="0" xfId="6" applyFont="1" applyFill="1" applyAlignment="1" applyProtection="1"/>
    <xf numFmtId="0" fontId="82" fillId="0" borderId="0" xfId="6" applyFont="1" applyFill="1" applyAlignment="1" applyProtection="1">
      <alignment horizontal="left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5" fillId="21" borderId="6" xfId="6" applyFont="1" applyFill="1" applyBorder="1" applyAlignment="1" applyProtection="1">
      <alignment horizontal="center"/>
      <protection hidden="1"/>
    </xf>
    <xf numFmtId="0" fontId="85" fillId="21" borderId="0" xfId="6" applyFont="1" applyFill="1" applyBorder="1" applyAlignment="1" applyProtection="1">
      <alignment horizontal="center"/>
      <protection hidden="1"/>
    </xf>
    <xf numFmtId="49" fontId="86" fillId="0" borderId="0" xfId="100" applyNumberFormat="1"/>
    <xf numFmtId="0" fontId="86" fillId="0" borderId="0" xfId="100"/>
    <xf numFmtId="0" fontId="34" fillId="0" borderId="0" xfId="101"/>
    <xf numFmtId="49" fontId="34" fillId="0" borderId="0" xfId="103" applyNumberFormat="1"/>
    <xf numFmtId="0" fontId="34" fillId="0" borderId="0" xfId="113"/>
    <xf numFmtId="49" fontId="34" fillId="0" borderId="0" xfId="123" applyNumberFormat="1"/>
    <xf numFmtId="0" fontId="87" fillId="0" borderId="0" xfId="79" applyFont="1" applyAlignment="1">
      <alignment horizontal="center"/>
    </xf>
    <xf numFmtId="0" fontId="32" fillId="0" borderId="0" xfId="79" applyFont="1" applyAlignment="1" applyProtection="1">
      <alignment horizontal="left" vertical="center" indent="1"/>
      <protection hidden="1"/>
    </xf>
    <xf numFmtId="0" fontId="6" fillId="0" borderId="0" xfId="79" applyAlignment="1" applyProtection="1">
      <alignment horizontal="left" vertical="center" indent="1"/>
      <protection hidden="1"/>
    </xf>
    <xf numFmtId="0" fontId="11" fillId="0" borderId="0" xfId="79" applyFont="1" applyAlignment="1" applyProtection="1">
      <alignment horizontal="center" vertical="center" wrapText="1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12" fillId="0" borderId="0" xfId="79" applyFont="1" applyAlignment="1" applyProtection="1">
      <alignment horizontal="left" vertical="center" indent="1"/>
      <protection hidden="1"/>
    </xf>
    <xf numFmtId="0" fontId="22" fillId="0" borderId="0" xfId="79" applyFont="1" applyAlignment="1" applyProtection="1">
      <alignment horizontal="left" vertical="center" indent="1"/>
      <protection hidden="1"/>
    </xf>
    <xf numFmtId="0" fontId="23" fillId="0" borderId="0" xfId="79" applyFont="1" applyAlignment="1" applyProtection="1">
      <alignment horizontal="left" vertical="center" indent="1"/>
      <protection hidden="1"/>
    </xf>
    <xf numFmtId="0" fontId="34" fillId="0" borderId="0" xfId="0" applyFont="1" applyProtection="1">
      <protection hidden="1"/>
    </xf>
    <xf numFmtId="0" fontId="12" fillId="2" borderId="0" xfId="79" applyFont="1" applyFill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wrapText="1" indent="1"/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left" indent="1"/>
      <protection hidden="1"/>
    </xf>
    <xf numFmtId="166" fontId="6" fillId="0" borderId="0" xfId="79" applyNumberForma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left" vertical="center"/>
      <protection hidden="1"/>
    </xf>
    <xf numFmtId="0" fontId="41" fillId="0" borderId="0" xfId="79" applyFont="1" applyAlignment="1" applyProtection="1">
      <alignment horizontal="center"/>
      <protection hidden="1"/>
    </xf>
    <xf numFmtId="167" fontId="6" fillId="0" borderId="0" xfId="79" applyNumberFormat="1" applyAlignment="1" applyProtection="1">
      <alignment horizontal="center"/>
      <protection hidden="1"/>
    </xf>
    <xf numFmtId="0" fontId="18" fillId="0" borderId="0" xfId="79" applyFont="1" applyAlignment="1" applyProtection="1">
      <alignment horizontal="center"/>
      <protection hidden="1"/>
    </xf>
    <xf numFmtId="0" fontId="21" fillId="0" borderId="0" xfId="79" applyFont="1" applyAlignment="1" applyProtection="1">
      <alignment horizontal="center"/>
      <protection hidden="1"/>
    </xf>
    <xf numFmtId="0" fontId="24" fillId="0" borderId="0" xfId="79" applyFont="1" applyAlignment="1" applyProtection="1">
      <alignment horizontal="left"/>
      <protection hidden="1"/>
    </xf>
    <xf numFmtId="4" fontId="6" fillId="9" borderId="0" xfId="79" applyNumberFormat="1" applyFill="1" applyAlignment="1" applyProtection="1">
      <alignment horizontal="right"/>
      <protection hidden="1"/>
    </xf>
    <xf numFmtId="0" fontId="10" fillId="0" borderId="0" xfId="79" applyFont="1" applyAlignment="1" applyProtection="1">
      <alignment horizontal="right" vertical="center" indent="1"/>
      <protection hidden="1"/>
    </xf>
    <xf numFmtId="0" fontId="6" fillId="0" borderId="0" xfId="79" applyAlignment="1" applyProtection="1">
      <alignment horizontal="center" vertical="center"/>
      <protection locked="0" hidden="1"/>
    </xf>
    <xf numFmtId="0" fontId="34" fillId="0" borderId="0" xfId="135"/>
    <xf numFmtId="49" fontId="34" fillId="0" borderId="0" xfId="137" applyNumberFormat="1"/>
    <xf numFmtId="0" fontId="19" fillId="0" borderId="0" xfId="79" applyFont="1" applyProtection="1">
      <protection hidden="1"/>
    </xf>
    <xf numFmtId="4" fontId="16" fillId="0" borderId="0" xfId="7" applyNumberFormat="1" applyFont="1" applyAlignment="1" applyProtection="1">
      <alignment horizontal="right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right"/>
      <protection hidden="1"/>
    </xf>
    <xf numFmtId="0" fontId="21" fillId="9" borderId="0" xfId="79" applyFont="1" applyFill="1" applyProtection="1">
      <protection hidden="1"/>
    </xf>
    <xf numFmtId="0" fontId="6" fillId="9" borderId="0" xfId="79" applyFill="1" applyProtection="1">
      <protection hidden="1"/>
    </xf>
    <xf numFmtId="0" fontId="26" fillId="9" borderId="0" xfId="79" applyFont="1" applyFill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3" fillId="0" borderId="0" xfId="79" applyFont="1" applyProtection="1">
      <protection hidden="1"/>
    </xf>
    <xf numFmtId="0" fontId="12" fillId="9" borderId="0" xfId="79" applyFont="1" applyFill="1" applyAlignment="1" applyProtection="1">
      <alignment horizontal="left" vertical="center" indent="1"/>
      <protection hidden="1"/>
    </xf>
    <xf numFmtId="3" fontId="6" fillId="3" borderId="1" xfId="79" applyNumberFormat="1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 wrapText="1"/>
      <protection locked="0" hidden="1"/>
    </xf>
    <xf numFmtId="0" fontId="6" fillId="4" borderId="2" xfId="79" applyFill="1" applyBorder="1" applyAlignment="1" applyProtection="1">
      <alignment horizontal="center" vertical="center"/>
      <protection locked="0" hidden="1"/>
    </xf>
    <xf numFmtId="0" fontId="6" fillId="9" borderId="2" xfId="79" applyFill="1" applyBorder="1" applyAlignment="1" applyProtection="1">
      <alignment horizontal="center" vertical="center"/>
      <protection locked="0" hidden="1"/>
    </xf>
    <xf numFmtId="0" fontId="21" fillId="0" borderId="0" xfId="79" applyFont="1" applyAlignment="1" applyProtection="1">
      <alignment horizontal="left" vertical="top" wrapText="1"/>
      <protection hidden="1"/>
    </xf>
    <xf numFmtId="167" fontId="6" fillId="0" borderId="0" xfId="79" applyNumberFormat="1" applyProtection="1">
      <protection hidden="1"/>
    </xf>
    <xf numFmtId="0" fontId="6" fillId="8" borderId="0" xfId="79" applyFill="1" applyAlignment="1" applyProtection="1">
      <alignment horizontal="center"/>
      <protection hidden="1"/>
    </xf>
    <xf numFmtId="0" fontId="6" fillId="8" borderId="0" xfId="79" applyFill="1" applyProtection="1">
      <protection hidden="1"/>
    </xf>
    <xf numFmtId="166" fontId="6" fillId="0" borderId="0" xfId="79" applyNumberFormat="1" applyAlignment="1" applyProtection="1">
      <alignment horizontal="center"/>
      <protection hidden="1"/>
    </xf>
    <xf numFmtId="0" fontId="6" fillId="0" borderId="0" xfId="79" applyAlignment="1" applyProtection="1">
      <alignment wrapText="1"/>
      <protection hidden="1"/>
    </xf>
    <xf numFmtId="3" fontId="6" fillId="0" borderId="0" xfId="79" applyNumberFormat="1" applyProtection="1">
      <protection hidden="1"/>
    </xf>
    <xf numFmtId="0" fontId="43" fillId="0" borderId="0" xfId="79" applyFont="1" applyAlignment="1" applyProtection="1">
      <alignment horizontal="center"/>
      <protection hidden="1"/>
    </xf>
    <xf numFmtId="0" fontId="13" fillId="0" borderId="0" xfId="79" applyFont="1" applyAlignment="1">
      <alignment horizontal="center" vertical="center"/>
    </xf>
    <xf numFmtId="0" fontId="21" fillId="10" borderId="0" xfId="79" applyFont="1" applyFill="1" applyAlignment="1">
      <alignment vertical="top" wrapText="1"/>
    </xf>
    <xf numFmtId="0" fontId="16" fillId="0" borderId="0" xfId="0" applyFont="1" applyAlignment="1">
      <alignment horizontal="left" vertical="center"/>
    </xf>
    <xf numFmtId="4" fontId="6" fillId="0" borderId="0" xfId="2" applyNumberFormat="1" applyFont="1" applyAlignment="1" applyProtection="1">
      <alignment horizontal="right" vertical="center"/>
      <protection hidden="1"/>
    </xf>
    <xf numFmtId="4" fontId="4" fillId="0" borderId="0" xfId="7" applyNumberFormat="1" applyBorder="1" applyAlignment="1" applyProtection="1">
      <alignment horizontal="right"/>
      <protection hidden="1"/>
    </xf>
    <xf numFmtId="0" fontId="14" fillId="0" borderId="0" xfId="79" applyFont="1" applyAlignment="1">
      <alignment vertical="center"/>
    </xf>
    <xf numFmtId="0" fontId="91" fillId="0" borderId="0" xfId="79" applyFont="1" applyAlignment="1" applyProtection="1">
      <alignment horizontal="center" vertical="center"/>
      <protection hidden="1"/>
    </xf>
    <xf numFmtId="0" fontId="43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>
      <alignment horizontal="left" vertical="center" wrapText="1" indent="1"/>
    </xf>
    <xf numFmtId="4" fontId="16" fillId="0" borderId="0" xfId="7" applyNumberFormat="1" applyFont="1" applyBorder="1" applyAlignment="1" applyProtection="1">
      <alignment horizontal="right" vertical="center"/>
      <protection hidden="1"/>
    </xf>
    <xf numFmtId="0" fontId="21" fillId="0" borderId="0" xfId="79" applyFont="1" applyAlignment="1">
      <alignment horizontal="left" vertical="center"/>
    </xf>
    <xf numFmtId="0" fontId="10" fillId="0" borderId="0" xfId="79" applyFont="1" applyAlignment="1">
      <alignment horizontal="right" vertical="center" wrapText="1" indent="1"/>
    </xf>
    <xf numFmtId="0" fontId="43" fillId="0" borderId="0" xfId="79" applyFont="1" applyAlignment="1">
      <alignment horizontal="left" vertical="center"/>
    </xf>
    <xf numFmtId="0" fontId="22" fillId="0" borderId="0" xfId="79" applyFont="1" applyAlignment="1">
      <alignment horizontal="left" vertical="center"/>
    </xf>
    <xf numFmtId="167" fontId="43" fillId="0" borderId="0" xfId="79" applyNumberFormat="1" applyFont="1" applyAlignment="1" applyProtection="1">
      <alignment horizontal="left" vertical="center"/>
      <protection hidden="1"/>
    </xf>
    <xf numFmtId="3" fontId="6" fillId="0" borderId="33" xfId="79" applyNumberFormat="1" applyBorder="1" applyAlignment="1" applyProtection="1">
      <alignment horizontal="center" vertical="center"/>
      <protection hidden="1"/>
    </xf>
    <xf numFmtId="3" fontId="6" fillId="0" borderId="34" xfId="79" applyNumberFormat="1" applyBorder="1" applyAlignment="1" applyProtection="1">
      <alignment horizontal="center" vertical="center"/>
      <protection hidden="1"/>
    </xf>
    <xf numFmtId="167" fontId="6" fillId="0" borderId="13" xfId="79" applyNumberFormat="1" applyBorder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right" vertical="center" wrapText="1" indent="1"/>
      <protection hidden="1"/>
    </xf>
    <xf numFmtId="3" fontId="6" fillId="9" borderId="0" xfId="79" applyNumberFormat="1" applyFill="1" applyAlignment="1" applyProtection="1">
      <alignment horizontal="center" vertical="center"/>
      <protection hidden="1"/>
    </xf>
    <xf numFmtId="167" fontId="6" fillId="0" borderId="0" xfId="79" applyNumberFormat="1" applyAlignment="1" applyProtection="1">
      <alignment horizontal="right" vertical="center" wrapText="1"/>
      <protection hidden="1"/>
    </xf>
    <xf numFmtId="167" fontId="6" fillId="0" borderId="35" xfId="79" applyNumberFormat="1" applyBorder="1" applyAlignment="1" applyProtection="1">
      <alignment horizontal="center" vertical="center"/>
      <protection hidden="1"/>
    </xf>
    <xf numFmtId="167" fontId="6" fillId="10" borderId="9" xfId="79" applyNumberFormat="1" applyFill="1" applyBorder="1" applyAlignment="1" applyProtection="1">
      <alignment horizontal="center" vertical="center"/>
      <protection hidden="1"/>
    </xf>
    <xf numFmtId="167" fontId="6" fillId="0" borderId="36" xfId="79" applyNumberFormat="1" applyBorder="1" applyAlignment="1" applyProtection="1">
      <alignment horizontal="center" vertical="center"/>
      <protection hidden="1"/>
    </xf>
    <xf numFmtId="3" fontId="6" fillId="0" borderId="11" xfId="79" applyNumberFormat="1" applyBorder="1" applyAlignment="1" applyProtection="1">
      <alignment horizontal="center" vertical="center"/>
      <protection hidden="1"/>
    </xf>
    <xf numFmtId="167" fontId="6" fillId="0" borderId="14" xfId="79" applyNumberFormat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right" vertical="center" wrapText="1"/>
      <protection hidden="1"/>
    </xf>
    <xf numFmtId="167" fontId="6" fillId="10" borderId="13" xfId="79" applyNumberFormat="1" applyFill="1" applyBorder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right" vertical="center" wrapText="1"/>
    </xf>
    <xf numFmtId="166" fontId="6" fillId="0" borderId="0" xfId="79" applyNumberFormat="1" applyAlignment="1">
      <alignment horizontal="right" vertical="center" wrapText="1"/>
    </xf>
    <xf numFmtId="3" fontId="6" fillId="0" borderId="37" xfId="79" applyNumberFormat="1" applyBorder="1" applyAlignment="1" applyProtection="1">
      <alignment horizontal="center" vertical="center"/>
      <protection hidden="1"/>
    </xf>
    <xf numFmtId="0" fontId="12" fillId="0" borderId="38" xfId="79" applyFont="1" applyBorder="1" applyAlignment="1">
      <alignment horizontal="left" vertical="center" indent="1"/>
    </xf>
    <xf numFmtId="0" fontId="21" fillId="0" borderId="0" xfId="79" applyFont="1" applyAlignment="1">
      <alignment vertical="top"/>
    </xf>
    <xf numFmtId="0" fontId="22" fillId="0" borderId="0" xfId="79" applyFont="1" applyAlignment="1">
      <alignment horizontal="right" vertical="center"/>
    </xf>
    <xf numFmtId="0" fontId="22" fillId="0" borderId="0" xfId="79" applyFont="1" applyAlignment="1">
      <alignment horizontal="right" vertical="center" indent="1"/>
    </xf>
    <xf numFmtId="0" fontId="22" fillId="0" borderId="0" xfId="79" applyFont="1" applyAlignment="1" applyProtection="1">
      <alignment horizontal="center" vertical="center"/>
      <protection hidden="1"/>
    </xf>
    <xf numFmtId="0" fontId="50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4" fillId="6" borderId="39" xfId="6" applyFont="1" applyFill="1" applyBorder="1" applyAlignment="1" applyProtection="1">
      <alignment horizontal="left" vertical="center" indent="1"/>
      <protection locked="0" hidden="1"/>
    </xf>
    <xf numFmtId="0" fontId="10" fillId="0" borderId="0" xfId="79" applyFont="1" applyAlignment="1">
      <alignment horizontal="right" vertical="center" wrapText="1"/>
    </xf>
    <xf numFmtId="0" fontId="34" fillId="0" borderId="0" xfId="100" applyFont="1"/>
    <xf numFmtId="0" fontId="6" fillId="4" borderId="14" xfId="79" applyFill="1" applyBorder="1" applyAlignment="1" applyProtection="1">
      <alignment horizontal="center"/>
      <protection locked="0"/>
    </xf>
    <xf numFmtId="0" fontId="6" fillId="10" borderId="0" xfId="79" applyFill="1" applyAlignment="1" applyProtection="1">
      <alignment horizontal="center"/>
      <protection locked="0"/>
    </xf>
    <xf numFmtId="0" fontId="10" fillId="10" borderId="0" xfId="79" applyFont="1" applyFill="1" applyAlignment="1" applyProtection="1">
      <alignment horizontal="left" vertical="center" indent="1"/>
      <protection hidden="1"/>
    </xf>
    <xf numFmtId="1" fontId="19" fillId="10" borderId="0" xfId="79" applyNumberFormat="1" applyFont="1" applyFill="1" applyAlignment="1" applyProtection="1">
      <alignment horizontal="left" vertical="center"/>
      <protection hidden="1"/>
    </xf>
    <xf numFmtId="4" fontId="6" fillId="10" borderId="0" xfId="1" applyNumberFormat="1" applyFont="1" applyFill="1" applyAlignment="1" applyProtection="1">
      <alignment horizontal="right" vertical="center"/>
      <protection hidden="1"/>
    </xf>
    <xf numFmtId="4" fontId="16" fillId="10" borderId="0" xfId="7" applyNumberFormat="1" applyFont="1" applyFill="1" applyBorder="1" applyAlignment="1" applyProtection="1">
      <alignment horizontal="right"/>
      <protection hidden="1"/>
    </xf>
    <xf numFmtId="0" fontId="6" fillId="10" borderId="0" xfId="79" applyFill="1" applyAlignment="1">
      <alignment horizontal="center"/>
    </xf>
    <xf numFmtId="0" fontId="6" fillId="10" borderId="0" xfId="79" applyFill="1" applyAlignment="1" applyProtection="1">
      <alignment horizontal="center"/>
      <protection hidden="1"/>
    </xf>
    <xf numFmtId="4" fontId="6" fillId="10" borderId="0" xfId="79" applyNumberFormat="1" applyFill="1" applyAlignment="1" applyProtection="1">
      <alignment horizontal="right" vertical="center"/>
      <protection hidden="1"/>
    </xf>
    <xf numFmtId="0" fontId="5" fillId="11" borderId="0" xfId="4" applyFill="1"/>
    <xf numFmtId="0" fontId="5" fillId="11" borderId="0" xfId="4" applyFill="1" applyAlignment="1">
      <alignment horizontal="center"/>
    </xf>
    <xf numFmtId="0" fontId="5" fillId="11" borderId="2" xfId="4" applyFill="1" applyBorder="1"/>
    <xf numFmtId="0" fontId="3" fillId="11" borderId="0" xfId="5" applyFill="1"/>
    <xf numFmtId="0" fontId="5" fillId="11" borderId="2" xfId="4" applyFill="1" applyBorder="1" applyAlignment="1">
      <alignment horizontal="center"/>
    </xf>
    <xf numFmtId="0" fontId="3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" fillId="22" borderId="0" xfId="4" applyFill="1"/>
    <xf numFmtId="0" fontId="5" fillId="22" borderId="2" xfId="4" applyFill="1" applyBorder="1"/>
    <xf numFmtId="0" fontId="5" fillId="22" borderId="0" xfId="4" applyFill="1" applyAlignment="1">
      <alignment horizontal="center"/>
    </xf>
    <xf numFmtId="0" fontId="5" fillId="22" borderId="2" xfId="4" applyFill="1" applyBorder="1" applyAlignment="1">
      <alignment horizontal="center"/>
    </xf>
    <xf numFmtId="0" fontId="5" fillId="12" borderId="2" xfId="4" applyFill="1" applyBorder="1"/>
    <xf numFmtId="0" fontId="5" fillId="12" borderId="0" xfId="4" applyFill="1"/>
    <xf numFmtId="0" fontId="5" fillId="12" borderId="0" xfId="4" applyFill="1" applyAlignment="1">
      <alignment horizontal="center"/>
    </xf>
    <xf numFmtId="0" fontId="5" fillId="23" borderId="2" xfId="4" applyFill="1" applyBorder="1"/>
    <xf numFmtId="0" fontId="3" fillId="23" borderId="2" xfId="4" applyFont="1" applyFill="1" applyBorder="1"/>
    <xf numFmtId="0" fontId="5" fillId="23" borderId="0" xfId="4" applyFill="1"/>
    <xf numFmtId="0" fontId="5" fillId="23" borderId="2" xfId="4" applyFill="1" applyBorder="1" applyAlignment="1">
      <alignment horizontal="center"/>
    </xf>
    <xf numFmtId="0" fontId="0" fillId="24" borderId="2" xfId="0" applyFill="1" applyBorder="1" applyAlignment="1">
      <alignment horizontal="center" vertical="center"/>
    </xf>
    <xf numFmtId="0" fontId="5" fillId="24" borderId="0" xfId="4" applyFill="1"/>
    <xf numFmtId="0" fontId="5" fillId="24" borderId="2" xfId="4" applyFill="1" applyBorder="1"/>
    <xf numFmtId="0" fontId="5" fillId="24" borderId="2" xfId="4" applyFill="1" applyBorder="1" applyAlignment="1">
      <alignment horizontal="center"/>
    </xf>
    <xf numFmtId="0" fontId="3" fillId="24" borderId="2" xfId="4" applyFont="1" applyFill="1" applyBorder="1"/>
    <xf numFmtId="0" fontId="3" fillId="11" borderId="0" xfId="4" applyFont="1" applyFill="1"/>
    <xf numFmtId="168" fontId="4" fillId="8" borderId="0" xfId="25" applyNumberFormat="1" applyFill="1" applyAlignment="1">
      <alignment wrapText="1"/>
    </xf>
    <xf numFmtId="0" fontId="0" fillId="0" borderId="0" xfId="0" applyAlignment="1">
      <alignment horizontal="center"/>
    </xf>
    <xf numFmtId="0" fontId="3" fillId="13" borderId="0" xfId="4" applyFont="1" applyFill="1"/>
    <xf numFmtId="0" fontId="5" fillId="13" borderId="0" xfId="4" applyFill="1"/>
    <xf numFmtId="0" fontId="3" fillId="0" borderId="2" xfId="4" applyFont="1" applyBorder="1" applyAlignment="1">
      <alignment horizontal="center"/>
    </xf>
    <xf numFmtId="0" fontId="6" fillId="10" borderId="0" xfId="79" applyFill="1" applyAlignment="1" applyProtection="1">
      <alignment horizontal="center" vertical="center"/>
      <protection hidden="1"/>
    </xf>
    <xf numFmtId="0" fontId="6" fillId="10" borderId="0" xfId="79" applyFill="1" applyAlignment="1" applyProtection="1">
      <alignment horizontal="center" vertical="center"/>
      <protection locked="0" hidden="1"/>
    </xf>
    <xf numFmtId="0" fontId="25" fillId="5" borderId="18" xfId="0" applyFont="1" applyFill="1" applyBorder="1" applyAlignment="1">
      <alignment horizontal="left"/>
    </xf>
    <xf numFmtId="0" fontId="5" fillId="0" borderId="18" xfId="4" applyBorder="1"/>
    <xf numFmtId="0" fontId="49" fillId="0" borderId="0" xfId="6" applyFont="1" applyFill="1" applyBorder="1" applyAlignment="1" applyProtection="1">
      <alignment horizontal="center"/>
      <protection locked="0" hidden="1"/>
    </xf>
    <xf numFmtId="0" fontId="66" fillId="19" borderId="20" xfId="4" applyFont="1" applyFill="1" applyBorder="1" applyProtection="1">
      <protection hidden="1"/>
    </xf>
    <xf numFmtId="0" fontId="66" fillId="19" borderId="4" xfId="4" applyFont="1" applyFill="1" applyBorder="1" applyProtection="1">
      <protection hidden="1"/>
    </xf>
    <xf numFmtId="0" fontId="71" fillId="20" borderId="4" xfId="4" applyFont="1" applyFill="1" applyBorder="1" applyAlignment="1" applyProtection="1">
      <alignment horizontal="center" vertical="center"/>
      <protection hidden="1"/>
    </xf>
    <xf numFmtId="0" fontId="74" fillId="20" borderId="4" xfId="3" applyFont="1" applyFill="1" applyBorder="1" applyAlignment="1" applyProtection="1">
      <alignment horizontal="center"/>
      <protection hidden="1"/>
    </xf>
    <xf numFmtId="0" fontId="66" fillId="19" borderId="5" xfId="4" applyFont="1" applyFill="1" applyBorder="1" applyProtection="1">
      <protection hidden="1"/>
    </xf>
    <xf numFmtId="0" fontId="39" fillId="0" borderId="29" xfId="6" applyFill="1" applyBorder="1" applyAlignment="1" applyProtection="1"/>
    <xf numFmtId="0" fontId="49" fillId="17" borderId="0" xfId="6" applyFont="1" applyFill="1" applyBorder="1" applyAlignment="1" applyProtection="1">
      <alignment vertical="center" wrapText="1"/>
      <protection hidden="1"/>
    </xf>
    <xf numFmtId="0" fontId="2" fillId="0" borderId="0" xfId="149"/>
    <xf numFmtId="0" fontId="2" fillId="0" borderId="0" xfId="231"/>
    <xf numFmtId="4" fontId="4" fillId="0" borderId="0" xfId="7" applyNumberFormat="1" applyFill="1" applyBorder="1" applyAlignment="1" applyProtection="1">
      <alignment horizontal="right"/>
      <protection hidden="1"/>
    </xf>
    <xf numFmtId="2" fontId="6" fillId="0" borderId="1" xfId="79" applyNumberFormat="1" applyBorder="1" applyAlignment="1" applyProtection="1">
      <alignment horizontal="center" vertical="center"/>
      <protection hidden="1"/>
    </xf>
    <xf numFmtId="0" fontId="6" fillId="0" borderId="2" xfId="79" applyBorder="1"/>
    <xf numFmtId="0" fontId="6" fillId="0" borderId="2" xfId="79" applyBorder="1" applyAlignment="1">
      <alignment horizontal="center"/>
    </xf>
    <xf numFmtId="0" fontId="10" fillId="0" borderId="0" xfId="79" applyFont="1" applyAlignment="1">
      <alignment horizontal="left" vertical="center"/>
    </xf>
    <xf numFmtId="0" fontId="11" fillId="0" borderId="0" xfId="79" applyFont="1" applyAlignment="1">
      <alignment horizontal="center" vertical="center" wrapText="1"/>
    </xf>
    <xf numFmtId="1" fontId="10" fillId="0" borderId="0" xfId="79" applyNumberFormat="1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9" fillId="0" borderId="0" xfId="79" applyFont="1" applyAlignment="1">
      <alignment horizontal="left"/>
    </xf>
    <xf numFmtId="0" fontId="36" fillId="0" borderId="0" xfId="0" applyFont="1" applyAlignment="1">
      <alignment horizontal="left" vertical="center"/>
    </xf>
    <xf numFmtId="0" fontId="19" fillId="0" borderId="0" xfId="79" applyFont="1" applyAlignment="1">
      <alignment horizontal="left" vertical="center"/>
    </xf>
    <xf numFmtId="0" fontId="0" fillId="10" borderId="0" xfId="0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left" vertical="center"/>
      <protection hidden="1"/>
    </xf>
    <xf numFmtId="0" fontId="0" fillId="8" borderId="0" xfId="0" applyFill="1" applyAlignment="1">
      <alignment horizontal="center" vertical="center"/>
    </xf>
    <xf numFmtId="1" fontId="20" fillId="0" borderId="0" xfId="79" applyNumberFormat="1" applyFont="1" applyAlignment="1">
      <alignment horizontal="center" vertical="center"/>
    </xf>
    <xf numFmtId="1" fontId="12" fillId="0" borderId="0" xfId="79" applyNumberFormat="1" applyFont="1" applyAlignment="1" applyProtection="1">
      <alignment horizontal="left" vertical="center"/>
      <protection hidden="1"/>
    </xf>
    <xf numFmtId="0" fontId="10" fillId="0" borderId="0" xfId="79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5" fillId="0" borderId="0" xfId="0" applyFont="1"/>
    <xf numFmtId="0" fontId="20" fillId="0" borderId="0" xfId="0" applyFont="1" applyAlignment="1">
      <alignment horizontal="center" vertical="center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Protection="1">
      <protection hidden="1"/>
    </xf>
    <xf numFmtId="0" fontId="26" fillId="0" borderId="0" xfId="79" applyFont="1" applyAlignment="1" applyProtection="1">
      <alignment horizontal="right"/>
      <protection hidden="1"/>
    </xf>
    <xf numFmtId="3" fontId="6" fillId="0" borderId="15" xfId="79" applyNumberFormat="1" applyBorder="1" applyAlignment="1" applyProtection="1">
      <alignment horizontal="center" vertical="center"/>
      <protection hidden="1"/>
    </xf>
    <xf numFmtId="3" fontId="6" fillId="0" borderId="12" xfId="79" applyNumberFormat="1" applyBorder="1" applyAlignment="1" applyProtection="1">
      <alignment horizontal="center" vertical="center"/>
      <protection hidden="1"/>
    </xf>
    <xf numFmtId="4" fontId="6" fillId="0" borderId="1" xfId="79" applyNumberFormat="1" applyBorder="1" applyAlignment="1" applyProtection="1">
      <alignment horizontal="center" vertical="center"/>
      <protection hidden="1"/>
    </xf>
    <xf numFmtId="3" fontId="6" fillId="0" borderId="41" xfId="79" applyNumberFormat="1" applyBorder="1" applyAlignment="1" applyProtection="1">
      <alignment horizontal="center" vertical="center"/>
      <protection hidden="1"/>
    </xf>
    <xf numFmtId="167" fontId="6" fillId="0" borderId="42" xfId="79" applyNumberFormat="1" applyBorder="1" applyAlignment="1" applyProtection="1">
      <alignment horizontal="center" vertical="center"/>
      <protection hidden="1"/>
    </xf>
    <xf numFmtId="167" fontId="6" fillId="8" borderId="2" xfId="79" applyNumberFormat="1" applyFill="1" applyBorder="1" applyAlignment="1" applyProtection="1">
      <alignment horizontal="center" vertical="center"/>
      <protection hidden="1"/>
    </xf>
    <xf numFmtId="0" fontId="66" fillId="0" borderId="29" xfId="4" applyFont="1" applyBorder="1"/>
    <xf numFmtId="0" fontId="49" fillId="19" borderId="6" xfId="6" applyFont="1" applyFill="1" applyBorder="1" applyAlignment="1" applyProtection="1">
      <alignment wrapText="1"/>
      <protection hidden="1"/>
    </xf>
    <xf numFmtId="0" fontId="49" fillId="19" borderId="0" xfId="6" applyFont="1" applyFill="1" applyBorder="1" applyAlignment="1" applyProtection="1">
      <alignment wrapText="1"/>
      <protection hidden="1"/>
    </xf>
    <xf numFmtId="0" fontId="49" fillId="19" borderId="3" xfId="6" applyFont="1" applyFill="1" applyBorder="1" applyAlignment="1" applyProtection="1">
      <alignment wrapText="1"/>
      <protection hidden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0" fillId="19" borderId="0" xfId="6" applyFont="1" applyFill="1" applyBorder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 vertical="center"/>
      <protection hidden="1"/>
    </xf>
    <xf numFmtId="0" fontId="69" fillId="19" borderId="0" xfId="4" applyFont="1" applyFill="1" applyAlignment="1">
      <alignment horizontal="center" vertical="center"/>
    </xf>
    <xf numFmtId="0" fontId="69" fillId="19" borderId="0" xfId="4" applyFont="1" applyFill="1"/>
    <xf numFmtId="0" fontId="66" fillId="19" borderId="3" xfId="4" applyFont="1" applyFill="1" applyBorder="1" applyAlignment="1">
      <alignment horizontal="center" vertical="center"/>
    </xf>
    <xf numFmtId="0" fontId="9" fillId="19" borderId="6" xfId="4" applyFont="1" applyFill="1" applyBorder="1"/>
    <xf numFmtId="0" fontId="66" fillId="0" borderId="26" xfId="4" applyFont="1" applyBorder="1"/>
    <xf numFmtId="0" fontId="66" fillId="19" borderId="0" xfId="4" applyFont="1" applyFill="1"/>
    <xf numFmtId="0" fontId="9" fillId="0" borderId="28" xfId="4" applyFont="1" applyBorder="1" applyAlignment="1">
      <alignment horizontal="center"/>
    </xf>
    <xf numFmtId="0" fontId="66" fillId="0" borderId="29" xfId="4" applyFont="1" applyBorder="1" applyAlignment="1">
      <alignment horizontal="center" vertical="center"/>
    </xf>
    <xf numFmtId="165" fontId="9" fillId="19" borderId="0" xfId="1" applyNumberFormat="1" applyFont="1" applyFill="1" applyAlignment="1">
      <alignment horizontal="center"/>
    </xf>
    <xf numFmtId="0" fontId="66" fillId="0" borderId="28" xfId="4" applyFont="1" applyBorder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66" fillId="0" borderId="29" xfId="4" applyFont="1" applyBorder="1" applyAlignment="1">
      <alignment horizontal="center"/>
    </xf>
    <xf numFmtId="0" fontId="71" fillId="19" borderId="6" xfId="4" applyFont="1" applyFill="1" applyBorder="1"/>
    <xf numFmtId="0" fontId="72" fillId="19" borderId="0" xfId="3" applyFont="1" applyFill="1" applyProtection="1">
      <protection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hidden="1"/>
    </xf>
    <xf numFmtId="0" fontId="71" fillId="19" borderId="0" xfId="4" applyFont="1" applyFill="1" applyAlignment="1">
      <alignment horizontal="center"/>
    </xf>
    <xf numFmtId="0" fontId="85" fillId="19" borderId="0" xfId="6" applyNumberFormat="1" applyFont="1" applyFill="1" applyBorder="1" applyAlignment="1" applyProtection="1">
      <alignment horizontal="center"/>
      <protection hidden="1"/>
    </xf>
    <xf numFmtId="165" fontId="72" fillId="19" borderId="0" xfId="3" applyNumberFormat="1" applyFont="1" applyFill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 vertical="center"/>
    </xf>
    <xf numFmtId="0" fontId="71" fillId="19" borderId="0" xfId="4" applyFont="1" applyFill="1" applyAlignment="1">
      <alignment horizontal="center" vertical="center"/>
    </xf>
    <xf numFmtId="0" fontId="85" fillId="19" borderId="0" xfId="6" applyFont="1" applyFill="1" applyBorder="1" applyAlignment="1" applyProtection="1">
      <alignment horizontal="center" vertical="center"/>
      <protection hidden="1"/>
    </xf>
    <xf numFmtId="0" fontId="71" fillId="19" borderId="3" xfId="4" applyFont="1" applyFill="1" applyBorder="1"/>
    <xf numFmtId="0" fontId="85" fillId="20" borderId="0" xfId="6" applyFont="1" applyFill="1" applyBorder="1" applyAlignment="1" applyProtection="1">
      <alignment horizontal="center" vertical="center"/>
      <protection hidden="1"/>
    </xf>
    <xf numFmtId="0" fontId="49" fillId="17" borderId="6" xfId="6" applyFont="1" applyFill="1" applyBorder="1" applyAlignment="1" applyProtection="1">
      <alignment wrapText="1"/>
      <protection hidden="1"/>
    </xf>
    <xf numFmtId="0" fontId="49" fillId="17" borderId="0" xfId="6" applyFont="1" applyFill="1" applyBorder="1" applyAlignment="1" applyProtection="1">
      <alignment wrapText="1"/>
      <protection hidden="1"/>
    </xf>
    <xf numFmtId="0" fontId="66" fillId="17" borderId="0" xfId="4" applyFont="1" applyFill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0" fillId="17" borderId="0" xfId="6" applyFont="1" applyFill="1" applyBorder="1" applyAlignment="1" applyProtection="1">
      <alignment horizontal="center"/>
      <protection hidden="1"/>
    </xf>
    <xf numFmtId="0" fontId="37" fillId="17" borderId="0" xfId="6" applyFont="1" applyFill="1" applyBorder="1" applyAlignment="1" applyProtection="1">
      <alignment horizontal="center" vertical="top" wrapText="1"/>
      <protection hidden="1"/>
    </xf>
    <xf numFmtId="0" fontId="9" fillId="17" borderId="0" xfId="6" applyFont="1" applyFill="1" applyBorder="1" applyAlignment="1" applyProtection="1">
      <alignment horizontal="center" vertical="top" wrapText="1"/>
      <protection hidden="1"/>
    </xf>
    <xf numFmtId="0" fontId="66" fillId="17" borderId="6" xfId="4" applyFont="1" applyFill="1" applyBorder="1"/>
    <xf numFmtId="0" fontId="66" fillId="17" borderId="24" xfId="4" applyFont="1" applyFill="1" applyBorder="1"/>
    <xf numFmtId="0" fontId="48" fillId="0" borderId="26" xfId="6" applyFont="1" applyFill="1" applyBorder="1" applyAlignment="1" applyProtection="1">
      <alignment vertical="center" wrapText="1"/>
      <protection hidden="1"/>
    </xf>
    <xf numFmtId="0" fontId="39" fillId="17" borderId="0" xfId="6" applyFill="1" applyBorder="1" applyAlignment="1" applyProtection="1">
      <alignment horizontal="center"/>
      <protection hidden="1"/>
    </xf>
    <xf numFmtId="0" fontId="71" fillId="17" borderId="6" xfId="4" applyFont="1" applyFill="1" applyBorder="1"/>
    <xf numFmtId="0" fontId="85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5" fillId="17" borderId="0" xfId="4" applyFill="1"/>
    <xf numFmtId="0" fontId="39" fillId="0" borderId="26" xfId="6" applyFill="1" applyBorder="1" applyAlignment="1" applyProtection="1">
      <alignment horizontal="center"/>
      <protection hidden="1"/>
    </xf>
    <xf numFmtId="0" fontId="75" fillId="0" borderId="26" xfId="4" applyFont="1" applyBorder="1" applyAlignment="1">
      <alignment horizontal="center"/>
    </xf>
    <xf numFmtId="0" fontId="48" fillId="17" borderId="0" xfId="6" applyFont="1" applyFill="1" applyBorder="1" applyAlignment="1" applyProtection="1">
      <alignment vertical="center" wrapText="1"/>
      <protection hidden="1"/>
    </xf>
    <xf numFmtId="0" fontId="85" fillId="17" borderId="0" xfId="6" applyFont="1" applyFill="1" applyBorder="1" applyAlignment="1" applyProtection="1">
      <alignment horizontal="center"/>
    </xf>
    <xf numFmtId="0" fontId="8" fillId="17" borderId="0" xfId="4" applyFont="1" applyFill="1"/>
    <xf numFmtId="0" fontId="39" fillId="0" borderId="26" xfId="6" applyBorder="1" applyAlignment="1" applyProtection="1">
      <alignment horizontal="center" vertical="center"/>
    </xf>
    <xf numFmtId="0" fontId="71" fillId="21" borderId="0" xfId="4" applyFont="1" applyFill="1"/>
    <xf numFmtId="0" fontId="49" fillId="0" borderId="25" xfId="6" applyFont="1" applyFill="1" applyBorder="1" applyAlignment="1" applyProtection="1">
      <alignment horizontal="center"/>
      <protection hidden="1"/>
    </xf>
    <xf numFmtId="0" fontId="49" fillId="0" borderId="29" xfId="6" applyFont="1" applyFill="1" applyBorder="1" applyAlignment="1" applyProtection="1">
      <alignment horizontal="center"/>
      <protection hidden="1"/>
    </xf>
    <xf numFmtId="0" fontId="66" fillId="21" borderId="0" xfId="4" applyFont="1" applyFill="1"/>
    <xf numFmtId="0" fontId="39" fillId="21" borderId="0" xfId="6" applyFill="1" applyBorder="1" applyAlignment="1" applyProtection="1">
      <alignment horizontal="center"/>
      <protection hidden="1"/>
    </xf>
    <xf numFmtId="0" fontId="49" fillId="0" borderId="26" xfId="6" applyFont="1" applyFill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45" fillId="0" borderId="0" xfId="4" applyFont="1" applyAlignment="1">
      <alignment horizontal="right"/>
    </xf>
    <xf numFmtId="0" fontId="33" fillId="0" borderId="0" xfId="4" applyFont="1"/>
    <xf numFmtId="0" fontId="39" fillId="0" borderId="0" xfId="6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59" fillId="18" borderId="31" xfId="6" applyFont="1" applyFill="1" applyBorder="1" applyAlignment="1" applyProtection="1">
      <alignment vertical="center"/>
      <protection hidden="1"/>
    </xf>
    <xf numFmtId="0" fontId="59" fillId="18" borderId="32" xfId="6" applyFont="1" applyFill="1" applyBorder="1" applyAlignment="1" applyProtection="1">
      <alignment horizontal="left" vertical="center"/>
      <protection hidden="1"/>
    </xf>
    <xf numFmtId="0" fontId="49" fillId="16" borderId="0" xfId="6" applyFont="1" applyFill="1" applyBorder="1" applyAlignment="1" applyProtection="1">
      <protection hidden="1"/>
    </xf>
    <xf numFmtId="0" fontId="49" fillId="16" borderId="3" xfId="6" applyFont="1" applyFill="1" applyBorder="1" applyAlignment="1" applyProtection="1">
      <protection hidden="1"/>
    </xf>
    <xf numFmtId="0" fontId="49" fillId="16" borderId="4" xfId="6" applyFont="1" applyFill="1" applyBorder="1" applyAlignment="1" applyProtection="1">
      <protection hidden="1"/>
    </xf>
    <xf numFmtId="0" fontId="49" fillId="16" borderId="5" xfId="6" applyFont="1" applyFill="1" applyBorder="1" applyAlignment="1" applyProtection="1">
      <protection hidden="1"/>
    </xf>
    <xf numFmtId="49" fontId="34" fillId="0" borderId="0" xfId="236" applyNumberFormat="1"/>
    <xf numFmtId="0" fontId="34" fillId="0" borderId="0" xfId="236"/>
    <xf numFmtId="0" fontId="96" fillId="0" borderId="0" xfId="0" applyFont="1" applyAlignment="1">
      <alignment vertical="center"/>
    </xf>
    <xf numFmtId="0" fontId="96" fillId="0" borderId="0" xfId="0" applyFont="1"/>
    <xf numFmtId="0" fontId="85" fillId="16" borderId="0" xfId="6" applyFont="1" applyFill="1" applyBorder="1" applyAlignment="1" applyProtection="1">
      <protection hidden="1"/>
    </xf>
    <xf numFmtId="0" fontId="59" fillId="18" borderId="30" xfId="6" applyFont="1" applyFill="1" applyBorder="1" applyAlignment="1" applyProtection="1">
      <alignment vertical="top" wrapText="1"/>
      <protection hidden="1"/>
    </xf>
    <xf numFmtId="0" fontId="85" fillId="16" borderId="6" xfId="6" applyFont="1" applyFill="1" applyBorder="1" applyAlignment="1" applyProtection="1">
      <alignment wrapText="1"/>
      <protection hidden="1"/>
    </xf>
    <xf numFmtId="0" fontId="85" fillId="16" borderId="0" xfId="6" applyFont="1" applyFill="1" applyBorder="1" applyAlignment="1" applyProtection="1">
      <alignment horizontal="center" vertical="center"/>
      <protection hidden="1"/>
    </xf>
    <xf numFmtId="0" fontId="67" fillId="16" borderId="4" xfId="4" applyFont="1" applyFill="1" applyBorder="1" applyAlignment="1" applyProtection="1">
      <alignment horizontal="center" vertical="top"/>
      <protection hidden="1"/>
    </xf>
    <xf numFmtId="0" fontId="49" fillId="16" borderId="0" xfId="6" applyFont="1" applyFill="1" applyBorder="1" applyAlignment="1" applyProtection="1">
      <alignment horizontal="center"/>
      <protection hidden="1"/>
    </xf>
    <xf numFmtId="0" fontId="92" fillId="6" borderId="40" xfId="6" applyFont="1" applyFill="1" applyBorder="1" applyAlignment="1" applyProtection="1">
      <alignment horizontal="left" vertical="center" wrapText="1" indent="1"/>
      <protection hidden="1"/>
    </xf>
    <xf numFmtId="0" fontId="21" fillId="4" borderId="2" xfId="79" applyFont="1" applyFill="1" applyBorder="1" applyAlignment="1" applyProtection="1">
      <alignment horizontal="center"/>
      <protection locked="0"/>
    </xf>
    <xf numFmtId="0" fontId="57" fillId="0" borderId="0" xfId="79" applyFont="1" applyAlignment="1" applyProtection="1">
      <alignment horizontal="left"/>
      <protection hidden="1"/>
    </xf>
    <xf numFmtId="0" fontId="70" fillId="19" borderId="0" xfId="4" applyFont="1" applyFill="1" applyAlignment="1">
      <alignment horizontal="center" wrapText="1"/>
    </xf>
    <xf numFmtId="0" fontId="70" fillId="19" borderId="4" xfId="4" applyFont="1" applyFill="1" applyBorder="1" applyAlignment="1">
      <alignment horizontal="center" wrapText="1"/>
    </xf>
    <xf numFmtId="0" fontId="21" fillId="11" borderId="2" xfId="79" applyFont="1" applyFill="1" applyBorder="1" applyAlignment="1" applyProtection="1">
      <alignment horizontal="center"/>
      <protection locked="0" hidden="1"/>
    </xf>
    <xf numFmtId="0" fontId="21" fillId="11" borderId="2" xfId="79" applyFont="1" applyFill="1" applyBorder="1" applyAlignment="1" applyProtection="1">
      <alignment horizontal="center"/>
      <protection locked="0"/>
    </xf>
    <xf numFmtId="0" fontId="4" fillId="0" borderId="0" xfId="25" applyAlignment="1">
      <alignment horizontal="center"/>
    </xf>
    <xf numFmtId="0" fontId="4" fillId="0" borderId="0" xfId="25" applyAlignment="1">
      <alignment horizontal="center" vertical="center"/>
    </xf>
    <xf numFmtId="3" fontId="6" fillId="0" borderId="14" xfId="79" applyNumberFormat="1" applyBorder="1" applyAlignment="1" applyProtection="1">
      <alignment horizontal="center" vertical="center"/>
      <protection hidden="1"/>
    </xf>
    <xf numFmtId="167" fontId="6" fillId="0" borderId="43" xfId="79" applyNumberFormat="1" applyBorder="1" applyAlignment="1" applyProtection="1">
      <alignment horizontal="center" vertical="center"/>
      <protection hidden="1"/>
    </xf>
    <xf numFmtId="0" fontId="14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>
      <alignment horizontal="left" vertical="center"/>
    </xf>
    <xf numFmtId="0" fontId="43" fillId="0" borderId="0" xfId="79" applyFont="1" applyAlignment="1">
      <alignment horizontal="left" vertical="top"/>
    </xf>
    <xf numFmtId="0" fontId="93" fillId="0" borderId="0" xfId="79" applyFont="1" applyAlignment="1" applyProtection="1">
      <alignment vertical="center" wrapText="1"/>
      <protection hidden="1"/>
    </xf>
    <xf numFmtId="0" fontId="43" fillId="0" borderId="0" xfId="79" applyFont="1" applyAlignment="1">
      <alignment horizontal="left"/>
    </xf>
    <xf numFmtId="0" fontId="10" fillId="0" borderId="0" xfId="79" applyFont="1" applyAlignment="1" applyProtection="1">
      <alignment horizontal="center" vertical="center" wrapText="1"/>
      <protection hidden="1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6" fillId="10" borderId="0" xfId="79" applyNumberFormat="1" applyFill="1" applyAlignment="1" applyProtection="1">
      <alignment horizontal="center" vertical="center" wrapText="1"/>
      <protection hidden="1"/>
    </xf>
    <xf numFmtId="0" fontId="6" fillId="0" borderId="0" xfId="79" applyAlignment="1">
      <alignment horizontal="center" vertical="center" wrapText="1"/>
    </xf>
    <xf numFmtId="0" fontId="88" fillId="0" borderId="0" xfId="79" applyFont="1" applyAlignment="1" applyProtection="1">
      <alignment vertical="center"/>
      <protection hidden="1"/>
    </xf>
    <xf numFmtId="0" fontId="98" fillId="0" borderId="0" xfId="79" applyFont="1" applyAlignment="1" applyProtection="1">
      <alignment vertical="center"/>
      <protection hidden="1"/>
    </xf>
    <xf numFmtId="167" fontId="6" fillId="0" borderId="0" xfId="79" applyNumberFormat="1" applyAlignment="1">
      <alignment horizontal="center" vertical="center" wrapText="1"/>
    </xf>
    <xf numFmtId="166" fontId="6" fillId="0" borderId="0" xfId="79" applyNumberFormat="1" applyAlignment="1">
      <alignment horizontal="center" vertical="center" wrapText="1"/>
    </xf>
    <xf numFmtId="0" fontId="10" fillId="0" borderId="0" xfId="79" applyFont="1" applyAlignment="1">
      <alignment horizontal="center" vertical="center" wrapText="1"/>
    </xf>
    <xf numFmtId="0" fontId="43" fillId="0" borderId="0" xfId="79" applyFont="1" applyAlignment="1" applyProtection="1">
      <alignment horizontal="left" vertical="center"/>
      <protection hidden="1"/>
    </xf>
    <xf numFmtId="0" fontId="59" fillId="17" borderId="6" xfId="6" applyFont="1" applyFill="1" applyBorder="1" applyAlignment="1" applyProtection="1">
      <alignment vertical="center" wrapText="1"/>
      <protection hidden="1"/>
    </xf>
    <xf numFmtId="0" fontId="59" fillId="17" borderId="0" xfId="6" applyFont="1" applyFill="1" applyBorder="1" applyAlignment="1" applyProtection="1">
      <alignment vertical="center" wrapText="1"/>
      <protection hidden="1"/>
    </xf>
    <xf numFmtId="0" fontId="59" fillId="17" borderId="3" xfId="6" applyFont="1" applyFill="1" applyBorder="1" applyAlignment="1" applyProtection="1">
      <alignment vertical="center" wrapText="1"/>
      <protection hidden="1"/>
    </xf>
    <xf numFmtId="0" fontId="5" fillId="0" borderId="0" xfId="4" applyProtection="1">
      <protection locked="0"/>
    </xf>
    <xf numFmtId="49" fontId="16" fillId="0" borderId="0" xfId="24" applyNumberFormat="1"/>
    <xf numFmtId="0" fontId="96" fillId="0" borderId="0" xfId="0" applyFont="1" applyAlignment="1">
      <alignment horizontal="right"/>
    </xf>
    <xf numFmtId="0" fontId="35" fillId="0" borderId="0" xfId="4" applyFont="1" applyAlignment="1">
      <alignment horizontal="left" vertical="top" wrapText="1"/>
    </xf>
    <xf numFmtId="0" fontId="85" fillId="21" borderId="0" xfId="6" applyFont="1" applyFill="1" applyBorder="1" applyAlignment="1" applyProtection="1">
      <alignment horizontal="center" vertical="center"/>
      <protection hidden="1"/>
    </xf>
    <xf numFmtId="0" fontId="72" fillId="21" borderId="6" xfId="3" applyFont="1" applyFill="1" applyBorder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vertical="top" wrapText="1"/>
      <protection hidden="1"/>
    </xf>
    <xf numFmtId="0" fontId="44" fillId="0" borderId="0" xfId="6" applyFont="1" applyBorder="1" applyAlignment="1" applyProtection="1">
      <alignment horizontal="left" vertical="top"/>
      <protection hidden="1"/>
    </xf>
    <xf numFmtId="0" fontId="53" fillId="7" borderId="30" xfId="6" applyFont="1" applyFill="1" applyBorder="1" applyAlignment="1" applyProtection="1">
      <alignment horizontal="center" vertical="center"/>
      <protection hidden="1"/>
    </xf>
    <xf numFmtId="0" fontId="53" fillId="7" borderId="31" xfId="6" applyFont="1" applyFill="1" applyBorder="1" applyAlignment="1" applyProtection="1">
      <alignment horizontal="center" vertical="center"/>
      <protection hidden="1"/>
    </xf>
    <xf numFmtId="0" fontId="85" fillId="21" borderId="0" xfId="6" applyFont="1" applyFill="1" applyBorder="1" applyAlignment="1" applyProtection="1">
      <alignment horizontal="center" vertical="center" wrapText="1"/>
      <protection hidden="1"/>
    </xf>
    <xf numFmtId="0" fontId="64" fillId="15" borderId="27" xfId="0" applyFont="1" applyFill="1" applyBorder="1" applyAlignment="1">
      <alignment horizontal="left"/>
    </xf>
    <xf numFmtId="0" fontId="64" fillId="15" borderId="18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2" fillId="14" borderId="30" xfId="4" applyFont="1" applyFill="1" applyBorder="1" applyAlignment="1">
      <alignment horizontal="left" vertical="center" wrapText="1"/>
    </xf>
    <xf numFmtId="0" fontId="9" fillId="14" borderId="31" xfId="0" applyFont="1" applyFill="1" applyBorder="1" applyAlignment="1">
      <alignment horizontal="left" vertical="center" wrapText="1"/>
    </xf>
    <xf numFmtId="0" fontId="9" fillId="14" borderId="32" xfId="0" applyFont="1" applyFill="1" applyBorder="1" applyAlignment="1">
      <alignment horizontal="left" vertical="center" wrapText="1"/>
    </xf>
    <xf numFmtId="0" fontId="9" fillId="14" borderId="6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3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64" fillId="15" borderId="21" xfId="0" applyFont="1" applyFill="1" applyBorder="1"/>
    <xf numFmtId="0" fontId="4" fillId="0" borderId="22" xfId="0" applyFont="1" applyBorder="1"/>
    <xf numFmtId="0" fontId="63" fillId="14" borderId="6" xfId="0" applyFont="1" applyFill="1" applyBorder="1" applyAlignment="1" applyProtection="1">
      <alignment horizontal="center"/>
      <protection hidden="1"/>
    </xf>
    <xf numFmtId="0" fontId="63" fillId="14" borderId="0" xfId="0" applyFont="1" applyFill="1" applyAlignment="1" applyProtection="1">
      <alignment horizontal="center"/>
      <protection hidden="1"/>
    </xf>
    <xf numFmtId="0" fontId="64" fillId="0" borderId="27" xfId="0" applyFont="1" applyBorder="1" applyAlignment="1" applyProtection="1">
      <alignment horizontal="left"/>
      <protection locked="0" hidden="1"/>
    </xf>
    <xf numFmtId="0" fontId="64" fillId="0" borderId="18" xfId="0" applyFont="1" applyBorder="1" applyAlignment="1" applyProtection="1">
      <alignment horizontal="left"/>
      <protection locked="0" hidden="1"/>
    </xf>
    <xf numFmtId="0" fontId="64" fillId="0" borderId="23" xfId="0" applyFont="1" applyBorder="1" applyAlignment="1" applyProtection="1">
      <alignment horizontal="left"/>
      <protection locked="0" hidden="1"/>
    </xf>
    <xf numFmtId="0" fontId="64" fillId="10" borderId="27" xfId="0" applyFont="1" applyFill="1" applyBorder="1" applyAlignment="1" applyProtection="1">
      <alignment horizontal="center"/>
      <protection locked="0"/>
    </xf>
    <xf numFmtId="0" fontId="64" fillId="10" borderId="18" xfId="0" applyFont="1" applyFill="1" applyBorder="1" applyAlignment="1" applyProtection="1">
      <alignment horizontal="center"/>
      <protection locked="0"/>
    </xf>
    <xf numFmtId="0" fontId="64" fillId="10" borderId="23" xfId="0" applyFont="1" applyFill="1" applyBorder="1" applyAlignment="1" applyProtection="1">
      <alignment horizontal="center"/>
      <protection locked="0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18" xfId="0" applyFont="1" applyBorder="1" applyAlignment="1" applyProtection="1">
      <alignment horizontal="center"/>
      <protection locked="0" hidden="1"/>
    </xf>
    <xf numFmtId="0" fontId="64" fillId="0" borderId="23" xfId="0" applyFont="1" applyBorder="1" applyAlignment="1" applyProtection="1">
      <alignment horizontal="center"/>
      <protection locked="0" hidden="1"/>
    </xf>
    <xf numFmtId="0" fontId="59" fillId="17" borderId="31" xfId="6" applyFont="1" applyFill="1" applyBorder="1" applyAlignment="1" applyProtection="1">
      <alignment horizontal="center" vertical="center" wrapText="1"/>
      <protection hidden="1"/>
    </xf>
    <xf numFmtId="0" fontId="64" fillId="15" borderId="21" xfId="0" applyFont="1" applyFill="1" applyBorder="1" applyProtection="1">
      <protection locked="0"/>
    </xf>
    <xf numFmtId="0" fontId="4" fillId="0" borderId="7" xfId="0" applyFont="1" applyBorder="1"/>
    <xf numFmtId="0" fontId="65" fillId="10" borderId="8" xfId="0" applyFont="1" applyFill="1" applyBorder="1" applyAlignment="1" applyProtection="1">
      <alignment horizontal="left"/>
      <protection locked="0"/>
    </xf>
    <xf numFmtId="0" fontId="4" fillId="10" borderId="23" xfId="0" applyFont="1" applyFill="1" applyBorder="1" applyAlignment="1" applyProtection="1">
      <alignment horizontal="left"/>
      <protection locked="0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9" fillId="18" borderId="30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center" wrapText="1"/>
      <protection hidden="1"/>
    </xf>
    <xf numFmtId="0" fontId="59" fillId="18" borderId="32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top"/>
      <protection hidden="1"/>
    </xf>
    <xf numFmtId="0" fontId="59" fillId="18" borderId="30" xfId="6" applyFont="1" applyFill="1" applyBorder="1" applyAlignment="1" applyProtection="1">
      <alignment horizontal="center" vertical="top" wrapText="1"/>
      <protection hidden="1"/>
    </xf>
    <xf numFmtId="0" fontId="59" fillId="18" borderId="31" xfId="6" applyFont="1" applyFill="1" applyBorder="1" applyAlignment="1" applyProtection="1">
      <alignment horizontal="center" vertical="top" wrapText="1"/>
      <protection hidden="1"/>
    </xf>
    <xf numFmtId="0" fontId="59" fillId="18" borderId="32" xfId="6" applyFont="1" applyFill="1" applyBorder="1" applyAlignment="1" applyProtection="1">
      <alignment horizontal="center" vertical="top" wrapText="1"/>
      <protection hidden="1"/>
    </xf>
    <xf numFmtId="0" fontId="85" fillId="16" borderId="6" xfId="6" applyFont="1" applyFill="1" applyBorder="1" applyAlignment="1" applyProtection="1">
      <alignment horizontal="center"/>
      <protection hidden="1"/>
    </xf>
    <xf numFmtId="0" fontId="85" fillId="16" borderId="0" xfId="6" applyFont="1" applyFill="1" applyBorder="1" applyAlignment="1" applyProtection="1">
      <alignment horizontal="center"/>
      <protection hidden="1"/>
    </xf>
    <xf numFmtId="0" fontId="85" fillId="16" borderId="3" xfId="6" applyFont="1" applyFill="1" applyBorder="1" applyAlignment="1" applyProtection="1">
      <alignment horizontal="center"/>
      <protection hidden="1"/>
    </xf>
    <xf numFmtId="0" fontId="85" fillId="20" borderId="0" xfId="6" applyNumberFormat="1" applyFont="1" applyFill="1" applyBorder="1" applyAlignment="1" applyProtection="1">
      <alignment horizontal="center"/>
      <protection hidden="1"/>
    </xf>
    <xf numFmtId="0" fontId="78" fillId="0" borderId="27" xfId="4" applyFont="1" applyBorder="1" applyAlignment="1">
      <alignment horizontal="left"/>
    </xf>
    <xf numFmtId="0" fontId="78" fillId="0" borderId="18" xfId="4" applyFont="1" applyBorder="1" applyAlignment="1">
      <alignment horizontal="left"/>
    </xf>
    <xf numFmtId="0" fontId="78" fillId="0" borderId="31" xfId="4" applyFont="1" applyBorder="1" applyAlignment="1">
      <alignment horizontal="left"/>
    </xf>
    <xf numFmtId="0" fontId="78" fillId="0" borderId="32" xfId="4" applyFont="1" applyBorder="1" applyAlignment="1">
      <alignment horizontal="left"/>
    </xf>
    <xf numFmtId="0" fontId="59" fillId="19" borderId="30" xfId="6" applyFont="1" applyFill="1" applyBorder="1" applyAlignment="1" applyProtection="1">
      <alignment horizontal="center" vertical="center" wrapText="1"/>
      <protection hidden="1"/>
    </xf>
    <xf numFmtId="0" fontId="59" fillId="19" borderId="31" xfId="6" applyFont="1" applyFill="1" applyBorder="1" applyAlignment="1" applyProtection="1">
      <alignment horizontal="center" vertical="center" wrapText="1"/>
      <protection hidden="1"/>
    </xf>
    <xf numFmtId="0" fontId="59" fillId="19" borderId="0" xfId="6" applyFont="1" applyFill="1" applyBorder="1" applyAlignment="1" applyProtection="1">
      <alignment horizontal="center" vertical="center" wrapText="1"/>
      <protection hidden="1"/>
    </xf>
    <xf numFmtId="0" fontId="59" fillId="19" borderId="3" xfId="6" applyFont="1" applyFill="1" applyBorder="1" applyAlignment="1" applyProtection="1">
      <alignment horizontal="center" vertical="center" wrapText="1"/>
      <protection hidden="1"/>
    </xf>
    <xf numFmtId="0" fontId="6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49" fontId="28" fillId="0" borderId="0" xfId="79" applyNumberFormat="1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1" fillId="0" borderId="0" xfId="79" applyFont="1" applyAlignment="1" applyProtection="1">
      <alignment horizontal="left"/>
      <protection hidden="1"/>
    </xf>
    <xf numFmtId="0" fontId="13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/>
      <protection hidden="1"/>
    </xf>
    <xf numFmtId="0" fontId="93" fillId="0" borderId="0" xfId="79" applyFont="1" applyAlignment="1" applyProtection="1">
      <alignment horizontal="center" vertical="center" wrapText="1"/>
      <protection hidden="1"/>
    </xf>
    <xf numFmtId="0" fontId="6" fillId="0" borderId="0" xfId="79" applyAlignment="1">
      <alignment horizontal="center" wrapText="1"/>
    </xf>
    <xf numFmtId="0" fontId="43" fillId="0" borderId="0" xfId="79" applyFont="1" applyAlignment="1" applyProtection="1">
      <alignment horizontal="center"/>
      <protection hidden="1"/>
    </xf>
    <xf numFmtId="0" fontId="88" fillId="0" borderId="0" xfId="79" applyFont="1" applyAlignment="1" applyProtection="1">
      <alignment horizontal="left" vertic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13" fillId="0" borderId="16" xfId="79" applyFont="1" applyBorder="1" applyAlignment="1" applyProtection="1">
      <alignment horizontal="center" vertical="center"/>
      <protection hidden="1"/>
    </xf>
    <xf numFmtId="0" fontId="28" fillId="0" borderId="0" xfId="79" applyFont="1" applyAlignment="1" applyProtection="1">
      <alignment horizontal="left" vertical="center"/>
      <protection hidden="1"/>
    </xf>
    <xf numFmtId="0" fontId="6" fillId="8" borderId="11" xfId="79" applyFill="1" applyBorder="1" applyAlignment="1" applyProtection="1">
      <alignment horizontal="center"/>
      <protection locked="0" hidden="1"/>
    </xf>
    <xf numFmtId="0" fontId="6" fillId="8" borderId="22" xfId="79" applyFill="1" applyBorder="1" applyAlignment="1" applyProtection="1">
      <alignment horizontal="center"/>
      <protection locked="0" hidden="1"/>
    </xf>
    <xf numFmtId="0" fontId="6" fillId="8" borderId="7" xfId="79" applyFill="1" applyBorder="1" applyAlignment="1" applyProtection="1">
      <alignment horizontal="center"/>
      <protection locked="0" hidden="1"/>
    </xf>
    <xf numFmtId="0" fontId="21" fillId="10" borderId="0" xfId="79" applyFont="1" applyFill="1" applyAlignment="1" applyProtection="1">
      <alignment horizontal="center" vertical="top" wrapText="1"/>
      <protection hidden="1"/>
    </xf>
    <xf numFmtId="0" fontId="6" fillId="0" borderId="0" xfId="79" applyAlignment="1" applyProtection="1">
      <alignment horizontal="center" wrapText="1"/>
      <protection hidden="1"/>
    </xf>
    <xf numFmtId="0" fontId="21" fillId="10" borderId="0" xfId="79" applyFont="1" applyFill="1" applyAlignment="1">
      <alignment horizontal="center" vertical="top" wrapText="1"/>
    </xf>
    <xf numFmtId="0" fontId="28" fillId="0" borderId="0" xfId="79" applyFont="1" applyAlignment="1">
      <alignment horizontal="left" vertical="center"/>
    </xf>
    <xf numFmtId="0" fontId="0" fillId="0" borderId="0" xfId="0"/>
    <xf numFmtId="0" fontId="21" fillId="0" borderId="0" xfId="79" applyFont="1" applyAlignment="1">
      <alignment horizontal="left"/>
    </xf>
    <xf numFmtId="0" fontId="13" fillId="0" borderId="16" xfId="79" applyFont="1" applyBorder="1" applyAlignment="1">
      <alignment horizontal="center" vertical="center"/>
    </xf>
    <xf numFmtId="0" fontId="6" fillId="8" borderId="11" xfId="79" applyFill="1" applyBorder="1" applyAlignment="1" applyProtection="1">
      <alignment horizontal="center"/>
      <protection locked="0"/>
    </xf>
    <xf numFmtId="0" fontId="6" fillId="8" borderId="22" xfId="79" applyFill="1" applyBorder="1" applyAlignment="1" applyProtection="1">
      <alignment horizontal="center"/>
      <protection locked="0"/>
    </xf>
    <xf numFmtId="0" fontId="6" fillId="8" borderId="7" xfId="79" applyFill="1" applyBorder="1" applyAlignment="1" applyProtection="1">
      <alignment horizontal="center"/>
      <protection locked="0"/>
    </xf>
    <xf numFmtId="0" fontId="6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21" fillId="10" borderId="0" xfId="79" applyFont="1" applyFill="1" applyAlignment="1">
      <alignment horizontal="left" vertical="top" wrapText="1"/>
    </xf>
    <xf numFmtId="0" fontId="43" fillId="0" borderId="0" xfId="79" applyFont="1" applyAlignment="1">
      <alignment horizontal="center"/>
    </xf>
    <xf numFmtId="0" fontId="88" fillId="0" borderId="0" xfId="79" applyFont="1" applyAlignment="1" applyProtection="1">
      <alignment horizontal="center" vertical="center"/>
      <protection hidden="1"/>
    </xf>
    <xf numFmtId="0" fontId="90" fillId="0" borderId="0" xfId="79" applyFont="1" applyAlignment="1" applyProtection="1">
      <alignment horizontal="center" vertical="center"/>
      <protection hidden="1"/>
    </xf>
    <xf numFmtId="0" fontId="99" fillId="0" borderId="0" xfId="79" applyFont="1" applyAlignment="1" applyProtection="1">
      <alignment horizontal="left" vertical="center" wrapText="1"/>
      <protection hidden="1"/>
    </xf>
    <xf numFmtId="0" fontId="100" fillId="0" borderId="0" xfId="79" applyFont="1" applyAlignment="1" applyProtection="1">
      <alignment horizontal="center" vertical="center" wrapText="1"/>
      <protection hidden="1"/>
    </xf>
    <xf numFmtId="0" fontId="10" fillId="0" borderId="0" xfId="79" applyFont="1" applyAlignment="1">
      <alignment horizontal="left" vertical="center"/>
    </xf>
    <xf numFmtId="0" fontId="6" fillId="8" borderId="11" xfId="79" applyFill="1" applyBorder="1" applyAlignment="1" applyProtection="1">
      <alignment horizontal="center" vertical="center"/>
      <protection locked="0" hidden="1"/>
    </xf>
    <xf numFmtId="0" fontId="6" fillId="8" borderId="22" xfId="79" applyFill="1" applyBorder="1" applyAlignment="1" applyProtection="1">
      <alignment horizontal="center" vertical="center"/>
      <protection locked="0" hidden="1"/>
    </xf>
    <xf numFmtId="0" fontId="6" fillId="8" borderId="7" xfId="79" applyFill="1" applyBorder="1" applyAlignment="1" applyProtection="1">
      <alignment horizontal="center" vertical="center"/>
      <protection locked="0" hidden="1"/>
    </xf>
    <xf numFmtId="0" fontId="13" fillId="0" borderId="0" xfId="79" applyFont="1" applyAlignment="1">
      <alignment horizontal="center" vertical="center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43" fillId="0" borderId="0" xfId="79" applyNumberFormat="1" applyFont="1" applyAlignment="1" applyProtection="1">
      <alignment horizontal="center" vertical="center" wrapText="1"/>
      <protection hidden="1"/>
    </xf>
    <xf numFmtId="0" fontId="10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</cellXfs>
  <cellStyles count="237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2 2" xfId="153" xr:uid="{32CFB6EC-03D5-4E7D-AE73-0F288419ECA3}"/>
    <cellStyle name="Měna 3" xfId="9" xr:uid="{00000000-0005-0000-0000-000008000000}"/>
    <cellStyle name="Měna 3 2" xfId="154" xr:uid="{9B126306-D465-4CAF-B391-3711527F7688}"/>
    <cellStyle name="Měna 4" xfId="152" xr:uid="{F7AA10FF-34C3-4BDA-B3C7-D4C013AD50AA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měny 3 2 2" xfId="156" xr:uid="{B0D61A1E-0E40-4E95-A2F1-10FBAA9DB07A}"/>
    <cellStyle name="měny 3 3" xfId="155" xr:uid="{5461EFB5-BC08-4850-B7DD-94F995C9AD0F}"/>
    <cellStyle name="Normální" xfId="0" builtinId="0"/>
    <cellStyle name="normální 10" xfId="14" xr:uid="{00000000-0005-0000-0000-00000E000000}"/>
    <cellStyle name="normální 10 2" xfId="157" xr:uid="{7334E454-797B-489D-97A2-506613C2586B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 2" xfId="158" xr:uid="{ED5A93A2-C2C2-4DE7-B234-23E5EAE55CC3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 2" xfId="159" xr:uid="{C50FAFAA-F502-44F7-9A5C-3A8EC0D2607A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 2" xfId="160" xr:uid="{C04A3E97-B7DA-475E-A94A-F52E9A004E3A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2 2" xfId="232" xr:uid="{0E329ECD-93F7-4560-AFE1-3D9548FA2B90}"/>
    <cellStyle name="Normální 133" xfId="147" xr:uid="{00000000-0005-0000-0000-0000C1000000}"/>
    <cellStyle name="Normální 133 2" xfId="233" xr:uid="{66580D01-CEE8-4DA6-83C2-BB5E21EB65DD}"/>
    <cellStyle name="Normální 134" xfId="148" xr:uid="{00000000-0005-0000-0000-0000C2000000}"/>
    <cellStyle name="Normální 135" xfId="151" xr:uid="{DFB84F8F-A357-48B2-B37C-2599ECF2D6F0}"/>
    <cellStyle name="Normální 136" xfId="234" xr:uid="{9389063F-8ACD-4D45-9A2C-229C06168C01}"/>
    <cellStyle name="Normální 137" xfId="149" xr:uid="{2FA3C82E-DCB2-427B-A090-12260F057842}"/>
    <cellStyle name="Normální 138" xfId="231" xr:uid="{2F85EB1B-C2AC-464B-BA7A-601F50AE96A3}"/>
    <cellStyle name="Normální 139" xfId="235" xr:uid="{EB408C50-13CB-40B8-8902-959ABC142E3F}"/>
    <cellStyle name="normální 14" xfId="18" xr:uid="{00000000-0005-0000-0000-000032000000}"/>
    <cellStyle name="normální 14 2" xfId="161" xr:uid="{474D25F6-2F5A-46F6-8724-2FD673B68AC3}"/>
    <cellStyle name="normální 15" xfId="19" xr:uid="{00000000-0005-0000-0000-000033000000}"/>
    <cellStyle name="normální 15 2" xfId="162" xr:uid="{C7A809BB-BBF1-4526-90DA-A3C6C7614FFF}"/>
    <cellStyle name="normální 16" xfId="20" xr:uid="{00000000-0005-0000-0000-000034000000}"/>
    <cellStyle name="normální 16 2" xfId="163" xr:uid="{A0799EF1-4222-483B-9E5E-BE4DFFAC15AA}"/>
    <cellStyle name="normální 17" xfId="21" xr:uid="{00000000-0005-0000-0000-000035000000}"/>
    <cellStyle name="normální 17 2" xfId="164" xr:uid="{B4A14822-C271-46AC-AEDC-6183187B6471}"/>
    <cellStyle name="normální 18" xfId="22" xr:uid="{00000000-0005-0000-0000-000036000000}"/>
    <cellStyle name="normální 18 2" xfId="165" xr:uid="{00A85162-E17A-4A89-A279-9264469AF514}"/>
    <cellStyle name="normální 19" xfId="23" xr:uid="{00000000-0005-0000-0000-000037000000}"/>
    <cellStyle name="normální 19 2" xfId="166" xr:uid="{501D5F79-0106-4C78-B360-58E25280C68A}"/>
    <cellStyle name="normální 2" xfId="24" xr:uid="{00000000-0005-0000-0000-000038000000}"/>
    <cellStyle name="normální 2 2" xfId="25" xr:uid="{00000000-0005-0000-0000-000039000000}"/>
    <cellStyle name="normální 2 3" xfId="167" xr:uid="{30E9E3A3-55FB-4DE6-98A1-9D0537AE3E9C}"/>
    <cellStyle name="Normální 2 4" xfId="150" xr:uid="{998B77D9-0741-483C-A6C8-4F43D3992250}"/>
    <cellStyle name="Normální 2 5" xfId="230" xr:uid="{775A5884-2461-4BF2-872E-E35568BDF2D7}"/>
    <cellStyle name="Normální 2 6" xfId="236" xr:uid="{C5D86346-DF81-4EEA-BBC2-8E9133008AE5}"/>
    <cellStyle name="normální 20" xfId="26" xr:uid="{00000000-0005-0000-0000-00003A000000}"/>
    <cellStyle name="normální 20 2" xfId="168" xr:uid="{9FD4EA22-FFB7-40F5-B96E-D02B8D69B24C}"/>
    <cellStyle name="normální 21" xfId="27" xr:uid="{00000000-0005-0000-0000-00003B000000}"/>
    <cellStyle name="normální 21 2" xfId="169" xr:uid="{439B22F6-0587-4CE0-B841-7D1E46F515C5}"/>
    <cellStyle name="normální 22" xfId="28" xr:uid="{00000000-0005-0000-0000-00003C000000}"/>
    <cellStyle name="normální 22 2" xfId="170" xr:uid="{284D2432-5D05-4FC4-8BBC-DD1DA2E1C52A}"/>
    <cellStyle name="normální 23" xfId="29" xr:uid="{00000000-0005-0000-0000-00003D000000}"/>
    <cellStyle name="normální 23 2" xfId="171" xr:uid="{770D3690-6FD1-4C32-97FD-FB7E574DEC59}"/>
    <cellStyle name="normální 24" xfId="30" xr:uid="{00000000-0005-0000-0000-00003E000000}"/>
    <cellStyle name="normální 24 2" xfId="172" xr:uid="{FE2E0112-9FC9-4BE2-BDB4-9DE5473FBAEB}"/>
    <cellStyle name="normální 25" xfId="31" xr:uid="{00000000-0005-0000-0000-00003F000000}"/>
    <cellStyle name="normální 25 2" xfId="173" xr:uid="{109570AE-B1E1-42B2-9B2E-70DA35AFA450}"/>
    <cellStyle name="normální 26" xfId="32" xr:uid="{00000000-0005-0000-0000-000040000000}"/>
    <cellStyle name="normální 26 2" xfId="174" xr:uid="{50C94024-4640-416C-ACE8-029E95DBB8C1}"/>
    <cellStyle name="normální 27" xfId="33" xr:uid="{00000000-0005-0000-0000-000041000000}"/>
    <cellStyle name="normální 27 2" xfId="175" xr:uid="{A59B0E84-9479-46BD-A5ED-88F9C7584D87}"/>
    <cellStyle name="normální 28" xfId="34" xr:uid="{00000000-0005-0000-0000-000042000000}"/>
    <cellStyle name="normální 28 2" xfId="176" xr:uid="{263F1297-316C-440F-960D-75B3A2565BE3}"/>
    <cellStyle name="normální 29" xfId="35" xr:uid="{00000000-0005-0000-0000-000043000000}"/>
    <cellStyle name="normální 29 2" xfId="177" xr:uid="{9D8D3083-4E06-412B-9C41-62F243AB49C5}"/>
    <cellStyle name="Normální 3" xfId="36" xr:uid="{00000000-0005-0000-0000-000044000000}"/>
    <cellStyle name="Normální 3 2" xfId="178" xr:uid="{0CD3CE89-E617-426C-B01B-D8F959B9AC02}"/>
    <cellStyle name="normální 30" xfId="37" xr:uid="{00000000-0005-0000-0000-000045000000}"/>
    <cellStyle name="normální 30 2" xfId="179" xr:uid="{17B0A52C-6A98-41B7-B0C0-D5E9C5F5B658}"/>
    <cellStyle name="normální 31" xfId="38" xr:uid="{00000000-0005-0000-0000-000046000000}"/>
    <cellStyle name="normální 31 2" xfId="180" xr:uid="{94C3E5D2-8B2A-4B67-BF18-160ECABE26AC}"/>
    <cellStyle name="normální 32" xfId="39" xr:uid="{00000000-0005-0000-0000-000047000000}"/>
    <cellStyle name="normální 32 2" xfId="181" xr:uid="{1BE174B7-E715-48EB-9AA9-CAD9AC78B1B1}"/>
    <cellStyle name="normální 33" xfId="40" xr:uid="{00000000-0005-0000-0000-000048000000}"/>
    <cellStyle name="normální 33 2" xfId="182" xr:uid="{78099A76-A7D1-40F6-B022-ABCB252C2554}"/>
    <cellStyle name="normální 34" xfId="41" xr:uid="{00000000-0005-0000-0000-000049000000}"/>
    <cellStyle name="normální 34 2" xfId="183" xr:uid="{3EAC7BE5-F7D2-4BFA-A22C-CB904340F121}"/>
    <cellStyle name="Normální 35" xfId="42" xr:uid="{00000000-0005-0000-0000-00004A000000}"/>
    <cellStyle name="Normální 35 2" xfId="184" xr:uid="{46AE4722-4A26-4CED-8153-50CD94BB0A56}"/>
    <cellStyle name="Normální 36" xfId="43" xr:uid="{00000000-0005-0000-0000-00004B000000}"/>
    <cellStyle name="Normální 36 2" xfId="185" xr:uid="{8D66B41F-B7D5-4351-90C1-94B2B29D956A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 2" xfId="186" xr:uid="{CBC13D1B-0079-4707-9F78-9C19101551EC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3 2" xfId="187" xr:uid="{ADAE2A11-42BC-4D76-8F09-D1ED35938145}"/>
    <cellStyle name="Normální 44" xfId="52" xr:uid="{00000000-0005-0000-0000-000054000000}"/>
    <cellStyle name="Normální 44 2" xfId="188" xr:uid="{CBDDEE4B-73DD-4069-8524-1795FF9C9F8F}"/>
    <cellStyle name="Normální 45" xfId="53" xr:uid="{00000000-0005-0000-0000-000055000000}"/>
    <cellStyle name="Normální 45 2" xfId="189" xr:uid="{65B448AD-EC68-432A-86DA-9A6DF239A4AF}"/>
    <cellStyle name="Normální 46" xfId="54" xr:uid="{00000000-0005-0000-0000-000056000000}"/>
    <cellStyle name="Normální 46 2" xfId="190" xr:uid="{319DF0B2-E87A-4E04-B307-C6160ED5BB99}"/>
    <cellStyle name="Normální 47" xfId="55" xr:uid="{00000000-0005-0000-0000-000057000000}"/>
    <cellStyle name="Normální 47 2" xfId="191" xr:uid="{F5025257-1169-4281-8F26-6B01924E701F}"/>
    <cellStyle name="Normální 48" xfId="56" xr:uid="{00000000-0005-0000-0000-000058000000}"/>
    <cellStyle name="Normální 48 2" xfId="192" xr:uid="{821E20AE-2245-4944-980F-7CFFFACFC9DF}"/>
    <cellStyle name="Normální 49" xfId="57" xr:uid="{00000000-0005-0000-0000-000059000000}"/>
    <cellStyle name="Normální 49 2" xfId="193" xr:uid="{F0BC48E7-CD46-4E94-BA71-7FC7C9B44FCB}"/>
    <cellStyle name="normální 5" xfId="58" xr:uid="{00000000-0005-0000-0000-00005A000000}"/>
    <cellStyle name="normální 5 2" xfId="194" xr:uid="{ED20A628-3E6D-4596-847E-0E1B2FC0EDDC}"/>
    <cellStyle name="Normální 50" xfId="59" xr:uid="{00000000-0005-0000-0000-00005B000000}"/>
    <cellStyle name="Normální 50 2" xfId="195" xr:uid="{17AD9553-D53D-4988-9575-D8E50B79E8B3}"/>
    <cellStyle name="Normální 51" xfId="60" xr:uid="{00000000-0005-0000-0000-00005C000000}"/>
    <cellStyle name="Normální 51 2" xfId="196" xr:uid="{FD51B437-C06C-48E6-B8A1-5C8D8382E061}"/>
    <cellStyle name="Normální 52" xfId="61" xr:uid="{00000000-0005-0000-0000-00005D000000}"/>
    <cellStyle name="Normální 52 2" xfId="197" xr:uid="{C9A0AA7F-4058-4D00-8F14-602626D5333D}"/>
    <cellStyle name="Normální 53" xfId="62" xr:uid="{00000000-0005-0000-0000-00005E000000}"/>
    <cellStyle name="Normální 53 2" xfId="198" xr:uid="{91F1EEC5-683A-40E6-9DCF-E6EE323B7145}"/>
    <cellStyle name="Normální 54" xfId="63" xr:uid="{00000000-0005-0000-0000-00005F000000}"/>
    <cellStyle name="Normální 54 2" xfId="199" xr:uid="{F64054F5-1168-4CED-A69A-038B56C8C3BF}"/>
    <cellStyle name="Normální 55" xfId="64" xr:uid="{00000000-0005-0000-0000-000060000000}"/>
    <cellStyle name="Normální 55 2" xfId="200" xr:uid="{59AE17EF-FA26-49DB-B801-08FCD9BAAB0C}"/>
    <cellStyle name="Normální 56" xfId="65" xr:uid="{00000000-0005-0000-0000-000061000000}"/>
    <cellStyle name="Normální 56 2" xfId="201" xr:uid="{C1F82E06-455F-435C-8A28-5B6487E1F342}"/>
    <cellStyle name="Normální 57" xfId="66" xr:uid="{00000000-0005-0000-0000-000062000000}"/>
    <cellStyle name="Normální 57 2" xfId="202" xr:uid="{E82A9DCC-460D-48E3-B244-0F0DDD2A7DE8}"/>
    <cellStyle name="Normální 58" xfId="67" xr:uid="{00000000-0005-0000-0000-000063000000}"/>
    <cellStyle name="Normální 58 2" xfId="203" xr:uid="{03B9A11B-8195-416C-A067-C3AFC691ED64}"/>
    <cellStyle name="Normální 59" xfId="68" xr:uid="{00000000-0005-0000-0000-000064000000}"/>
    <cellStyle name="Normální 59 2" xfId="204" xr:uid="{2620668F-8B33-4C45-888E-B657D0EDD054}"/>
    <cellStyle name="normální 6" xfId="69" xr:uid="{00000000-0005-0000-0000-000065000000}"/>
    <cellStyle name="normální 6 2" xfId="205" xr:uid="{A6620CB9-AAFE-4D15-82ED-4425022BD435}"/>
    <cellStyle name="Normální 60" xfId="70" xr:uid="{00000000-0005-0000-0000-000066000000}"/>
    <cellStyle name="Normální 61" xfId="71" xr:uid="{00000000-0005-0000-0000-000067000000}"/>
    <cellStyle name="Normální 61 2" xfId="206" xr:uid="{E5B4B8BE-1679-4606-BDC5-693496D1BB73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6 2" xfId="210" xr:uid="{5CA17019-FBF8-4FF6-9C4D-A948A833F27B}"/>
    <cellStyle name="Normální 67" xfId="81" xr:uid="{00000000-0005-0000-0000-00006D000000}"/>
    <cellStyle name="Normální 67 2" xfId="211" xr:uid="{B92BDD0E-60E9-4035-B69C-E84DE5CFFA8C}"/>
    <cellStyle name="Normální 68" xfId="82" xr:uid="{00000000-0005-0000-0000-00006E000000}"/>
    <cellStyle name="Normální 68 2" xfId="212" xr:uid="{65D4F49D-0456-4638-82D5-8B3A6774C91C}"/>
    <cellStyle name="Normální 69" xfId="83" xr:uid="{00000000-0005-0000-0000-00006F000000}"/>
    <cellStyle name="Normální 69 2" xfId="213" xr:uid="{A8BCA5B9-BE20-4D70-BFF4-3D97FA636339}"/>
    <cellStyle name="normální 7" xfId="76" xr:uid="{00000000-0005-0000-0000-000070000000}"/>
    <cellStyle name="normální 7 2" xfId="207" xr:uid="{FBB8115D-4549-4BDE-8B07-2D5781D4A14A}"/>
    <cellStyle name="Normální 70" xfId="84" xr:uid="{00000000-0005-0000-0000-000071000000}"/>
    <cellStyle name="Normální 70 2" xfId="214" xr:uid="{D54E76BB-2D44-4233-9A96-ADB55EA7AFDA}"/>
    <cellStyle name="Normální 71" xfId="85" xr:uid="{00000000-0005-0000-0000-000072000000}"/>
    <cellStyle name="Normální 71 2" xfId="215" xr:uid="{A70AD382-D744-4D19-BB82-B61157F13EBC}"/>
    <cellStyle name="Normální 72" xfId="86" xr:uid="{00000000-0005-0000-0000-000073000000}"/>
    <cellStyle name="Normální 72 2" xfId="216" xr:uid="{BE77205B-A4B7-43BF-9D6E-B9D83AD38775}"/>
    <cellStyle name="Normální 73" xfId="87" xr:uid="{00000000-0005-0000-0000-000074000000}"/>
    <cellStyle name="Normální 73 2" xfId="217" xr:uid="{6A0E9E16-46A7-4347-8AD3-7EB194B6C99D}"/>
    <cellStyle name="Normální 74" xfId="88" xr:uid="{00000000-0005-0000-0000-000075000000}"/>
    <cellStyle name="Normální 74 2" xfId="218" xr:uid="{5DF8E722-1F9E-45D8-A370-5B95CAE68726}"/>
    <cellStyle name="Normální 75" xfId="89" xr:uid="{00000000-0005-0000-0000-000076000000}"/>
    <cellStyle name="Normální 76" xfId="90" xr:uid="{00000000-0005-0000-0000-000077000000}"/>
    <cellStyle name="Normální 76 2" xfId="219" xr:uid="{DC172E00-7A62-4854-83CE-07A5F611A1AC}"/>
    <cellStyle name="Normální 77" xfId="91" xr:uid="{00000000-0005-0000-0000-000078000000}"/>
    <cellStyle name="Normální 77 2" xfId="220" xr:uid="{7653AAE2-6A9E-414A-BF29-A071A494AE8F}"/>
    <cellStyle name="Normální 78" xfId="92" xr:uid="{00000000-0005-0000-0000-000079000000}"/>
    <cellStyle name="Normální 78 2" xfId="221" xr:uid="{E0929E97-5991-47AA-9FC3-A74C1591950A}"/>
    <cellStyle name="Normální 79" xfId="93" xr:uid="{00000000-0005-0000-0000-00007A000000}"/>
    <cellStyle name="Normální 79 2" xfId="222" xr:uid="{CF3A0CE5-1E4D-4376-AE3D-568553976D8D}"/>
    <cellStyle name="normální 8" xfId="77" xr:uid="{00000000-0005-0000-0000-00007B000000}"/>
    <cellStyle name="normální 8 2" xfId="208" xr:uid="{A74F9BA9-5CDA-440E-AD70-CFE7D53556E3}"/>
    <cellStyle name="Normální 80" xfId="94" xr:uid="{00000000-0005-0000-0000-00007C000000}"/>
    <cellStyle name="Normální 80 2" xfId="223" xr:uid="{5693CB80-0AE4-4718-8D8F-E4C66F5591F2}"/>
    <cellStyle name="Normální 81" xfId="95" xr:uid="{00000000-0005-0000-0000-00007D000000}"/>
    <cellStyle name="Normální 81 2" xfId="224" xr:uid="{A1E1F578-9605-4296-A402-1E42013A35B7}"/>
    <cellStyle name="Normální 82" xfId="96" xr:uid="{00000000-0005-0000-0000-00007E000000}"/>
    <cellStyle name="Normální 82 2" xfId="225" xr:uid="{1E7C4B2B-806E-44F2-9F74-1F3E99471F16}"/>
    <cellStyle name="Normální 83" xfId="97" xr:uid="{00000000-0005-0000-0000-00007F000000}"/>
    <cellStyle name="Normální 83 2" xfId="226" xr:uid="{8EE01C64-52CF-4373-99D3-B6528A986B79}"/>
    <cellStyle name="Normální 84" xfId="98" xr:uid="{00000000-0005-0000-0000-000080000000}"/>
    <cellStyle name="Normální 84 2" xfId="227" xr:uid="{878BC261-8A96-4C38-A352-6B1938ABA268}"/>
    <cellStyle name="Normální 85" xfId="99" xr:uid="{00000000-0005-0000-0000-000081000000}"/>
    <cellStyle name="Normální 85 2" xfId="228" xr:uid="{2816B5AF-D15A-4F49-A089-1C29D6E9D7DF}"/>
    <cellStyle name="Normální 86" xfId="100" xr:uid="{00000000-0005-0000-0000-000082000000}"/>
    <cellStyle name="Normální 86 2" xfId="229" xr:uid="{039637B7-CEFA-4EF6-BA73-BC456D6FFA0A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 2" xfId="209" xr:uid="{410C61E2-74E5-42C5-BF9E-C204EA59E485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67"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fgColor auto="1"/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6021"/>
      <color rgb="FFFF6600"/>
      <color rgb="FF009FE3"/>
      <color rgb="FFCCFFFF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Beta!A1"/><Relationship Id="rId21" Type="http://schemas.openxmlformats.org/officeDocument/2006/relationships/hyperlink" Target="#Faworyt!A1"/><Relationship Id="rId42" Type="http://schemas.openxmlformats.org/officeDocument/2006/relationships/hyperlink" Target="#'Porto GM r&#225;m'!A1"/><Relationship Id="rId47" Type="http://schemas.openxmlformats.org/officeDocument/2006/relationships/image" Target="../media/image24.png"/><Relationship Id="rId63" Type="http://schemas.openxmlformats.org/officeDocument/2006/relationships/image" Target="../media/image31.jpeg"/><Relationship Id="rId68" Type="http://schemas.openxmlformats.org/officeDocument/2006/relationships/hyperlink" Target="#Lynx!A1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image" Target="../media/image16.png"/><Relationship Id="rId11" Type="http://schemas.openxmlformats.org/officeDocument/2006/relationships/hyperlink" Target="#Fala!barva_7"/><Relationship Id="rId24" Type="http://schemas.openxmlformats.org/officeDocument/2006/relationships/hyperlink" Target="#'Oaza II'!barva_8"/><Relationship Id="rId32" Type="http://schemas.openxmlformats.org/officeDocument/2006/relationships/hyperlink" Target="#Karat!barva_6"/><Relationship Id="rId37" Type="http://schemas.openxmlformats.org/officeDocument/2006/relationships/image" Target="../media/image20.jpeg"/><Relationship Id="rId40" Type="http://schemas.openxmlformats.org/officeDocument/2006/relationships/hyperlink" Target="#Rex!barva_8"/><Relationship Id="rId45" Type="http://schemas.openxmlformats.org/officeDocument/2006/relationships/image" Target="../media/image23.png"/><Relationship Id="rId53" Type="http://schemas.openxmlformats.org/officeDocument/2006/relationships/hyperlink" Target="#'Rekord (r&#225;mov&#253;)'!barva_7"/><Relationship Id="rId58" Type="http://schemas.openxmlformats.org/officeDocument/2006/relationships/image" Target="../media/image29.jpeg"/><Relationship Id="rId66" Type="http://schemas.openxmlformats.org/officeDocument/2006/relationships/hyperlink" Target="#'Focus II'!barva_8"/><Relationship Id="rId74" Type="http://schemas.openxmlformats.org/officeDocument/2006/relationships/image" Target="../media/image36.jpg"/><Relationship Id="rId5" Type="http://schemas.openxmlformats.org/officeDocument/2006/relationships/hyperlink" Target="#'Factor 18 II'!A1"/><Relationship Id="rId61" Type="http://schemas.openxmlformats.org/officeDocument/2006/relationships/image" Target="../media/image30.jpeg"/><Relationship Id="rId19" Type="http://schemas.openxmlformats.org/officeDocument/2006/relationships/hyperlink" Target="#Lux!barva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Julie!A1"/><Relationship Id="rId35" Type="http://schemas.openxmlformats.org/officeDocument/2006/relationships/image" Target="../media/image19.png"/><Relationship Id="rId43" Type="http://schemas.openxmlformats.org/officeDocument/2006/relationships/hyperlink" Target="#'Arte GM r&#225;m'!A1"/><Relationship Id="rId48" Type="http://schemas.openxmlformats.org/officeDocument/2006/relationships/hyperlink" Target="#'Unicomfort II'!A1"/><Relationship Id="rId56" Type="http://schemas.openxmlformats.org/officeDocument/2006/relationships/hyperlink" Target="#'Era (r&#225;mov&#253;)'!barva_7"/><Relationship Id="rId64" Type="http://schemas.openxmlformats.org/officeDocument/2006/relationships/hyperlink" Target="#'Fiona II'!A1"/><Relationship Id="rId69" Type="http://schemas.openxmlformats.org/officeDocument/2006/relationships/image" Target="../media/image34.png"/><Relationship Id="rId8" Type="http://schemas.openxmlformats.org/officeDocument/2006/relationships/image" Target="../media/image5.jpeg"/><Relationship Id="rId51" Type="http://schemas.openxmlformats.org/officeDocument/2006/relationships/hyperlink" Target="#'Rekord (bezr&#225;mov&#253;)'!barva_7"/><Relationship Id="rId72" Type="http://schemas.openxmlformats.org/officeDocument/2006/relationships/hyperlink" Target="#'Prosper bezr&#225;m'!A1"/><Relationship Id="rId3" Type="http://schemas.openxmlformats.org/officeDocument/2006/relationships/hyperlink" Target="#Gemini!A1"/><Relationship Id="rId12" Type="http://schemas.openxmlformats.org/officeDocument/2006/relationships/image" Target="../media/image7.png"/><Relationship Id="rId17" Type="http://schemas.openxmlformats.org/officeDocument/2006/relationships/hyperlink" Target="#'Alfa II'!barva_8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hyperlink" Target="#Prosper!A1"/><Relationship Id="rId46" Type="http://schemas.openxmlformats.org/officeDocument/2006/relationships/hyperlink" Target="#'Comfort II'!A1"/><Relationship Id="rId59" Type="http://schemas.openxmlformats.org/officeDocument/2006/relationships/hyperlink" Target="#Beta!barva_8"/><Relationship Id="rId67" Type="http://schemas.openxmlformats.org/officeDocument/2006/relationships/image" Target="../media/image33.jpeg"/><Relationship Id="rId20" Type="http://schemas.openxmlformats.org/officeDocument/2006/relationships/image" Target="../media/image11.png"/><Relationship Id="rId41" Type="http://schemas.openxmlformats.org/officeDocument/2006/relationships/image" Target="../media/image22.png"/><Relationship Id="rId54" Type="http://schemas.openxmlformats.org/officeDocument/2006/relationships/hyperlink" Target="#'Era (bezr&#225;mov&#253;)'!barva_7"/><Relationship Id="rId62" Type="http://schemas.openxmlformats.org/officeDocument/2006/relationships/hyperlink" Target="#Tytan!barva_8"/><Relationship Id="rId70" Type="http://schemas.openxmlformats.org/officeDocument/2006/relationships/hyperlink" Target="#Vitara!A1"/><Relationship Id="rId75" Type="http://schemas.openxmlformats.org/officeDocument/2006/relationships/image" Target="../media/image37.emf"/><Relationship Id="rId1" Type="http://schemas.openxmlformats.org/officeDocument/2006/relationships/hyperlink" Target="#System10!A1"/><Relationship Id="rId6" Type="http://schemas.openxmlformats.org/officeDocument/2006/relationships/image" Target="../media/image4.jpeg"/><Relationship Id="rId15" Type="http://schemas.openxmlformats.org/officeDocument/2006/relationships/hyperlink" Target="#Polo!barva_7"/><Relationship Id="rId23" Type="http://schemas.openxmlformats.org/officeDocument/2006/relationships/image" Target="../media/image13.png"/><Relationship Id="rId28" Type="http://schemas.openxmlformats.org/officeDocument/2006/relationships/hyperlink" Target="#'Romeo II'!A1"/><Relationship Id="rId36" Type="http://schemas.openxmlformats.org/officeDocument/2006/relationships/hyperlink" Target="#Fox!A1"/><Relationship Id="rId49" Type="http://schemas.openxmlformats.org/officeDocument/2006/relationships/image" Target="../media/image25.png"/><Relationship Id="rId57" Type="http://schemas.openxmlformats.org/officeDocument/2006/relationships/hyperlink" Target="#Ergo!barva_8"/><Relationship Id="rId10" Type="http://schemas.openxmlformats.org/officeDocument/2006/relationships/image" Target="../media/image6.emf"/><Relationship Id="rId31" Type="http://schemas.openxmlformats.org/officeDocument/2006/relationships/image" Target="../media/image17.png"/><Relationship Id="rId44" Type="http://schemas.openxmlformats.org/officeDocument/2006/relationships/hyperlink" Target="#'Minicomfort II'!A1"/><Relationship Id="rId52" Type="http://schemas.openxmlformats.org/officeDocument/2006/relationships/image" Target="../media/image27.png"/><Relationship Id="rId60" Type="http://schemas.openxmlformats.org/officeDocument/2006/relationships/hyperlink" Target="#Universal!A1"/><Relationship Id="rId65" Type="http://schemas.openxmlformats.org/officeDocument/2006/relationships/image" Target="../media/image32.png"/><Relationship Id="rId73" Type="http://schemas.openxmlformats.org/officeDocument/2006/relationships/hyperlink" Target="#'Arte GM bezr&#225;m'!barva"/><Relationship Id="rId4" Type="http://schemas.openxmlformats.org/officeDocument/2006/relationships/image" Target="../media/image3.png"/><Relationship Id="rId9" Type="http://schemas.openxmlformats.org/officeDocument/2006/relationships/hyperlink" Target="#Future!A1"/><Relationship Id="rId13" Type="http://schemas.openxmlformats.org/officeDocument/2006/relationships/hyperlink" Target="#Master!barva_7"/><Relationship Id="rId18" Type="http://schemas.openxmlformats.org/officeDocument/2006/relationships/image" Target="../media/image10.png"/><Relationship Id="rId39" Type="http://schemas.openxmlformats.org/officeDocument/2006/relationships/image" Target="../media/image21.jpeg"/><Relationship Id="rId34" Type="http://schemas.openxmlformats.org/officeDocument/2006/relationships/hyperlink" Target="#Pax!barva"/><Relationship Id="rId50" Type="http://schemas.openxmlformats.org/officeDocument/2006/relationships/image" Target="../media/image26.jpeg"/><Relationship Id="rId55" Type="http://schemas.openxmlformats.org/officeDocument/2006/relationships/image" Target="../media/image28.png"/><Relationship Id="rId7" Type="http://schemas.openxmlformats.org/officeDocument/2006/relationships/hyperlink" Target="#Victoria!A1"/><Relationship Id="rId71" Type="http://schemas.openxmlformats.org/officeDocument/2006/relationships/image" Target="../media/image3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4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7.png"/><Relationship Id="rId4" Type="http://schemas.openxmlformats.org/officeDocument/2006/relationships/image" Target="../media/image4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36.jpg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62.png"/><Relationship Id="rId6" Type="http://schemas.openxmlformats.org/officeDocument/2006/relationships/image" Target="../media/image36.jp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5.pn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66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2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3.png"/><Relationship Id="rId4" Type="http://schemas.openxmlformats.org/officeDocument/2006/relationships/image" Target="../media/image6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5" Type="http://schemas.openxmlformats.org/officeDocument/2006/relationships/image" Target="../media/image36.jpg"/><Relationship Id="rId4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4.png"/><Relationship Id="rId4" Type="http://schemas.openxmlformats.org/officeDocument/2006/relationships/image" Target="../media/image69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0.png"/><Relationship Id="rId6" Type="http://schemas.openxmlformats.org/officeDocument/2006/relationships/image" Target="../media/image36.jp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Relationship Id="rId6" Type="http://schemas.openxmlformats.org/officeDocument/2006/relationships/image" Target="../media/image36.jpg"/><Relationship Id="rId5" Type="http://schemas.openxmlformats.org/officeDocument/2006/relationships/image" Target="../media/image78.png"/><Relationship Id="rId4" Type="http://schemas.openxmlformats.org/officeDocument/2006/relationships/image" Target="../media/image7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1.jpeg"/><Relationship Id="rId6" Type="http://schemas.openxmlformats.org/officeDocument/2006/relationships/image" Target="../media/image36.jpg"/><Relationship Id="rId5" Type="http://schemas.openxmlformats.org/officeDocument/2006/relationships/image" Target="../media/image79.png"/><Relationship Id="rId4" Type="http://schemas.openxmlformats.org/officeDocument/2006/relationships/image" Target="../media/image7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4.png"/><Relationship Id="rId6" Type="http://schemas.openxmlformats.org/officeDocument/2006/relationships/image" Target="../media/image36.jpg"/><Relationship Id="rId5" Type="http://schemas.openxmlformats.org/officeDocument/2006/relationships/image" Target="../media/image80.png"/><Relationship Id="rId4" Type="http://schemas.openxmlformats.org/officeDocument/2006/relationships/image" Target="../media/image7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81.jpeg"/><Relationship Id="rId6" Type="http://schemas.openxmlformats.org/officeDocument/2006/relationships/image" Target="../media/image36.jpg"/><Relationship Id="rId5" Type="http://schemas.openxmlformats.org/officeDocument/2006/relationships/image" Target="../media/image82.png"/><Relationship Id="rId4" Type="http://schemas.openxmlformats.org/officeDocument/2006/relationships/image" Target="../media/image7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7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85.png"/><Relationship Id="rId4" Type="http://schemas.openxmlformats.org/officeDocument/2006/relationships/image" Target="../media/image8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5.png"/><Relationship Id="rId6" Type="http://schemas.openxmlformats.org/officeDocument/2006/relationships/image" Target="../media/image36.jpg"/><Relationship Id="rId5" Type="http://schemas.openxmlformats.org/officeDocument/2006/relationships/image" Target="../media/image86.png"/><Relationship Id="rId4" Type="http://schemas.openxmlformats.org/officeDocument/2006/relationships/image" Target="../media/image8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3.jpeg"/><Relationship Id="rId1" Type="http://schemas.openxmlformats.org/officeDocument/2006/relationships/image" Target="../media/image87.png"/><Relationship Id="rId6" Type="http://schemas.openxmlformats.org/officeDocument/2006/relationships/image" Target="../media/image36.jpg"/><Relationship Id="rId5" Type="http://schemas.openxmlformats.org/officeDocument/2006/relationships/image" Target="../media/image84.png"/><Relationship Id="rId4" Type="http://schemas.openxmlformats.org/officeDocument/2006/relationships/image" Target="../media/image7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29.jpeg"/><Relationship Id="rId6" Type="http://schemas.openxmlformats.org/officeDocument/2006/relationships/image" Target="../media/image36.jpg"/><Relationship Id="rId5" Type="http://schemas.openxmlformats.org/officeDocument/2006/relationships/image" Target="../media/image88.png"/><Relationship Id="rId4" Type="http://schemas.openxmlformats.org/officeDocument/2006/relationships/image" Target="../media/image8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2.png"/><Relationship Id="rId6" Type="http://schemas.openxmlformats.org/officeDocument/2006/relationships/image" Target="../media/image36.jpg"/><Relationship Id="rId5" Type="http://schemas.openxmlformats.org/officeDocument/2006/relationships/image" Target="../media/image89.png"/><Relationship Id="rId4" Type="http://schemas.openxmlformats.org/officeDocument/2006/relationships/image" Target="../media/image84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90.jpeg"/><Relationship Id="rId6" Type="http://schemas.openxmlformats.org/officeDocument/2006/relationships/image" Target="../media/image36.jpg"/><Relationship Id="rId5" Type="http://schemas.openxmlformats.org/officeDocument/2006/relationships/image" Target="../media/image91.png"/><Relationship Id="rId4" Type="http://schemas.openxmlformats.org/officeDocument/2006/relationships/image" Target="../media/image76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39.png"/><Relationship Id="rId1" Type="http://schemas.openxmlformats.org/officeDocument/2006/relationships/image" Target="../media/image23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4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5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5.png"/><Relationship Id="rId4" Type="http://schemas.openxmlformats.org/officeDocument/2006/relationships/image" Target="../media/image46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4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9.png"/><Relationship Id="rId4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0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34785</xdr:colOff>
      <xdr:row>35</xdr:row>
      <xdr:rowOff>116289</xdr:rowOff>
    </xdr:from>
    <xdr:to>
      <xdr:col>11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60624</xdr:colOff>
      <xdr:row>35</xdr:row>
      <xdr:rowOff>58971</xdr:rowOff>
    </xdr:from>
    <xdr:to>
      <xdr:col>9</xdr:col>
      <xdr:colOff>668691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702651</xdr:colOff>
      <xdr:row>24</xdr:row>
      <xdr:rowOff>1239349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664845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626745</xdr:colOff>
      <xdr:row>24</xdr:row>
      <xdr:rowOff>1234440</xdr:rowOff>
    </xdr:to>
    <xdr:pic>
      <xdr:nvPicPr>
        <xdr:cNvPr id="21" name="Obrázek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664845</xdr:colOff>
      <xdr:row>29</xdr:row>
      <xdr:rowOff>1199197</xdr:rowOff>
    </xdr:to>
    <xdr:pic>
      <xdr:nvPicPr>
        <xdr:cNvPr id="22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60960</xdr:rowOff>
    </xdr:from>
    <xdr:to>
      <xdr:col>5</xdr:col>
      <xdr:colOff>762000</xdr:colOff>
      <xdr:row>35</xdr:row>
      <xdr:rowOff>1312545</xdr:rowOff>
    </xdr:to>
    <xdr:pic>
      <xdr:nvPicPr>
        <xdr:cNvPr id="24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701040</xdr:colOff>
      <xdr:row>24</xdr:row>
      <xdr:rowOff>1273492</xdr:rowOff>
    </xdr:to>
    <xdr:pic>
      <xdr:nvPicPr>
        <xdr:cNvPr id="25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45720</xdr:rowOff>
    </xdr:from>
    <xdr:to>
      <xdr:col>3</xdr:col>
      <xdr:colOff>740092</xdr:colOff>
      <xdr:row>35</xdr:row>
      <xdr:rowOff>1311592</xdr:rowOff>
    </xdr:to>
    <xdr:pic>
      <xdr:nvPicPr>
        <xdr:cNvPr id="26" name="Obrázek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520479</xdr:colOff>
      <xdr:row>49</xdr:row>
      <xdr:rowOff>147204</xdr:rowOff>
    </xdr:from>
    <xdr:to>
      <xdr:col>7</xdr:col>
      <xdr:colOff>524210</xdr:colOff>
      <xdr:row>49</xdr:row>
      <xdr:rowOff>147259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106680</xdr:colOff>
      <xdr:row>35</xdr:row>
      <xdr:rowOff>91441</xdr:rowOff>
    </xdr:from>
    <xdr:to>
      <xdr:col>7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645555</xdr:colOff>
      <xdr:row>40</xdr:row>
      <xdr:rowOff>1280002</xdr:rowOff>
    </xdr:to>
    <xdr:pic>
      <xdr:nvPicPr>
        <xdr:cNvPr id="37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1234440</xdr:rowOff>
    </xdr:to>
    <xdr:pic>
      <xdr:nvPicPr>
        <xdr:cNvPr id="38" name="Obrázek 4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701040</xdr:colOff>
      <xdr:row>24</xdr:row>
      <xdr:rowOff>1272540</xdr:rowOff>
    </xdr:to>
    <xdr:pic>
      <xdr:nvPicPr>
        <xdr:cNvPr id="39" name="Obrázek 4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763183</xdr:colOff>
      <xdr:row>29</xdr:row>
      <xdr:rowOff>1277082</xdr:rowOff>
    </xdr:to>
    <xdr:pic>
      <xdr:nvPicPr>
        <xdr:cNvPr id="40" name="Obrázek 3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745725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3731" y="3951632"/>
          <a:ext cx="712594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39943</xdr:colOff>
      <xdr:row>16</xdr:row>
      <xdr:rowOff>483840</xdr:rowOff>
    </xdr:from>
    <xdr:to>
      <xdr:col>8</xdr:col>
      <xdr:colOff>168945</xdr:colOff>
      <xdr:row>18</xdr:row>
      <xdr:rowOff>1274445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293" y="3379440"/>
          <a:ext cx="2956022" cy="1964085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721936</xdr:colOff>
      <xdr:row>45</xdr:row>
      <xdr:rowOff>1121765</xdr:rowOff>
    </xdr:to>
    <xdr:pic>
      <xdr:nvPicPr>
        <xdr:cNvPr id="23" name="Obrázek 2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11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740541</xdr:colOff>
      <xdr:row>45</xdr:row>
      <xdr:rowOff>1312265</xdr:rowOff>
    </xdr:to>
    <xdr:pic>
      <xdr:nvPicPr>
        <xdr:cNvPr id="28" name="Obrázek 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9</xdr:col>
      <xdr:colOff>62196</xdr:colOff>
      <xdr:row>45</xdr:row>
      <xdr:rowOff>96372</xdr:rowOff>
    </xdr:from>
    <xdr:to>
      <xdr:col>9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5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21201</xdr:colOff>
      <xdr:row>40</xdr:row>
      <xdr:rowOff>82251</xdr:rowOff>
    </xdr:from>
    <xdr:to>
      <xdr:col>7</xdr:col>
      <xdr:colOff>767714</xdr:colOff>
      <xdr:row>40</xdr:row>
      <xdr:rowOff>1323975</xdr:rowOff>
    </xdr:to>
    <xdr:pic>
      <xdr:nvPicPr>
        <xdr:cNvPr id="64" name="Picture 2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1151" y="13760151"/>
          <a:ext cx="746513" cy="124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17928</xdr:colOff>
      <xdr:row>40</xdr:row>
      <xdr:rowOff>89646</xdr:rowOff>
    </xdr:from>
    <xdr:to>
      <xdr:col>4</xdr:col>
      <xdr:colOff>1231</xdr:colOff>
      <xdr:row>40</xdr:row>
      <xdr:rowOff>1274556</xdr:rowOff>
    </xdr:to>
    <xdr:pic>
      <xdr:nvPicPr>
        <xdr:cNvPr id="66" name="Obrázek 4" descr="Focus.jpg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2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FC26D46-BA58-40B6-B32D-71C67A1F0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3" name="Obrázek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641BECF-9E67-4326-9752-6C87DEF0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4" name="Obrázek 21" descr="Prosper.jpg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5C25421-6B0D-4CC3-AF4D-86F7418CE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7" name="Obrázek 16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82D7ADC-1D04-4FCD-BB25-152C4281E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twoCellAnchor editAs="oneCell">
    <xdr:from>
      <xdr:col>18</xdr:col>
      <xdr:colOff>0</xdr:colOff>
      <xdr:row>0</xdr:row>
      <xdr:rowOff>0</xdr:rowOff>
    </xdr:from>
    <xdr:to>
      <xdr:col>18</xdr:col>
      <xdr:colOff>0</xdr:colOff>
      <xdr:row>4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609D7AA-CB51-6FDF-45CF-F3CE3A1C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305925" y="0"/>
          <a:ext cx="0" cy="9372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426721</xdr:colOff>
      <xdr:row>0</xdr:row>
      <xdr:rowOff>91441</xdr:rowOff>
    </xdr:from>
    <xdr:to>
      <xdr:col>17</xdr:col>
      <xdr:colOff>610858</xdr:colOff>
      <xdr:row>3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1548221B-03B2-DC76-A3C1-07DBF791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1441"/>
          <a:ext cx="3336912" cy="8229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22859</xdr:colOff>
          <xdr:row>16</xdr:row>
          <xdr:rowOff>388618</xdr:rowOff>
        </xdr:from>
        <xdr:to>
          <xdr:col>17</xdr:col>
          <xdr:colOff>731520</xdr:colOff>
          <xdr:row>18</xdr:row>
          <xdr:rowOff>1219199</xdr:rowOff>
        </xdr:to>
        <xdr:pic>
          <xdr:nvPicPr>
            <xdr:cNvPr id="18" name="Obrázek 17">
              <a:extLst>
                <a:ext uri="{FF2B5EF4-FFF2-40B4-BE49-F238E27FC236}">
                  <a16:creationId xmlns:a16="http://schemas.microsoft.com/office/drawing/2014/main" id="{3D5A5BE1-1C0F-5425-55F0-6E0B7C5B0A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exty!$D$277:$E$285" spid="_x0000_s3477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4564379" y="3253738"/>
              <a:ext cx="4869181" cy="19964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1572962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644897</xdr:colOff>
      <xdr:row>14</xdr:row>
      <xdr:rowOff>47625</xdr:rowOff>
    </xdr:from>
    <xdr:to>
      <xdr:col>7</xdr:col>
      <xdr:colOff>294772</xdr:colOff>
      <xdr:row>24</xdr:row>
      <xdr:rowOff>47636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97" y="2952750"/>
          <a:ext cx="1707275" cy="201931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369506</xdr:colOff>
      <xdr:row>16</xdr:row>
      <xdr:rowOff>42229</xdr:rowOff>
    </xdr:from>
    <xdr:to>
      <xdr:col>3</xdr:col>
      <xdr:colOff>54911</xdr:colOff>
      <xdr:row>25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3806" y="3556954"/>
          <a:ext cx="3276330" cy="152939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8</xdr:row>
      <xdr:rowOff>20170</xdr:rowOff>
    </xdr:from>
    <xdr:to>
      <xdr:col>5</xdr:col>
      <xdr:colOff>169739</xdr:colOff>
      <xdr:row>19</xdr:row>
      <xdr:rowOff>49939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8305800" y="1772770"/>
          <a:ext cx="1227014" cy="2172894"/>
        </a:xfrm>
        <a:prstGeom prst="rect">
          <a:avLst/>
        </a:prstGeom>
      </xdr:spPr>
    </xdr:pic>
    <xdr:clientData/>
  </xdr:twoCellAnchor>
  <xdr:twoCellAnchor editAs="oneCell">
    <xdr:from>
      <xdr:col>0</xdr:col>
      <xdr:colOff>1244974</xdr:colOff>
      <xdr:row>16</xdr:row>
      <xdr:rowOff>114300</xdr:rowOff>
    </xdr:from>
    <xdr:to>
      <xdr:col>0</xdr:col>
      <xdr:colOff>2647950</xdr:colOff>
      <xdr:row>24</xdr:row>
      <xdr:rowOff>100759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4974" y="3219450"/>
          <a:ext cx="1402976" cy="13961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C16F1-4E2E-46B3-ABCF-AB8E8DD0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1573410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258364</xdr:colOff>
      <xdr:row>13</xdr:row>
      <xdr:rowOff>28575</xdr:rowOff>
    </xdr:from>
    <xdr:to>
      <xdr:col>7</xdr:col>
      <xdr:colOff>241409</xdr:colOff>
      <xdr:row>24</xdr:row>
      <xdr:rowOff>44478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9539" y="2781300"/>
          <a:ext cx="1945195" cy="233047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3</xdr:col>
      <xdr:colOff>188823</xdr:colOff>
      <xdr:row>24</xdr:row>
      <xdr:rowOff>69925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555447</xdr:colOff>
      <xdr:row>7</xdr:row>
      <xdr:rowOff>47624</xdr:rowOff>
    </xdr:from>
    <xdr:to>
      <xdr:col>4</xdr:col>
      <xdr:colOff>958828</xdr:colOff>
      <xdr:row>18</xdr:row>
      <xdr:rowOff>94016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2097" y="1828799"/>
          <a:ext cx="1336831" cy="2141892"/>
        </a:xfrm>
        <a:prstGeom prst="rect">
          <a:avLst/>
        </a:prstGeom>
      </xdr:spPr>
    </xdr:pic>
    <xdr:clientData/>
  </xdr:twoCellAnchor>
  <xdr:twoCellAnchor editAs="oneCell">
    <xdr:from>
      <xdr:col>0</xdr:col>
      <xdr:colOff>938503</xdr:colOff>
      <xdr:row>16</xdr:row>
      <xdr:rowOff>47625</xdr:rowOff>
    </xdr:from>
    <xdr:to>
      <xdr:col>0</xdr:col>
      <xdr:colOff>2588519</xdr:colOff>
      <xdr:row>24</xdr:row>
      <xdr:rowOff>144904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8503" y="3133725"/>
          <a:ext cx="1650016" cy="16117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76200</xdr:rowOff>
    </xdr:from>
    <xdr:to>
      <xdr:col>9</xdr:col>
      <xdr:colOff>0</xdr:colOff>
      <xdr:row>2</xdr:row>
      <xdr:rowOff>182880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A2476-8161-449E-A7C0-A2BC95D3D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76200"/>
          <a:ext cx="2464115" cy="5162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538434</xdr:colOff>
      <xdr:row>3</xdr:row>
      <xdr:rowOff>73317</xdr:rowOff>
    </xdr:from>
    <xdr:to>
      <xdr:col>8</xdr:col>
      <xdr:colOff>1011548</xdr:colOff>
      <xdr:row>5</xdr:row>
      <xdr:rowOff>152850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34" y="101819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3</xdr:col>
      <xdr:colOff>310627</xdr:colOff>
      <xdr:row>24</xdr:row>
      <xdr:rowOff>57148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616375</xdr:colOff>
      <xdr:row>7</xdr:row>
      <xdr:rowOff>149039</xdr:rowOff>
    </xdr:from>
    <xdr:to>
      <xdr:col>4</xdr:col>
      <xdr:colOff>600714</xdr:colOff>
      <xdr:row>16</xdr:row>
      <xdr:rowOff>75080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3400" y="1806389"/>
          <a:ext cx="898739" cy="1478616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93559</xdr:colOff>
      <xdr:row>21</xdr:row>
      <xdr:rowOff>98640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817469</xdr:colOff>
      <xdr:row>16</xdr:row>
      <xdr:rowOff>92981</xdr:rowOff>
    </xdr:from>
    <xdr:to>
      <xdr:col>0</xdr:col>
      <xdr:colOff>2371725</xdr:colOff>
      <xdr:row>24</xdr:row>
      <xdr:rowOff>152251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469" y="3245756"/>
          <a:ext cx="1554256" cy="1564220"/>
        </a:xfrm>
        <a:prstGeom prst="rect">
          <a:avLst/>
        </a:prstGeom>
      </xdr:spPr>
    </xdr:pic>
    <xdr:clientData/>
  </xdr:twoCellAnchor>
  <xdr:twoCellAnchor editAs="oneCell">
    <xdr:from>
      <xdr:col>6</xdr:col>
      <xdr:colOff>482920</xdr:colOff>
      <xdr:row>0</xdr:row>
      <xdr:rowOff>131445</xdr:rowOff>
    </xdr:from>
    <xdr:to>
      <xdr:col>9</xdr:col>
      <xdr:colOff>0</xdr:colOff>
      <xdr:row>2</xdr:row>
      <xdr:rowOff>234315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F74066-8FDC-4B03-BC63-AA090BDA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645" y="131445"/>
          <a:ext cx="2460305" cy="512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629874</xdr:colOff>
      <xdr:row>3</xdr:row>
      <xdr:rowOff>65697</xdr:rowOff>
    </xdr:from>
    <xdr:to>
      <xdr:col>8</xdr:col>
      <xdr:colOff>1102988</xdr:colOff>
      <xdr:row>5</xdr:row>
      <xdr:rowOff>145230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1554" y="96485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146461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439542</xdr:colOff>
      <xdr:row>16</xdr:row>
      <xdr:rowOff>59035</xdr:rowOff>
    </xdr:from>
    <xdr:to>
      <xdr:col>3</xdr:col>
      <xdr:colOff>160692</xdr:colOff>
      <xdr:row>25</xdr:row>
      <xdr:rowOff>16807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2892" y="3535660"/>
          <a:ext cx="3302550" cy="1529397"/>
        </a:xfrm>
        <a:prstGeom prst="rect">
          <a:avLst/>
        </a:prstGeom>
      </xdr:spPr>
    </xdr:pic>
    <xdr:clientData/>
  </xdr:twoCellAnchor>
  <xdr:twoCellAnchor editAs="oneCell">
    <xdr:from>
      <xdr:col>0</xdr:col>
      <xdr:colOff>1237128</xdr:colOff>
      <xdr:row>16</xdr:row>
      <xdr:rowOff>114300</xdr:rowOff>
    </xdr:from>
    <xdr:to>
      <xdr:col>0</xdr:col>
      <xdr:colOff>2695575</xdr:colOff>
      <xdr:row>24</xdr:row>
      <xdr:rowOff>60113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1237128" y="3200400"/>
          <a:ext cx="1458447" cy="1355513"/>
        </a:xfrm>
        <a:prstGeom prst="rect">
          <a:avLst/>
        </a:prstGeom>
      </xdr:spPr>
    </xdr:pic>
    <xdr:clientData/>
  </xdr:twoCellAnchor>
  <xdr:twoCellAnchor editAs="oneCell">
    <xdr:from>
      <xdr:col>3</xdr:col>
      <xdr:colOff>386986</xdr:colOff>
      <xdr:row>7</xdr:row>
      <xdr:rowOff>67795</xdr:rowOff>
    </xdr:from>
    <xdr:to>
      <xdr:col>4</xdr:col>
      <xdr:colOff>704145</xdr:colOff>
      <xdr:row>16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0211" y="1658470"/>
          <a:ext cx="1231559" cy="1675280"/>
        </a:xfrm>
        <a:prstGeom prst="rect">
          <a:avLst/>
        </a:prstGeom>
      </xdr:spPr>
    </xdr:pic>
    <xdr:clientData/>
  </xdr:twoCellAnchor>
  <xdr:twoCellAnchor editAs="oneCell">
    <xdr:from>
      <xdr:col>6</xdr:col>
      <xdr:colOff>660085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3EBB2-213A-4E5E-B057-A6C9FA12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635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7</xdr:row>
      <xdr:rowOff>161924</xdr:rowOff>
    </xdr:from>
    <xdr:to>
      <xdr:col>4</xdr:col>
      <xdr:colOff>456639</xdr:colOff>
      <xdr:row>17</xdr:row>
      <xdr:rowOff>72554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96325" y="1752599"/>
          <a:ext cx="856689" cy="152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25</xdr:row>
      <xdr:rowOff>152961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16</xdr:row>
      <xdr:rowOff>47625</xdr:rowOff>
    </xdr:from>
    <xdr:to>
      <xdr:col>0</xdr:col>
      <xdr:colOff>2809904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33725"/>
          <a:ext cx="2106174" cy="17131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742000</xdr:colOff>
      <xdr:row>0</xdr:row>
      <xdr:rowOff>112395</xdr:rowOff>
    </xdr:from>
    <xdr:to>
      <xdr:col>9</xdr:col>
      <xdr:colOff>0</xdr:colOff>
      <xdr:row>2</xdr:row>
      <xdr:rowOff>217170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5F343B-53AB-475C-8756-D8513BA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75" y="112395"/>
          <a:ext cx="246792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13</xdr:row>
      <xdr:rowOff>178744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408231</xdr:colOff>
      <xdr:row>19</xdr:row>
      <xdr:rowOff>116318</xdr:rowOff>
    </xdr:from>
    <xdr:to>
      <xdr:col>2</xdr:col>
      <xdr:colOff>2599206</xdr:colOff>
      <xdr:row>27</xdr:row>
      <xdr:rowOff>41351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3006" y="3792968"/>
          <a:ext cx="2190975" cy="1334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634812</xdr:colOff>
      <xdr:row>17</xdr:row>
      <xdr:rowOff>28575</xdr:rowOff>
    </xdr:from>
    <xdr:to>
      <xdr:col>0</xdr:col>
      <xdr:colOff>2642721</xdr:colOff>
      <xdr:row>26</xdr:row>
      <xdr:rowOff>139110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812" y="3190875"/>
          <a:ext cx="2007909" cy="16821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930771</xdr:colOff>
      <xdr:row>22</xdr:row>
      <xdr:rowOff>59169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547690</xdr:colOff>
      <xdr:row>0</xdr:row>
      <xdr:rowOff>100965</xdr:rowOff>
    </xdr:from>
    <xdr:to>
      <xdr:col>9</xdr:col>
      <xdr:colOff>0</xdr:colOff>
      <xdr:row>2</xdr:row>
      <xdr:rowOff>207645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09872E-8695-429B-A7FF-6114A5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290" y="100965"/>
          <a:ext cx="2462210" cy="5162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1592962</xdr:colOff>
      <xdr:row>5</xdr:row>
      <xdr:rowOff>106178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31F0A6-6D36-4E7F-BD1A-D6A334F4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68578</xdr:colOff>
      <xdr:row>23</xdr:row>
      <xdr:rowOff>117494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F831D84-EE04-4FF7-885A-37E5C507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222" y="3022422"/>
          <a:ext cx="3268264" cy="1693743"/>
        </a:xfrm>
        <a:prstGeom prst="rect">
          <a:avLst/>
        </a:prstGeom>
      </xdr:spPr>
    </xdr:pic>
    <xdr:clientData/>
  </xdr:twoCellAnchor>
  <xdr:twoCellAnchor editAs="oneCell">
    <xdr:from>
      <xdr:col>4</xdr:col>
      <xdr:colOff>331258</xdr:colOff>
      <xdr:row>4</xdr:row>
      <xdr:rowOff>159809</xdr:rowOff>
    </xdr:from>
    <xdr:to>
      <xdr:col>5</xdr:col>
      <xdr:colOff>32285</xdr:colOff>
      <xdr:row>13</xdr:row>
      <xdr:rowOff>222821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A058EBD-D8AD-445C-B044-1E49FF037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79933" y="1407584"/>
          <a:ext cx="670672" cy="1642257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861483</xdr:colOff>
      <xdr:row>16</xdr:row>
      <xdr:rowOff>77258</xdr:rowOff>
    </xdr:from>
    <xdr:to>
      <xdr:col>0</xdr:col>
      <xdr:colOff>2784752</xdr:colOff>
      <xdr:row>25</xdr:row>
      <xdr:rowOff>31405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EE17C53-89CA-4534-8AF5-4A0D605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483" y="3401483"/>
          <a:ext cx="1923269" cy="16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5A74DC-D277-4492-8E9F-6DD55F44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310" y="123825"/>
          <a:ext cx="2464115" cy="516255"/>
        </a:xfrm>
        <a:prstGeom prst="rect">
          <a:avLst/>
        </a:prstGeom>
      </xdr:spPr>
    </xdr:pic>
    <xdr:clientData/>
  </xdr:twoCellAnchor>
  <xdr:twoCellAnchor editAs="oneCell">
    <xdr:from>
      <xdr:col>4</xdr:col>
      <xdr:colOff>719918</xdr:colOff>
      <xdr:row>13</xdr:row>
      <xdr:rowOff>152400</xdr:rowOff>
    </xdr:from>
    <xdr:to>
      <xdr:col>7</xdr:col>
      <xdr:colOff>298997</xdr:colOff>
      <xdr:row>22</xdr:row>
      <xdr:rowOff>156209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102DD6-9551-4E74-8046-FA76609F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8593" y="2990850"/>
          <a:ext cx="2508969" cy="18192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17F0D6-74A4-40EA-A271-318EC26D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597958</xdr:colOff>
      <xdr:row>7</xdr:row>
      <xdr:rowOff>64559</xdr:rowOff>
    </xdr:from>
    <xdr:to>
      <xdr:col>4</xdr:col>
      <xdr:colOff>325655</xdr:colOff>
      <xdr:row>16</xdr:row>
      <xdr:rowOff>152336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5842B3-EFDF-4110-B6BD-DE1EDDEC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75083" y="1940984"/>
          <a:ext cx="670672" cy="1802277"/>
        </a:xfrm>
        <a:prstGeom prst="rect">
          <a:avLst/>
        </a:prstGeom>
      </xdr:spPr>
    </xdr:pic>
    <xdr:clientData/>
  </xdr:twoCellAnchor>
  <xdr:twoCellAnchor editAs="oneCell">
    <xdr:from>
      <xdr:col>4</xdr:col>
      <xdr:colOff>829469</xdr:colOff>
      <xdr:row>13</xdr:row>
      <xdr:rowOff>68366</xdr:rowOff>
    </xdr:from>
    <xdr:to>
      <xdr:col>7</xdr:col>
      <xdr:colOff>196784</xdr:colOff>
      <xdr:row>22</xdr:row>
      <xdr:rowOff>38099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C06835-40B6-465B-8C94-6852D0D6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9569" y="2916341"/>
          <a:ext cx="2310540" cy="17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449580</xdr:colOff>
      <xdr:row>14</xdr:row>
      <xdr:rowOff>68580</xdr:rowOff>
    </xdr:from>
    <xdr:to>
      <xdr:col>2</xdr:col>
      <xdr:colOff>3075861</xdr:colOff>
      <xdr:row>25</xdr:row>
      <xdr:rowOff>28049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0373F-3C11-4E8A-8B34-9BFF4E00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75760" y="2987040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16</xdr:row>
      <xdr:rowOff>73369</xdr:rowOff>
    </xdr:from>
    <xdr:to>
      <xdr:col>0</xdr:col>
      <xdr:colOff>2628900</xdr:colOff>
      <xdr:row>24</xdr:row>
      <xdr:rowOff>114437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52BB1EA-FE7A-A071-EA2F-751BB961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3397594"/>
          <a:ext cx="1962150" cy="14507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234315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A95722-7C88-49AE-919E-5E31C99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260" y="123825"/>
          <a:ext cx="2464115" cy="5200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AC5BBE-81B7-4EFF-9A11-FB06D6E8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86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209737</xdr:colOff>
      <xdr:row>8</xdr:row>
      <xdr:rowOff>69</xdr:rowOff>
    </xdr:from>
    <xdr:to>
      <xdr:col>4</xdr:col>
      <xdr:colOff>579077</xdr:colOff>
      <xdr:row>16</xdr:row>
      <xdr:rowOff>106235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C9925959-5041-427A-8593-2ED96148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4012" y="202889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59053</xdr:colOff>
      <xdr:row>24</xdr:row>
      <xdr:rowOff>48914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764BDD-9C03-4F26-ACDF-D04AE540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914" y="3002419"/>
          <a:ext cx="3165394" cy="1677550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16</xdr:row>
      <xdr:rowOff>16668</xdr:rowOff>
    </xdr:from>
    <xdr:to>
      <xdr:col>0</xdr:col>
      <xdr:colOff>2677694</xdr:colOff>
      <xdr:row>25</xdr:row>
      <xdr:rowOff>7722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E40A569-11AF-474C-8404-5F7B7149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953" y="34170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102870</xdr:rowOff>
    </xdr:from>
    <xdr:to>
      <xdr:col>9</xdr:col>
      <xdr:colOff>0</xdr:colOff>
      <xdr:row>2</xdr:row>
      <xdr:rowOff>215265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A2FDE9A-A6EA-449E-BCA3-165EE997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170" y="102870"/>
          <a:ext cx="2460305" cy="52197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12</xdr:row>
      <xdr:rowOff>133350</xdr:rowOff>
    </xdr:from>
    <xdr:to>
      <xdr:col>7</xdr:col>
      <xdr:colOff>266613</xdr:colOff>
      <xdr:row>22</xdr:row>
      <xdr:rowOff>161924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4F7B42-95CD-4F8A-AE0A-D7DB5C05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15400" y="2809875"/>
          <a:ext cx="2771688" cy="2009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D7A64B-97E8-469B-A4AD-4586027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10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419287</xdr:colOff>
      <xdr:row>4</xdr:row>
      <xdr:rowOff>104844</xdr:rowOff>
    </xdr:from>
    <xdr:to>
      <xdr:col>5</xdr:col>
      <xdr:colOff>750527</xdr:colOff>
      <xdr:row>12</xdr:row>
      <xdr:rowOff>325310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AA93C469-A84A-4B1F-9AE6-C47BFB9AD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91737" y="132404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626996</xdr:colOff>
      <xdr:row>13</xdr:row>
      <xdr:rowOff>247649</xdr:rowOff>
    </xdr:from>
    <xdr:to>
      <xdr:col>7</xdr:col>
      <xdr:colOff>168312</xdr:colOff>
      <xdr:row>23</xdr:row>
      <xdr:rowOff>19049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23446B8-B166-4927-853E-287161F0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99446" y="3228974"/>
          <a:ext cx="2484541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503634</xdr:colOff>
      <xdr:row>14</xdr:row>
      <xdr:rowOff>61099</xdr:rowOff>
    </xdr:from>
    <xdr:to>
      <xdr:col>2</xdr:col>
      <xdr:colOff>3183255</xdr:colOff>
      <xdr:row>25</xdr:row>
      <xdr:rowOff>92958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25289F4-7E8F-4A0E-963C-6BFDDF3A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814" y="2979559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41910</xdr:rowOff>
    </xdr:from>
    <xdr:to>
      <xdr:col>0</xdr:col>
      <xdr:colOff>2463341</xdr:colOff>
      <xdr:row>25</xdr:row>
      <xdr:rowOff>19199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F03A716-B47B-2487-2ACF-6A90F0B4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3175635"/>
          <a:ext cx="2034716" cy="1767989"/>
        </a:xfrm>
        <a:prstGeom prst="rect">
          <a:avLst/>
        </a:prstGeom>
      </xdr:spPr>
    </xdr:pic>
    <xdr:clientData/>
  </xdr:twoCellAnchor>
  <xdr:twoCellAnchor editAs="oneCell">
    <xdr:from>
      <xdr:col>6</xdr:col>
      <xdr:colOff>510540</xdr:colOff>
      <xdr:row>0</xdr:row>
      <xdr:rowOff>76200</xdr:rowOff>
    </xdr:from>
    <xdr:to>
      <xdr:col>9</xdr:col>
      <xdr:colOff>0</xdr:colOff>
      <xdr:row>2</xdr:row>
      <xdr:rowOff>190500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D044A23-34C7-8B10-D640-38CF6F4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465" y="76200"/>
          <a:ext cx="2502215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118546</xdr:colOff>
      <xdr:row>12</xdr:row>
      <xdr:rowOff>108124</xdr:rowOff>
    </xdr:from>
    <xdr:to>
      <xdr:col>6</xdr:col>
      <xdr:colOff>856527</xdr:colOff>
      <xdr:row>24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2696" y="2737024"/>
          <a:ext cx="1804781" cy="206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597586</xdr:colOff>
      <xdr:row>24</xdr:row>
      <xdr:rowOff>156335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2310608</xdr:colOff>
      <xdr:row>25</xdr:row>
      <xdr:rowOff>26926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6</xdr:col>
      <xdr:colOff>531495</xdr:colOff>
      <xdr:row>0</xdr:row>
      <xdr:rowOff>142875</xdr:rowOff>
    </xdr:from>
    <xdr:to>
      <xdr:col>9</xdr:col>
      <xdr:colOff>0</xdr:colOff>
      <xdr:row>2</xdr:row>
      <xdr:rowOff>257175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A47D8D-C112-46D1-B4BA-989C6CFE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20" y="142875"/>
          <a:ext cx="2460305" cy="5200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A6E1E0-5A2D-4D85-BDF6-096BB086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3</xdr:col>
      <xdr:colOff>514537</xdr:colOff>
      <xdr:row>4</xdr:row>
      <xdr:rowOff>133419</xdr:rowOff>
    </xdr:from>
    <xdr:to>
      <xdr:col>4</xdr:col>
      <xdr:colOff>883877</xdr:colOff>
      <xdr:row>13</xdr:row>
      <xdr:rowOff>169100</xdr:rowOff>
    </xdr:to>
    <xdr:pic>
      <xdr:nvPicPr>
        <xdr:cNvPr id="8" name="Obrázek 4" descr="Prosper.jpg">
          <a:extLst>
            <a:ext uri="{FF2B5EF4-FFF2-40B4-BE49-F238E27FC236}">
              <a16:creationId xmlns:a16="http://schemas.microsoft.com/office/drawing/2014/main" id="{E7548AC2-C4C3-47C2-AAC9-6784603E1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8837" y="1333569"/>
          <a:ext cx="1312315" cy="162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30478</xdr:colOff>
      <xdr:row>24</xdr:row>
      <xdr:rowOff>87014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B6CDC4B-06AD-4A05-8A75-9DDAF29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6984" y="3012897"/>
          <a:ext cx="3268265" cy="1684218"/>
        </a:xfrm>
        <a:prstGeom prst="rect">
          <a:avLst/>
        </a:prstGeom>
      </xdr:spPr>
    </xdr:pic>
    <xdr:clientData/>
  </xdr:twoCellAnchor>
  <xdr:twoCellAnchor editAs="oneCell">
    <xdr:from>
      <xdr:col>0</xdr:col>
      <xdr:colOff>720328</xdr:colOff>
      <xdr:row>16</xdr:row>
      <xdr:rowOff>16668</xdr:rowOff>
    </xdr:from>
    <xdr:to>
      <xdr:col>0</xdr:col>
      <xdr:colOff>2630069</xdr:colOff>
      <xdr:row>25</xdr:row>
      <xdr:rowOff>7722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1E68B6-B657-498B-B7C9-F6BD0637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328" y="33408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D4E2AB-65AF-4083-B726-757F1129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104775"/>
          <a:ext cx="2464115" cy="520065"/>
        </a:xfrm>
        <a:prstGeom prst="rect">
          <a:avLst/>
        </a:prstGeom>
      </xdr:spPr>
    </xdr:pic>
    <xdr:clientData/>
  </xdr:twoCellAnchor>
  <xdr:twoCellAnchor editAs="oneCell">
    <xdr:from>
      <xdr:col>4</xdr:col>
      <xdr:colOff>661460</xdr:colOff>
      <xdr:row>13</xdr:row>
      <xdr:rowOff>19049</xdr:rowOff>
    </xdr:from>
    <xdr:to>
      <xdr:col>7</xdr:col>
      <xdr:colOff>266612</xdr:colOff>
      <xdr:row>23</xdr:row>
      <xdr:rowOff>19048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B90950-AE4C-4CC7-B399-E19F1EB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8735" y="2809874"/>
          <a:ext cx="2548377" cy="18478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1575-757A-4054-86E8-1677625D2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200212</xdr:colOff>
      <xdr:row>5</xdr:row>
      <xdr:rowOff>19119</xdr:rowOff>
    </xdr:from>
    <xdr:to>
      <xdr:col>5</xdr:col>
      <xdr:colOff>531452</xdr:colOff>
      <xdr:row>13</xdr:row>
      <xdr:rowOff>249110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6B3F91A1-D9BB-4178-B141-4A799A4D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5887" y="1295469"/>
          <a:ext cx="1312315" cy="1618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13</xdr:row>
      <xdr:rowOff>190499</xdr:rowOff>
    </xdr:from>
    <xdr:to>
      <xdr:col>7</xdr:col>
      <xdr:colOff>289155</xdr:colOff>
      <xdr:row>23</xdr:row>
      <xdr:rowOff>28574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96B1C5-852C-489C-9396-B473360D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3076574"/>
          <a:ext cx="231798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830580</xdr:colOff>
      <xdr:row>14</xdr:row>
      <xdr:rowOff>144780</xdr:rowOff>
    </xdr:from>
    <xdr:to>
      <xdr:col>2</xdr:col>
      <xdr:colOff>3221637</xdr:colOff>
      <xdr:row>24</xdr:row>
      <xdr:rowOff>129540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B6719C1-6BA1-2958-A404-CAC3C392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760" y="3063240"/>
          <a:ext cx="2391057" cy="158496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14</xdr:row>
      <xdr:rowOff>49530</xdr:rowOff>
    </xdr:from>
    <xdr:to>
      <xdr:col>0</xdr:col>
      <xdr:colOff>2187087</xdr:colOff>
      <xdr:row>24</xdr:row>
      <xdr:rowOff>116349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664D5B6-BA0A-0F67-1368-871E3DF6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" y="3154680"/>
          <a:ext cx="1684167" cy="169559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224790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31F104-F86E-458B-8490-99D7D1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760" y="114300"/>
          <a:ext cx="2464115" cy="5200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250372</xdr:colOff>
      <xdr:row>16</xdr:row>
      <xdr:rowOff>1460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95475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13</xdr:row>
      <xdr:rowOff>53085</xdr:rowOff>
    </xdr:from>
    <xdr:to>
      <xdr:col>7</xdr:col>
      <xdr:colOff>277770</xdr:colOff>
      <xdr:row>23</xdr:row>
      <xdr:rowOff>15939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15500" y="2920110"/>
          <a:ext cx="1773195" cy="2267904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16</xdr:row>
      <xdr:rowOff>38224</xdr:rowOff>
    </xdr:from>
    <xdr:to>
      <xdr:col>2</xdr:col>
      <xdr:colOff>3104254</xdr:colOff>
      <xdr:row>24</xdr:row>
      <xdr:rowOff>135939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357067</xdr:colOff>
      <xdr:row>16</xdr:row>
      <xdr:rowOff>13147</xdr:rowOff>
    </xdr:from>
    <xdr:to>
      <xdr:col>2</xdr:col>
      <xdr:colOff>87389</xdr:colOff>
      <xdr:row>22</xdr:row>
      <xdr:rowOff>15585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7067" y="3356422"/>
          <a:ext cx="3225997" cy="104066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88A295-C369-4E3E-BB65-F163699C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96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132006</xdr:colOff>
      <xdr:row>14</xdr:row>
      <xdr:rowOff>170637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135134</xdr:colOff>
      <xdr:row>3</xdr:row>
      <xdr:rowOff>161957</xdr:rowOff>
    </xdr:from>
    <xdr:to>
      <xdr:col>8</xdr:col>
      <xdr:colOff>1532509</xdr:colOff>
      <xdr:row>5</xdr:row>
      <xdr:rowOff>159576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559" y="904907"/>
          <a:ext cx="2692775" cy="550069"/>
        </a:xfrm>
        <a:prstGeom prst="rect">
          <a:avLst/>
        </a:prstGeom>
      </xdr:spPr>
    </xdr:pic>
    <xdr:clientData/>
  </xdr:twoCellAnchor>
  <xdr:twoCellAnchor editAs="oneCell">
    <xdr:from>
      <xdr:col>5</xdr:col>
      <xdr:colOff>320265</xdr:colOff>
      <xdr:row>12</xdr:row>
      <xdr:rowOff>219032</xdr:rowOff>
    </xdr:from>
    <xdr:to>
      <xdr:col>7</xdr:col>
      <xdr:colOff>310830</xdr:colOff>
      <xdr:row>22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40440" y="2866982"/>
          <a:ext cx="1952715" cy="22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2</xdr:col>
      <xdr:colOff>3340234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20</xdr:row>
      <xdr:rowOff>19388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6</xdr:col>
      <xdr:colOff>974410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EB4F277-11B8-49FD-8010-C9FEA4CB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0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1582037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677956</xdr:colOff>
      <xdr:row>12</xdr:row>
      <xdr:rowOff>94691</xdr:rowOff>
    </xdr:from>
    <xdr:to>
      <xdr:col>7</xdr:col>
      <xdr:colOff>258051</xdr:colOff>
      <xdr:row>20</xdr:row>
      <xdr:rowOff>132721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50506" y="2656916"/>
          <a:ext cx="1542245" cy="193350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2</xdr:col>
      <xdr:colOff>3263792</xdr:colOff>
      <xdr:row>23</xdr:row>
      <xdr:rowOff>60287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131558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85725</xdr:rowOff>
    </xdr:from>
    <xdr:to>
      <xdr:col>9</xdr:col>
      <xdr:colOff>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EF2DC9-E6CE-4645-8193-0658D20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43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206749</xdr:colOff>
      <xdr:row>15</xdr:row>
      <xdr:rowOff>126313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1578679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676836</xdr:colOff>
      <xdr:row>12</xdr:row>
      <xdr:rowOff>114303</xdr:rowOff>
    </xdr:from>
    <xdr:to>
      <xdr:col>7</xdr:col>
      <xdr:colOff>239002</xdr:colOff>
      <xdr:row>20</xdr:row>
      <xdr:rowOff>114233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39861" y="2695578"/>
          <a:ext cx="1524316" cy="194303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2</xdr:col>
      <xdr:colOff>3199582</xdr:colOff>
      <xdr:row>22</xdr:row>
      <xdr:rowOff>55133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142875</xdr:rowOff>
    </xdr:from>
    <xdr:to>
      <xdr:col>9</xdr:col>
      <xdr:colOff>0</xdr:colOff>
      <xdr:row>2</xdr:row>
      <xdr:rowOff>249555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59722A-1F8E-4953-9C96-F93557D6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785" y="142875"/>
          <a:ext cx="2464115" cy="5162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</xdr:colOff>
      <xdr:row>5</xdr:row>
      <xdr:rowOff>53340</xdr:rowOff>
    </xdr:from>
    <xdr:to>
      <xdr:col>5</xdr:col>
      <xdr:colOff>352872</xdr:colOff>
      <xdr:row>15</xdr:row>
      <xdr:rowOff>96312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385" y="1529715"/>
          <a:ext cx="1253937" cy="2128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1582488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744631</xdr:colOff>
      <xdr:row>12</xdr:row>
      <xdr:rowOff>63315</xdr:rowOff>
    </xdr:from>
    <xdr:to>
      <xdr:col>8</xdr:col>
      <xdr:colOff>10401</xdr:colOff>
      <xdr:row>20</xdr:row>
      <xdr:rowOff>105155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83856" y="2768415"/>
          <a:ext cx="1542245" cy="1803965"/>
        </a:xfrm>
        <a:prstGeom prst="rect">
          <a:avLst/>
        </a:prstGeom>
      </xdr:spPr>
    </xdr:pic>
    <xdr:clientData/>
  </xdr:twoCellAnchor>
  <xdr:twoCellAnchor editAs="oneCell">
    <xdr:from>
      <xdr:col>2</xdr:col>
      <xdr:colOff>858371</xdr:colOff>
      <xdr:row>13</xdr:row>
      <xdr:rowOff>436469</xdr:rowOff>
    </xdr:from>
    <xdr:to>
      <xdr:col>2</xdr:col>
      <xdr:colOff>2616564</xdr:colOff>
      <xdr:row>20</xdr:row>
      <xdr:rowOff>178735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4046" y="3360644"/>
          <a:ext cx="1758193" cy="1256741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54571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352014-7C97-4919-82F7-9B3E284B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60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217625</xdr:rowOff>
    </xdr:from>
    <xdr:to>
      <xdr:col>7</xdr:col>
      <xdr:colOff>258051</xdr:colOff>
      <xdr:row>21</xdr:row>
      <xdr:rowOff>84537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105900" y="2456000"/>
          <a:ext cx="1686801" cy="1990987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435460</xdr:colOff>
      <xdr:row>18</xdr:row>
      <xdr:rowOff>151727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1146222</xdr:colOff>
      <xdr:row>11</xdr:row>
      <xdr:rowOff>56029</xdr:rowOff>
    </xdr:from>
    <xdr:to>
      <xdr:col>2</xdr:col>
      <xdr:colOff>2311894</xdr:colOff>
      <xdr:row>19</xdr:row>
      <xdr:rowOff>159682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5222" y="2618254"/>
          <a:ext cx="1165672" cy="151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782170</xdr:colOff>
      <xdr:row>15</xdr:row>
      <xdr:rowOff>10647</xdr:rowOff>
    </xdr:from>
    <xdr:to>
      <xdr:col>1</xdr:col>
      <xdr:colOff>78441</xdr:colOff>
      <xdr:row>22</xdr:row>
      <xdr:rowOff>19456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2170" y="3315822"/>
          <a:ext cx="1677521" cy="13613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79FC1F-F829-4C48-9202-520C97C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511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245859</xdr:colOff>
      <xdr:row>18</xdr:row>
      <xdr:rowOff>103036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98547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2530209</xdr:colOff>
      <xdr:row>20</xdr:row>
      <xdr:rowOff>130883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13</xdr:row>
      <xdr:rowOff>43702</xdr:rowOff>
    </xdr:from>
    <xdr:to>
      <xdr:col>1</xdr:col>
      <xdr:colOff>56478</xdr:colOff>
      <xdr:row>20</xdr:row>
      <xdr:rowOff>187050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7275" y="2929777"/>
          <a:ext cx="1447128" cy="133397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CE3143-9057-4CF5-8270-A7D3218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51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1192035</xdr:colOff>
      <xdr:row>13</xdr:row>
      <xdr:rowOff>40328</xdr:rowOff>
    </xdr:from>
    <xdr:to>
      <xdr:col>1</xdr:col>
      <xdr:colOff>278930</xdr:colOff>
      <xdr:row>20</xdr:row>
      <xdr:rowOff>16091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035" y="3288353"/>
          <a:ext cx="1515770" cy="1166388"/>
        </a:xfrm>
        <a:prstGeom prst="rect">
          <a:avLst/>
        </a:prstGeom>
      </xdr:spPr>
    </xdr:pic>
    <xdr:clientData/>
  </xdr:twoCellAnchor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16</xdr:row>
      <xdr:rowOff>107545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253637</xdr:colOff>
      <xdr:row>20</xdr:row>
      <xdr:rowOff>76934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1137285</xdr:colOff>
      <xdr:row>11</xdr:row>
      <xdr:rowOff>209550</xdr:rowOff>
    </xdr:from>
    <xdr:to>
      <xdr:col>2</xdr:col>
      <xdr:colOff>2316292</xdr:colOff>
      <xdr:row>19</xdr:row>
      <xdr:rowOff>151054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3910" y="2962275"/>
          <a:ext cx="1179007" cy="15226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F2C8F7A-B84D-4D2F-9CCB-388E9437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132568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14</xdr:row>
      <xdr:rowOff>223565</xdr:rowOff>
    </xdr:from>
    <xdr:to>
      <xdr:col>7</xdr:col>
      <xdr:colOff>221266</xdr:colOff>
      <xdr:row>23</xdr:row>
      <xdr:rowOff>110605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684" y="3252515"/>
          <a:ext cx="1618132" cy="1858715"/>
        </a:xfrm>
        <a:prstGeom prst="rect">
          <a:avLst/>
        </a:prstGeom>
      </xdr:spPr>
    </xdr:pic>
    <xdr:clientData/>
  </xdr:twoCellAnchor>
  <xdr:twoCellAnchor editAs="oneCell">
    <xdr:from>
      <xdr:col>4</xdr:col>
      <xdr:colOff>229929</xdr:colOff>
      <xdr:row>5</xdr:row>
      <xdr:rowOff>55245</xdr:rowOff>
    </xdr:from>
    <xdr:to>
      <xdr:col>5</xdr:col>
      <xdr:colOff>342481</xdr:colOff>
      <xdr:row>15</xdr:row>
      <xdr:rowOff>140374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5654" y="1417320"/>
          <a:ext cx="1093627" cy="2214919"/>
        </a:xfrm>
        <a:prstGeom prst="rect">
          <a:avLst/>
        </a:prstGeom>
      </xdr:spPr>
    </xdr:pic>
    <xdr:clientData/>
  </xdr:twoCellAnchor>
  <xdr:twoCellAnchor editAs="oneCell">
    <xdr:from>
      <xdr:col>2</xdr:col>
      <xdr:colOff>370962</xdr:colOff>
      <xdr:row>15</xdr:row>
      <xdr:rowOff>157759</xdr:rowOff>
    </xdr:from>
    <xdr:to>
      <xdr:col>3</xdr:col>
      <xdr:colOff>86847</xdr:colOff>
      <xdr:row>24</xdr:row>
      <xdr:rowOff>21852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3837" y="3653434"/>
          <a:ext cx="3306810" cy="1530968"/>
        </a:xfrm>
        <a:prstGeom prst="rect">
          <a:avLst/>
        </a:prstGeom>
      </xdr:spPr>
    </xdr:pic>
    <xdr:clientData/>
  </xdr:twoCellAnchor>
  <xdr:twoCellAnchor editAs="oneCell">
    <xdr:from>
      <xdr:col>0</xdr:col>
      <xdr:colOff>816017</xdr:colOff>
      <xdr:row>15</xdr:row>
      <xdr:rowOff>142655</xdr:rowOff>
    </xdr:from>
    <xdr:to>
      <xdr:col>0</xdr:col>
      <xdr:colOff>2486025</xdr:colOff>
      <xdr:row>24</xdr:row>
      <xdr:rowOff>31157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816017" y="3343055"/>
          <a:ext cx="1670008" cy="155537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209550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0DCC822-E191-4F5B-A822-E7F265C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5</xdr:row>
      <xdr:rowOff>127635</xdr:rowOff>
    </xdr:from>
    <xdr:to>
      <xdr:col>4</xdr:col>
      <xdr:colOff>957206</xdr:colOff>
      <xdr:row>13</xdr:row>
      <xdr:rowOff>145341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0080" y="1489710"/>
          <a:ext cx="783851" cy="166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740149</xdr:colOff>
      <xdr:row>10</xdr:row>
      <xdr:rowOff>147358</xdr:rowOff>
    </xdr:from>
    <xdr:to>
      <xdr:col>7</xdr:col>
      <xdr:colOff>301754</xdr:colOff>
      <xdr:row>19</xdr:row>
      <xdr:rowOff>147848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807949" y="2385733"/>
          <a:ext cx="1523755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1213037</xdr:colOff>
      <xdr:row>11</xdr:row>
      <xdr:rowOff>152401</xdr:rowOff>
    </xdr:from>
    <xdr:to>
      <xdr:col>2</xdr:col>
      <xdr:colOff>2384424</xdr:colOff>
      <xdr:row>19</xdr:row>
      <xdr:rowOff>193301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7287" y="2714626"/>
          <a:ext cx="1171387" cy="151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1411382</xdr:colOff>
      <xdr:row>12</xdr:row>
      <xdr:rowOff>276785</xdr:rowOff>
    </xdr:from>
    <xdr:to>
      <xdr:col>1</xdr:col>
      <xdr:colOff>189941</xdr:colOff>
      <xdr:row>19</xdr:row>
      <xdr:rowOff>123351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1382" y="3000935"/>
          <a:ext cx="1255059" cy="116101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133350</xdr:rowOff>
    </xdr:from>
    <xdr:to>
      <xdr:col>8</xdr:col>
      <xdr:colOff>1644965</xdr:colOff>
      <xdr:row>2</xdr:row>
      <xdr:rowOff>240030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1FE0C5-D32C-44A9-B677-02244CE7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133350"/>
          <a:ext cx="2464115" cy="5162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14</xdr:row>
      <xdr:rowOff>50635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1545843</xdr:colOff>
      <xdr:row>5</xdr:row>
      <xdr:rowOff>171900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354044</xdr:colOff>
      <xdr:row>8</xdr:row>
      <xdr:rowOff>104775</xdr:rowOff>
    </xdr:from>
    <xdr:to>
      <xdr:col>7</xdr:col>
      <xdr:colOff>273068</xdr:colOff>
      <xdr:row>19</xdr:row>
      <xdr:rowOff>89471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55169" y="2019300"/>
          <a:ext cx="1881174" cy="2232596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11</xdr:row>
      <xdr:rowOff>119341</xdr:rowOff>
    </xdr:from>
    <xdr:to>
      <xdr:col>2</xdr:col>
      <xdr:colOff>2498163</xdr:colOff>
      <xdr:row>19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81566"/>
          <a:ext cx="1117038" cy="1507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1232089</xdr:colOff>
      <xdr:row>12</xdr:row>
      <xdr:rowOff>275663</xdr:rowOff>
    </xdr:from>
    <xdr:to>
      <xdr:col>0</xdr:col>
      <xdr:colOff>2364444</xdr:colOff>
      <xdr:row>18</xdr:row>
      <xdr:rowOff>63974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2089" y="2999813"/>
          <a:ext cx="1132355" cy="10456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1FE505-FC70-40BE-BEB1-125CA8C3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960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325196</xdr:colOff>
      <xdr:row>13</xdr:row>
      <xdr:rowOff>298142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1542034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711013</xdr:colOff>
      <xdr:row>12</xdr:row>
      <xdr:rowOff>85730</xdr:rowOff>
    </xdr:from>
    <xdr:to>
      <xdr:col>7</xdr:col>
      <xdr:colOff>272617</xdr:colOff>
      <xdr:row>20</xdr:row>
      <xdr:rowOff>115131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10226488" y="2647955"/>
          <a:ext cx="1523754" cy="180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1069041</xdr:colOff>
      <xdr:row>14</xdr:row>
      <xdr:rowOff>127747</xdr:rowOff>
    </xdr:from>
    <xdr:to>
      <xdr:col>2</xdr:col>
      <xdr:colOff>2803478</xdr:colOff>
      <xdr:row>21</xdr:row>
      <xdr:rowOff>136712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5666" y="3232897"/>
          <a:ext cx="1734437" cy="125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58494</xdr:colOff>
      <xdr:row>20</xdr:row>
      <xdr:rowOff>21875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A50C1A-9774-4148-9821-5CE7AE86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28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304800</xdr:colOff>
      <xdr:row>16</xdr:row>
      <xdr:rowOff>141249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1516037</xdr:colOff>
      <xdr:row>5</xdr:row>
      <xdr:rowOff>63427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1033743</xdr:colOff>
      <xdr:row>13</xdr:row>
      <xdr:rowOff>108137</xdr:rowOff>
    </xdr:from>
    <xdr:to>
      <xdr:col>2</xdr:col>
      <xdr:colOff>2045110</xdr:colOff>
      <xdr:row>21</xdr:row>
      <xdr:rowOff>64592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5143" y="2927537"/>
          <a:ext cx="1011367" cy="131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207780</xdr:colOff>
      <xdr:row>20</xdr:row>
      <xdr:rowOff>55328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734335</xdr:colOff>
      <xdr:row>17</xdr:row>
      <xdr:rowOff>53855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114300</xdr:rowOff>
    </xdr:from>
    <xdr:to>
      <xdr:col>9</xdr:col>
      <xdr:colOff>0</xdr:colOff>
      <xdr:row>2</xdr:row>
      <xdr:rowOff>228600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EB41E0-6FEF-4BEC-97FF-012C754C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095" y="114300"/>
          <a:ext cx="2460305" cy="5238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173579</xdr:colOff>
      <xdr:row>13</xdr:row>
      <xdr:rowOff>582407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55807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949139</xdr:colOff>
      <xdr:row>13</xdr:row>
      <xdr:rowOff>171450</xdr:rowOff>
    </xdr:from>
    <xdr:to>
      <xdr:col>2</xdr:col>
      <xdr:colOff>2702626</xdr:colOff>
      <xdr:row>19</xdr:row>
      <xdr:rowOff>2242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5764" y="3076575"/>
          <a:ext cx="1753487" cy="12500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347944</xdr:colOff>
      <xdr:row>14</xdr:row>
      <xdr:rowOff>25215</xdr:rowOff>
    </xdr:from>
    <xdr:to>
      <xdr:col>2</xdr:col>
      <xdr:colOff>188259</xdr:colOff>
      <xdr:row>20</xdr:row>
      <xdr:rowOff>11240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944" y="3177990"/>
          <a:ext cx="3478865" cy="1024250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559920</xdr:colOff>
      <xdr:row>14</xdr:row>
      <xdr:rowOff>134649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131445</xdr:rowOff>
    </xdr:from>
    <xdr:to>
      <xdr:col>9</xdr:col>
      <xdr:colOff>0</xdr:colOff>
      <xdr:row>2</xdr:row>
      <xdr:rowOff>245745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F5EF0D9-ADC0-4054-A460-EDA6233D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795" y="131445"/>
          <a:ext cx="2460305" cy="5238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402067</xdr:colOff>
      <xdr:row>15</xdr:row>
      <xdr:rowOff>40846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1540577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855570</xdr:colOff>
      <xdr:row>13</xdr:row>
      <xdr:rowOff>310964</xdr:rowOff>
    </xdr:from>
    <xdr:to>
      <xdr:col>2</xdr:col>
      <xdr:colOff>2599532</xdr:colOff>
      <xdr:row>19</xdr:row>
      <xdr:rowOff>202828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1245" y="3292289"/>
          <a:ext cx="1743962" cy="124441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13</xdr:row>
      <xdr:rowOff>462807</xdr:rowOff>
    </xdr:from>
    <xdr:to>
      <xdr:col>2</xdr:col>
      <xdr:colOff>365312</xdr:colOff>
      <xdr:row>19</xdr:row>
      <xdr:rowOff>201400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089" y="3444132"/>
          <a:ext cx="3692898" cy="10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14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6</xdr:col>
      <xdr:colOff>562930</xdr:colOff>
      <xdr:row>0</xdr:row>
      <xdr:rowOff>131445</xdr:rowOff>
    </xdr:from>
    <xdr:to>
      <xdr:col>9</xdr:col>
      <xdr:colOff>0</xdr:colOff>
      <xdr:row>2</xdr:row>
      <xdr:rowOff>243840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54E794-091A-44B1-B034-2FAF243E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8455" y="131445"/>
          <a:ext cx="2466020" cy="5219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55807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3411556</xdr:colOff>
      <xdr:row>22</xdr:row>
      <xdr:rowOff>135079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56477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21180</xdr:colOff>
      <xdr:row>18</xdr:row>
      <xdr:rowOff>172086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513400</xdr:colOff>
      <xdr:row>0</xdr:row>
      <xdr:rowOff>123825</xdr:rowOff>
    </xdr:from>
    <xdr:to>
      <xdr:col>9</xdr:col>
      <xdr:colOff>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7EC0C3B-74EC-489B-B6FF-85B1CE58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250" y="123825"/>
          <a:ext cx="2467925" cy="5200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205794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3410603</xdr:colOff>
      <xdr:row>22</xdr:row>
      <xdr:rowOff>131268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96664</xdr:colOff>
      <xdr:row>19</xdr:row>
      <xdr:rowOff>55470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1239835</xdr:colOff>
      <xdr:row>19</xdr:row>
      <xdr:rowOff>93853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380050</xdr:colOff>
      <xdr:row>0</xdr:row>
      <xdr:rowOff>139065</xdr:rowOff>
    </xdr:from>
    <xdr:to>
      <xdr:col>9</xdr:col>
      <xdr:colOff>0</xdr:colOff>
      <xdr:row>2</xdr:row>
      <xdr:rowOff>255270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4426F-163F-4ACF-823A-EAFCB240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600" y="139065"/>
          <a:ext cx="2458400" cy="5257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71047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573180</xdr:colOff>
      <xdr:row>14</xdr:row>
      <xdr:rowOff>129989</xdr:rowOff>
    </xdr:from>
    <xdr:to>
      <xdr:col>2</xdr:col>
      <xdr:colOff>2935306</xdr:colOff>
      <xdr:row>22</xdr:row>
      <xdr:rowOff>3631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26055" y="3092264"/>
          <a:ext cx="2362126" cy="1649102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905995</xdr:colOff>
      <xdr:row>18</xdr:row>
      <xdr:rowOff>31792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2507756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33170</xdr:colOff>
      <xdr:row>18</xdr:row>
      <xdr:rowOff>42333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500065</xdr:colOff>
      <xdr:row>0</xdr:row>
      <xdr:rowOff>125730</xdr:rowOff>
    </xdr:from>
    <xdr:to>
      <xdr:col>8</xdr:col>
      <xdr:colOff>1546860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943636-B339-4322-8302-A280F3AB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6105" y="125730"/>
          <a:ext cx="2372675" cy="52959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0</xdr:col>
      <xdr:colOff>2620489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19</xdr:row>
      <xdr:rowOff>55021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624728</xdr:colOff>
      <xdr:row>15</xdr:row>
      <xdr:rowOff>80976</xdr:rowOff>
    </xdr:from>
    <xdr:to>
      <xdr:col>2</xdr:col>
      <xdr:colOff>3049943</xdr:colOff>
      <xdr:row>22</xdr:row>
      <xdr:rowOff>136155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7128" y="3290901"/>
          <a:ext cx="2425215" cy="16458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821283</xdr:colOff>
      <xdr:row>21</xdr:row>
      <xdr:rowOff>198494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63427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545785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0CDEF6-D3E7-4239-A5AC-FF7044D3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330945</xdr:colOff>
      <xdr:row>14</xdr:row>
      <xdr:rowOff>228600</xdr:rowOff>
    </xdr:from>
    <xdr:to>
      <xdr:col>7</xdr:col>
      <xdr:colOff>247093</xdr:colOff>
      <xdr:row>23</xdr:row>
      <xdr:rowOff>112501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8320" y="3190875"/>
          <a:ext cx="1878298" cy="2150851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3</xdr:col>
      <xdr:colOff>188374</xdr:colOff>
      <xdr:row>23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868457</xdr:colOff>
      <xdr:row>16</xdr:row>
      <xdr:rowOff>47625</xdr:rowOff>
    </xdr:from>
    <xdr:to>
      <xdr:col>0</xdr:col>
      <xdr:colOff>2657027</xdr:colOff>
      <xdr:row>24</xdr:row>
      <xdr:rowOff>110902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457" y="3371850"/>
          <a:ext cx="1788570" cy="1739677"/>
        </a:xfrm>
        <a:prstGeom prst="rect">
          <a:avLst/>
        </a:prstGeom>
      </xdr:spPr>
    </xdr:pic>
    <xdr:clientData/>
  </xdr:twoCellAnchor>
  <xdr:twoCellAnchor>
    <xdr:from>
      <xdr:col>3</xdr:col>
      <xdr:colOff>491827</xdr:colOff>
      <xdr:row>7</xdr:row>
      <xdr:rowOff>108137</xdr:rowOff>
    </xdr:from>
    <xdr:to>
      <xdr:col>5</xdr:col>
      <xdr:colOff>112732</xdr:colOff>
      <xdr:row>22</xdr:row>
      <xdr:rowOff>114300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8045152" y="1955987"/>
          <a:ext cx="1544955" cy="322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554355</xdr:colOff>
      <xdr:row>0</xdr:row>
      <xdr:rowOff>121920</xdr:rowOff>
    </xdr:from>
    <xdr:to>
      <xdr:col>9</xdr:col>
      <xdr:colOff>0</xdr:colOff>
      <xdr:row>2</xdr:row>
      <xdr:rowOff>240030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C310E8-47FA-4AF3-9904-B8EB6714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355" y="121920"/>
          <a:ext cx="2467925" cy="5276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1529060" cy="14830729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2771423" cy="11791371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2169951" cy="10363199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1604131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3452764" cy="16579428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628651</xdr:colOff>
      <xdr:row>4</xdr:row>
      <xdr:rowOff>101189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438151</xdr:colOff>
      <xdr:row>5</xdr:row>
      <xdr:rowOff>133350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396462</xdr:colOff>
      <xdr:row>15</xdr:row>
      <xdr:rowOff>24990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588307</xdr:colOff>
      <xdr:row>29</xdr:row>
      <xdr:rowOff>19051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238125</xdr:colOff>
      <xdr:row>48</xdr:row>
      <xdr:rowOff>19050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333375</xdr:colOff>
      <xdr:row>9</xdr:row>
      <xdr:rowOff>66675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5</xdr:col>
      <xdr:colOff>88750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98328</xdr:colOff>
      <xdr:row>35</xdr:row>
      <xdr:rowOff>136331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506557</xdr:colOff>
      <xdr:row>38</xdr:row>
      <xdr:rowOff>53877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562871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468068</xdr:colOff>
      <xdr:row>20</xdr:row>
      <xdr:rowOff>69813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516143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984213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558389</xdr:colOff>
      <xdr:row>85</xdr:row>
      <xdr:rowOff>143011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2889214</xdr:colOff>
      <xdr:row>86</xdr:row>
      <xdr:rowOff>17131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3</xdr:col>
      <xdr:colOff>262443</xdr:colOff>
      <xdr:row>85</xdr:row>
      <xdr:rowOff>95198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1313658</xdr:colOff>
      <xdr:row>5</xdr:row>
      <xdr:rowOff>171900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14</xdr:row>
      <xdr:rowOff>302563</xdr:rowOff>
    </xdr:from>
    <xdr:to>
      <xdr:col>7</xdr:col>
      <xdr:colOff>479755</xdr:colOff>
      <xdr:row>23</xdr:row>
      <xdr:rowOff>158187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8425" y="3207688"/>
          <a:ext cx="1679905" cy="1979699"/>
        </a:xfrm>
        <a:prstGeom prst="rect">
          <a:avLst/>
        </a:prstGeom>
      </xdr:spPr>
    </xdr:pic>
    <xdr:clientData/>
  </xdr:twoCellAnchor>
  <xdr:twoCellAnchor editAs="oneCell">
    <xdr:from>
      <xdr:col>2</xdr:col>
      <xdr:colOff>366816</xdr:colOff>
      <xdr:row>16</xdr:row>
      <xdr:rowOff>46484</xdr:rowOff>
    </xdr:from>
    <xdr:to>
      <xdr:col>3</xdr:col>
      <xdr:colOff>103431</xdr:colOff>
      <xdr:row>24</xdr:row>
      <xdr:rowOff>38435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1591" y="3704084"/>
          <a:ext cx="3289440" cy="1525476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0</xdr:col>
      <xdr:colOff>2664177</xdr:colOff>
      <xdr:row>24</xdr:row>
      <xdr:rowOff>26383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>
    <xdr:from>
      <xdr:col>3</xdr:col>
      <xdr:colOff>844923</xdr:colOff>
      <xdr:row>10</xdr:row>
      <xdr:rowOff>47626</xdr:rowOff>
    </xdr:from>
    <xdr:to>
      <xdr:col>5</xdr:col>
      <xdr:colOff>435236</xdr:colOff>
      <xdr:row>20</xdr:row>
      <xdr:rowOff>108250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523" y="2209801"/>
          <a:ext cx="1552463" cy="208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583885</xdr:colOff>
      <xdr:row>0</xdr:row>
      <xdr:rowOff>97155</xdr:rowOff>
    </xdr:from>
    <xdr:to>
      <xdr:col>8</xdr:col>
      <xdr:colOff>1485900</xdr:colOff>
      <xdr:row>2</xdr:row>
      <xdr:rowOff>211455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B5FFF46-67AF-4F04-A123-F86A9A69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660" y="97155"/>
          <a:ext cx="2464115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1317468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784860</xdr:colOff>
      <xdr:row>14</xdr:row>
      <xdr:rowOff>47625</xdr:rowOff>
    </xdr:from>
    <xdr:to>
      <xdr:col>7</xdr:col>
      <xdr:colOff>479618</xdr:colOff>
      <xdr:row>24</xdr:row>
      <xdr:rowOff>4442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3660" y="2914650"/>
          <a:ext cx="1761683" cy="2071367"/>
        </a:xfrm>
        <a:prstGeom prst="rect">
          <a:avLst/>
        </a:prstGeom>
      </xdr:spPr>
    </xdr:pic>
    <xdr:clientData/>
  </xdr:twoCellAnchor>
  <xdr:twoCellAnchor editAs="oneCell">
    <xdr:from>
      <xdr:col>2</xdr:col>
      <xdr:colOff>395391</xdr:colOff>
      <xdr:row>16</xdr:row>
      <xdr:rowOff>65534</xdr:rowOff>
    </xdr:from>
    <xdr:to>
      <xdr:col>3</xdr:col>
      <xdr:colOff>133911</xdr:colOff>
      <xdr:row>24</xdr:row>
      <xdr:rowOff>53675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9216" y="3513584"/>
          <a:ext cx="3291345" cy="1521666"/>
        </a:xfrm>
        <a:prstGeom prst="rect">
          <a:avLst/>
        </a:prstGeom>
      </xdr:spPr>
    </xdr:pic>
    <xdr:clientData/>
  </xdr:twoCellAnchor>
  <xdr:twoCellAnchor editAs="oneCell">
    <xdr:from>
      <xdr:col>3</xdr:col>
      <xdr:colOff>915460</xdr:colOff>
      <xdr:row>8</xdr:row>
      <xdr:rowOff>9525</xdr:rowOff>
    </xdr:from>
    <xdr:to>
      <xdr:col>5</xdr:col>
      <xdr:colOff>285329</xdr:colOff>
      <xdr:row>19</xdr:row>
      <xdr:rowOff>163157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335" y="1790700"/>
          <a:ext cx="1389169" cy="2306282"/>
        </a:xfrm>
        <a:prstGeom prst="rect">
          <a:avLst/>
        </a:prstGeom>
      </xdr:spPr>
    </xdr:pic>
    <xdr:clientData/>
  </xdr:twoCellAnchor>
  <xdr:twoCellAnchor editAs="oneCell">
    <xdr:from>
      <xdr:col>0</xdr:col>
      <xdr:colOff>971130</xdr:colOff>
      <xdr:row>16</xdr:row>
      <xdr:rowOff>76200</xdr:rowOff>
    </xdr:from>
    <xdr:to>
      <xdr:col>0</xdr:col>
      <xdr:colOff>2673702</xdr:colOff>
      <xdr:row>24</xdr:row>
      <xdr:rowOff>126394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130" y="3209925"/>
          <a:ext cx="1702572" cy="1583719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0</xdr:row>
      <xdr:rowOff>104775</xdr:rowOff>
    </xdr:from>
    <xdr:to>
      <xdr:col>8</xdr:col>
      <xdr:colOff>1587815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EE65C1-BB9E-413D-8ABC-199BD630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04775"/>
          <a:ext cx="2464115" cy="52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171900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451717</xdr:colOff>
      <xdr:row>14</xdr:row>
      <xdr:rowOff>266700</xdr:rowOff>
    </xdr:from>
    <xdr:to>
      <xdr:col>8</xdr:col>
      <xdr:colOff>2687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042" y="3181350"/>
          <a:ext cx="1827445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400434</xdr:colOff>
      <xdr:row>16</xdr:row>
      <xdr:rowOff>147337</xdr:rowOff>
    </xdr:from>
    <xdr:to>
      <xdr:col>3</xdr:col>
      <xdr:colOff>154082</xdr:colOff>
      <xdr:row>23</xdr:row>
      <xdr:rowOff>151053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784" y="3671587"/>
          <a:ext cx="3306473" cy="1537241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16</xdr:row>
      <xdr:rowOff>85725</xdr:rowOff>
    </xdr:from>
    <xdr:to>
      <xdr:col>0</xdr:col>
      <xdr:colOff>2688962</xdr:colOff>
      <xdr:row>24</xdr:row>
      <xdr:rowOff>73622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362325"/>
          <a:ext cx="1805939" cy="1683347"/>
        </a:xfrm>
        <a:prstGeom prst="rect">
          <a:avLst/>
        </a:prstGeom>
      </xdr:spPr>
    </xdr:pic>
    <xdr:clientData/>
  </xdr:twoCellAnchor>
  <xdr:twoCellAnchor editAs="oneCell">
    <xdr:from>
      <xdr:col>3</xdr:col>
      <xdr:colOff>843060</xdr:colOff>
      <xdr:row>7</xdr:row>
      <xdr:rowOff>127188</xdr:rowOff>
    </xdr:from>
    <xdr:to>
      <xdr:col>5</xdr:col>
      <xdr:colOff>269640</xdr:colOff>
      <xdr:row>19</xdr:row>
      <xdr:rowOff>174142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2035" y="1908363"/>
          <a:ext cx="1388730" cy="2294854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9675E8-7827-4B0A-82B7-AA10CCF4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1596772</xdr:colOff>
      <xdr:row>5</xdr:row>
      <xdr:rowOff>98558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432849</xdr:colOff>
      <xdr:row>14</xdr:row>
      <xdr:rowOff>180976</xdr:rowOff>
    </xdr:from>
    <xdr:to>
      <xdr:col>7</xdr:col>
      <xdr:colOff>305111</xdr:colOff>
      <xdr:row>23</xdr:row>
      <xdr:rowOff>148591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8799" y="3190876"/>
          <a:ext cx="1834412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445146</xdr:colOff>
      <xdr:row>16</xdr:row>
      <xdr:rowOff>33263</xdr:rowOff>
    </xdr:from>
    <xdr:to>
      <xdr:col>3</xdr:col>
      <xdr:colOff>98839</xdr:colOff>
      <xdr:row>23</xdr:row>
      <xdr:rowOff>76330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8021" y="3681338"/>
          <a:ext cx="3290338" cy="1557542"/>
        </a:xfrm>
        <a:prstGeom prst="rect">
          <a:avLst/>
        </a:prstGeom>
      </xdr:spPr>
    </xdr:pic>
    <xdr:clientData/>
  </xdr:twoCellAnchor>
  <xdr:twoCellAnchor editAs="oneCell">
    <xdr:from>
      <xdr:col>0</xdr:col>
      <xdr:colOff>830357</xdr:colOff>
      <xdr:row>16</xdr:row>
      <xdr:rowOff>104775</xdr:rowOff>
    </xdr:from>
    <xdr:to>
      <xdr:col>0</xdr:col>
      <xdr:colOff>2644644</xdr:colOff>
      <xdr:row>25</xdr:row>
      <xdr:rowOff>21927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357" y="3429000"/>
          <a:ext cx="1808572" cy="1749762"/>
        </a:xfrm>
        <a:prstGeom prst="rect">
          <a:avLst/>
        </a:prstGeom>
      </xdr:spPr>
    </xdr:pic>
    <xdr:clientData/>
  </xdr:twoCellAnchor>
  <xdr:twoCellAnchor editAs="oneCell">
    <xdr:from>
      <xdr:col>4</xdr:col>
      <xdr:colOff>60909</xdr:colOff>
      <xdr:row>8</xdr:row>
      <xdr:rowOff>103654</xdr:rowOff>
    </xdr:from>
    <xdr:to>
      <xdr:col>5</xdr:col>
      <xdr:colOff>53659</xdr:colOff>
      <xdr:row>20</xdr:row>
      <xdr:rowOff>77181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8585784" y="2094379"/>
          <a:ext cx="968110" cy="2564327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0</xdr:row>
      <xdr:rowOff>85725</xdr:rowOff>
    </xdr:from>
    <xdr:to>
      <xdr:col>8</xdr:col>
      <xdr:colOff>1654490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343751-0F4D-4124-8326-03EC6627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501734</xdr:colOff>
      <xdr:row>13</xdr:row>
      <xdr:rowOff>161925</xdr:rowOff>
    </xdr:from>
    <xdr:to>
      <xdr:col>8</xdr:col>
      <xdr:colOff>3616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2434" y="2876550"/>
          <a:ext cx="1854557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380153</xdr:colOff>
      <xdr:row>17</xdr:row>
      <xdr:rowOff>4689</xdr:rowOff>
    </xdr:from>
    <xdr:to>
      <xdr:col>3</xdr:col>
      <xdr:colOff>110492</xdr:colOff>
      <xdr:row>25</xdr:row>
      <xdr:rowOff>28576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4453" y="3662289"/>
          <a:ext cx="3283164" cy="1528837"/>
        </a:xfrm>
        <a:prstGeom prst="rect">
          <a:avLst/>
        </a:prstGeom>
      </xdr:spPr>
    </xdr:pic>
    <xdr:clientData/>
  </xdr:twoCellAnchor>
  <xdr:twoCellAnchor editAs="oneCell">
    <xdr:from>
      <xdr:col>3</xdr:col>
      <xdr:colOff>800226</xdr:colOff>
      <xdr:row>9</xdr:row>
      <xdr:rowOff>47625</xdr:rowOff>
    </xdr:from>
    <xdr:to>
      <xdr:col>5</xdr:col>
      <xdr:colOff>416658</xdr:colOff>
      <xdr:row>21</xdr:row>
      <xdr:rowOff>123825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7351" y="1962150"/>
          <a:ext cx="1550007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856130</xdr:colOff>
      <xdr:row>16</xdr:row>
      <xdr:rowOff>28575</xdr:rowOff>
    </xdr:from>
    <xdr:to>
      <xdr:col>0</xdr:col>
      <xdr:colOff>2504353</xdr:colOff>
      <xdr:row>25</xdr:row>
      <xdr:rowOff>3662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130" y="3114675"/>
          <a:ext cx="1648223" cy="1641962"/>
        </a:xfrm>
        <a:prstGeom prst="rect">
          <a:avLst/>
        </a:prstGeom>
      </xdr:spPr>
    </xdr:pic>
    <xdr:clientData/>
  </xdr:twoCellAnchor>
  <xdr:twoCellAnchor editAs="oneCell">
    <xdr:from>
      <xdr:col>6</xdr:col>
      <xdr:colOff>602935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B012D4-EBD4-44C8-8E85-4A677493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160" y="104775"/>
          <a:ext cx="2464115" cy="5162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a.janikova@demos-trade.com;%20david.kakes@demos-trade.com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demos24plus.com/DirectMail/default.aspx?code=49420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XFC303"/>
  <sheetViews>
    <sheetView showGridLines="0" tabSelected="1" zoomScaleNormal="100" workbookViewId="0">
      <selection sqref="A1:I3"/>
    </sheetView>
  </sheetViews>
  <sheetFormatPr defaultColWidth="8.88671875" defaultRowHeight="15" customHeight="1" zeroHeight="1" x14ac:dyDescent="0.3"/>
  <cols>
    <col min="1" max="1" width="4.5546875" style="1" customWidth="1"/>
    <col min="2" max="2" width="11.6640625" style="1" customWidth="1"/>
    <col min="3" max="3" width="4.33203125" style="1" customWidth="1"/>
    <col min="4" max="4" width="11.6640625" style="1" customWidth="1"/>
    <col min="5" max="5" width="3.33203125" style="1" customWidth="1"/>
    <col min="6" max="6" width="12.109375" style="1" customWidth="1"/>
    <col min="7" max="7" width="3.44140625" style="1" customWidth="1"/>
    <col min="8" max="8" width="11.6640625" style="1" customWidth="1"/>
    <col min="9" max="9" width="3.44140625" style="1" customWidth="1"/>
    <col min="10" max="10" width="11.6640625" style="1" customWidth="1"/>
    <col min="11" max="11" width="3.109375" style="1" customWidth="1"/>
    <col min="12" max="12" width="11.6640625" style="1" customWidth="1"/>
    <col min="13" max="13" width="3.109375" style="1" customWidth="1"/>
    <col min="14" max="14" width="12.6640625" style="1" customWidth="1"/>
    <col min="15" max="15" width="3.6640625" style="1" customWidth="1"/>
    <col min="16" max="16" width="11.6640625" style="1" customWidth="1"/>
    <col min="17" max="17" width="3.109375" style="1" customWidth="1"/>
    <col min="18" max="18" width="12.109375" style="1" customWidth="1"/>
    <col min="19" max="19" width="8.6640625" style="1" customWidth="1"/>
    <col min="20" max="20" width="13.6640625" style="1" hidden="1" customWidth="1"/>
    <col min="21" max="22" width="8.6640625" style="1" hidden="1" customWidth="1"/>
    <col min="23" max="16383" width="0" style="1" hidden="1" customWidth="1"/>
    <col min="16384" max="16384" width="1.109375" style="1" hidden="1" customWidth="1"/>
  </cols>
  <sheetData>
    <row r="1" spans="1:21" ht="15" customHeight="1" x14ac:dyDescent="0.5">
      <c r="A1" s="627" t="str">
        <f>texty!A22</f>
        <v>OKUCIA DO SZAF</v>
      </c>
      <c r="B1" s="628"/>
      <c r="C1" s="628"/>
      <c r="D1" s="628"/>
      <c r="E1" s="628"/>
      <c r="F1" s="628"/>
      <c r="G1" s="628"/>
      <c r="H1" s="628"/>
      <c r="I1" s="629"/>
      <c r="J1" s="29"/>
      <c r="K1" s="29"/>
      <c r="L1" s="29"/>
      <c r="M1" s="29"/>
      <c r="N1" s="29"/>
      <c r="O1" s="29"/>
      <c r="P1" s="29"/>
      <c r="R1" s="29"/>
    </row>
    <row r="2" spans="1:21" ht="15" customHeight="1" x14ac:dyDescent="0.5">
      <c r="A2" s="630"/>
      <c r="B2" s="631"/>
      <c r="C2" s="631"/>
      <c r="D2" s="631"/>
      <c r="E2" s="631"/>
      <c r="F2" s="631"/>
      <c r="G2" s="631"/>
      <c r="H2" s="631"/>
      <c r="I2" s="632"/>
      <c r="J2" s="29"/>
      <c r="K2" s="29"/>
      <c r="L2" s="29"/>
      <c r="M2" s="29"/>
      <c r="N2" s="29"/>
      <c r="O2" s="29"/>
      <c r="P2" s="29"/>
      <c r="R2" s="29"/>
    </row>
    <row r="3" spans="1:21" ht="28.5" customHeight="1" thickBot="1" x14ac:dyDescent="0.55000000000000004">
      <c r="A3" s="633"/>
      <c r="B3" s="634"/>
      <c r="C3" s="634"/>
      <c r="D3" s="634"/>
      <c r="E3" s="634"/>
      <c r="F3" s="634"/>
      <c r="G3" s="634"/>
      <c r="H3" s="634"/>
      <c r="I3" s="635"/>
      <c r="J3" s="29"/>
      <c r="K3" s="29"/>
      <c r="L3" s="29"/>
      <c r="M3" s="29"/>
      <c r="N3" s="29"/>
      <c r="O3" s="29"/>
      <c r="P3" s="29"/>
      <c r="Q3" s="29"/>
      <c r="R3" s="29"/>
    </row>
    <row r="4" spans="1:21" ht="15" customHeight="1" x14ac:dyDescent="0.5">
      <c r="A4" s="262"/>
      <c r="B4" s="204"/>
      <c r="C4" s="204"/>
      <c r="D4" s="204"/>
      <c r="E4" s="204"/>
      <c r="F4" s="204"/>
      <c r="G4" s="204"/>
      <c r="H4" s="204"/>
      <c r="I4" s="204"/>
      <c r="J4" s="29"/>
      <c r="K4" s="29"/>
      <c r="L4" s="29"/>
      <c r="M4" s="29"/>
      <c r="N4" s="29"/>
      <c r="O4" s="29"/>
      <c r="P4" s="29"/>
    </row>
    <row r="5" spans="1:21" ht="19.5" customHeight="1" x14ac:dyDescent="0.3">
      <c r="A5" s="638" t="str">
        <f>texty!A23</f>
        <v>Klient</v>
      </c>
      <c r="B5" s="639"/>
      <c r="C5" s="639"/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</row>
    <row r="6" spans="1:21" ht="3" customHeight="1" thickBot="1" x14ac:dyDescent="0.55000000000000004">
      <c r="A6" s="263"/>
      <c r="B6" s="205"/>
      <c r="C6" s="204"/>
      <c r="D6" s="204"/>
      <c r="E6" s="204"/>
      <c r="F6" s="204"/>
      <c r="G6" s="204"/>
      <c r="H6" s="204"/>
      <c r="I6" s="204"/>
      <c r="J6" s="29"/>
      <c r="K6" s="29"/>
      <c r="L6" s="29"/>
      <c r="M6" s="29"/>
      <c r="N6" s="29"/>
      <c r="O6" s="29"/>
      <c r="P6" s="29"/>
      <c r="Q6" s="29"/>
      <c r="R6" s="30"/>
    </row>
    <row r="7" spans="1:21" ht="19.5" customHeight="1" thickBot="1" x14ac:dyDescent="0.35">
      <c r="A7" s="624" t="str">
        <f>texty!A24</f>
        <v>Nazwa:</v>
      </c>
      <c r="B7" s="625"/>
      <c r="C7" s="625"/>
      <c r="D7" s="626"/>
      <c r="E7" s="643"/>
      <c r="F7" s="644"/>
      <c r="G7" s="644"/>
      <c r="H7" s="644"/>
      <c r="I7" s="644"/>
      <c r="J7" s="644"/>
      <c r="K7" s="644"/>
      <c r="L7" s="644"/>
      <c r="M7" s="644"/>
      <c r="N7" s="644"/>
      <c r="O7" s="644"/>
      <c r="P7" s="644"/>
      <c r="Q7" s="644"/>
      <c r="R7" s="645"/>
      <c r="T7" s="1" t="str">
        <f>CONCATENATE(texty!A23,C7,", ",C9,", ",C11,texty!A27,+C13)</f>
        <v>Klient, , NIP:</v>
      </c>
    </row>
    <row r="8" spans="1:21" ht="3" customHeight="1" thickBot="1" x14ac:dyDescent="0.55000000000000004">
      <c r="A8" s="263"/>
      <c r="B8" s="205"/>
      <c r="C8" s="204"/>
      <c r="D8" s="204"/>
      <c r="E8" s="204"/>
      <c r="F8" s="204"/>
      <c r="G8" s="204"/>
      <c r="H8" s="204"/>
      <c r="I8" s="204"/>
      <c r="J8" s="29"/>
      <c r="K8" s="29"/>
      <c r="L8" s="29"/>
      <c r="M8" s="29"/>
      <c r="N8" s="29"/>
      <c r="O8" s="29"/>
      <c r="P8" s="29"/>
      <c r="Q8" s="449"/>
      <c r="R8" s="450"/>
    </row>
    <row r="9" spans="1:21" ht="19.5" customHeight="1" thickBot="1" x14ac:dyDescent="0.35">
      <c r="A9" s="636" t="str">
        <f>texty!A25</f>
        <v>Ulica:</v>
      </c>
      <c r="B9" s="637"/>
      <c r="C9" s="640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1"/>
      <c r="P9" s="641"/>
      <c r="Q9" s="641"/>
      <c r="R9" s="642"/>
    </row>
    <row r="10" spans="1:21" ht="3" customHeight="1" thickBot="1" x14ac:dyDescent="0.55000000000000004">
      <c r="A10" s="263"/>
      <c r="B10" s="205"/>
      <c r="C10" s="204"/>
      <c r="D10" s="204"/>
      <c r="E10" s="204"/>
      <c r="F10" s="204"/>
      <c r="G10" s="204"/>
      <c r="H10" s="204"/>
      <c r="I10" s="204"/>
      <c r="J10" s="29"/>
      <c r="K10" s="29"/>
      <c r="L10" s="29"/>
      <c r="M10" s="29"/>
      <c r="N10" s="29"/>
      <c r="O10" s="29"/>
      <c r="P10" s="29"/>
      <c r="Q10" s="449"/>
      <c r="R10" s="450"/>
    </row>
    <row r="11" spans="1:21" ht="19.5" customHeight="1" thickBot="1" x14ac:dyDescent="0.35">
      <c r="A11" s="624" t="str">
        <f>texty!A26</f>
        <v>Miasto, kod pocztowy:</v>
      </c>
      <c r="B11" s="625"/>
      <c r="C11" s="626"/>
      <c r="D11" s="646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8"/>
    </row>
    <row r="12" spans="1:21" ht="3" customHeight="1" thickBot="1" x14ac:dyDescent="0.55000000000000004">
      <c r="A12" s="263"/>
      <c r="B12" s="205"/>
      <c r="C12" s="204"/>
      <c r="D12" s="204"/>
      <c r="E12" s="204"/>
      <c r="F12" s="204"/>
      <c r="G12" s="204"/>
      <c r="H12" s="204"/>
      <c r="I12" s="204"/>
      <c r="J12" s="29"/>
      <c r="K12" s="29"/>
      <c r="L12" s="29"/>
      <c r="M12" s="29"/>
      <c r="N12" s="29"/>
      <c r="O12" s="29"/>
      <c r="P12" s="29"/>
      <c r="Q12" s="29"/>
      <c r="R12" s="450"/>
    </row>
    <row r="13" spans="1:21" ht="19.5" customHeight="1" thickBot="1" x14ac:dyDescent="0.35">
      <c r="A13" s="650" t="str">
        <f>texty!A27</f>
        <v>NIP:</v>
      </c>
      <c r="B13" s="637"/>
      <c r="C13" s="640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2"/>
    </row>
    <row r="14" spans="1:21" ht="3" customHeight="1" thickBot="1" x14ac:dyDescent="0.55000000000000004">
      <c r="A14" s="263"/>
      <c r="B14" s="205"/>
      <c r="C14" s="205"/>
      <c r="D14" s="205"/>
      <c r="E14" s="205"/>
      <c r="F14" s="205"/>
      <c r="G14" s="204"/>
      <c r="H14" s="204"/>
      <c r="I14" s="204"/>
      <c r="J14" s="29"/>
      <c r="K14" s="29"/>
      <c r="L14" s="29"/>
      <c r="M14" s="29"/>
      <c r="N14" s="29"/>
      <c r="O14" s="29"/>
      <c r="P14" s="29"/>
      <c r="Q14" s="29"/>
      <c r="R14" s="450"/>
    </row>
    <row r="15" spans="1:21" ht="19.5" customHeight="1" thickBot="1" x14ac:dyDescent="0.35">
      <c r="A15" s="650" t="str">
        <f>texty!A28</f>
        <v>Zniżka:</v>
      </c>
      <c r="B15" s="651"/>
      <c r="C15" s="652"/>
      <c r="D15" s="653"/>
      <c r="E15" s="206" t="s">
        <v>55</v>
      </c>
      <c r="F15" s="207" t="str">
        <f>texty!A29</f>
        <v>Uwagi:</v>
      </c>
      <c r="G15" s="654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6"/>
      <c r="T15" s="1" t="str">
        <f>TRIM(C15)</f>
        <v/>
      </c>
      <c r="U15" s="143" t="str">
        <f>TRIM(G15)</f>
        <v/>
      </c>
    </row>
    <row r="16" spans="1:21" ht="22.5" customHeight="1" thickBot="1" x14ac:dyDescent="0.35">
      <c r="A16" s="668"/>
      <c r="B16" s="669"/>
      <c r="C16" s="669"/>
      <c r="D16" s="669"/>
      <c r="E16" s="669"/>
      <c r="F16" s="669"/>
      <c r="G16" s="669"/>
      <c r="H16" s="669"/>
      <c r="I16" s="669"/>
      <c r="J16" s="669"/>
      <c r="K16" s="670"/>
      <c r="L16" s="670"/>
      <c r="M16" s="670"/>
      <c r="N16" s="670"/>
      <c r="O16" s="670"/>
      <c r="P16" s="670"/>
      <c r="Q16" s="670"/>
      <c r="R16" s="671"/>
    </row>
    <row r="17" spans="1:18" s="201" customFormat="1" ht="75" customHeight="1" x14ac:dyDescent="0.25">
      <c r="A17" s="657" t="str">
        <f>texty!A31</f>
        <v>Grubość wypełnienia 4mm (szkło albo lustro) - drzwi z ramami</v>
      </c>
      <c r="B17" s="658"/>
      <c r="C17" s="659"/>
      <c r="D17" s="661" t="str">
        <f>VLOOKUP(D20,cennik!A:B,2,0)</f>
        <v>SEVROLL wzornik rączek 2023</v>
      </c>
      <c r="E17" s="662"/>
      <c r="F17" s="662"/>
      <c r="G17" s="662"/>
      <c r="H17" s="662"/>
      <c r="I17" s="663"/>
      <c r="J17" s="577"/>
      <c r="K17" s="566"/>
      <c r="L17" s="660" t="str">
        <f>texty!A275</f>
        <v>Male probki profilowe</v>
      </c>
      <c r="M17" s="660"/>
      <c r="N17" s="660"/>
      <c r="O17" s="660"/>
      <c r="P17" s="566"/>
      <c r="Q17" s="566"/>
      <c r="R17" s="567"/>
    </row>
    <row r="18" spans="1:18" ht="16.95" customHeight="1" thickBot="1" x14ac:dyDescent="0.35">
      <c r="A18" s="221"/>
      <c r="B18" s="581"/>
      <c r="C18" s="216"/>
      <c r="D18" s="221"/>
      <c r="E18" s="216"/>
      <c r="F18" s="216"/>
      <c r="G18" s="216"/>
      <c r="H18" s="216"/>
      <c r="I18" s="217"/>
      <c r="J18" s="221"/>
      <c r="K18" s="568"/>
      <c r="L18" s="568"/>
      <c r="M18" s="568"/>
      <c r="N18" s="568"/>
      <c r="O18" s="568"/>
      <c r="P18" s="568"/>
      <c r="Q18" s="568"/>
      <c r="R18" s="569"/>
    </row>
    <row r="19" spans="1:18" ht="103.2" customHeight="1" thickBot="1" x14ac:dyDescent="0.35">
      <c r="A19" s="221"/>
      <c r="B19" s="497"/>
      <c r="C19" s="216"/>
      <c r="D19" s="221"/>
      <c r="E19" s="216"/>
      <c r="F19" s="218"/>
      <c r="G19" s="216"/>
      <c r="H19" s="216"/>
      <c r="I19" s="217"/>
      <c r="J19" s="221"/>
      <c r="K19" s="568"/>
      <c r="L19" s="568"/>
      <c r="M19" s="568"/>
      <c r="N19" s="568"/>
      <c r="O19" s="568"/>
      <c r="P19" s="568"/>
      <c r="Q19" s="568"/>
      <c r="R19" s="569"/>
    </row>
    <row r="20" spans="1:18" ht="24.75" customHeight="1" x14ac:dyDescent="0.3">
      <c r="A20" s="576"/>
      <c r="B20" s="579" t="s">
        <v>834</v>
      </c>
      <c r="C20" s="576"/>
      <c r="D20" s="664">
        <v>494207</v>
      </c>
      <c r="E20" s="665"/>
      <c r="F20" s="665"/>
      <c r="G20" s="665"/>
      <c r="H20" s="665"/>
      <c r="I20" s="666"/>
      <c r="J20" s="578"/>
      <c r="K20" s="568"/>
      <c r="L20" s="568"/>
      <c r="M20" s="568"/>
      <c r="N20" s="568"/>
      <c r="O20" s="568"/>
      <c r="P20" s="568"/>
      <c r="Q20" s="568"/>
      <c r="R20" s="569"/>
    </row>
    <row r="21" spans="1:18" ht="15" customHeight="1" thickBot="1" x14ac:dyDescent="0.35">
      <c r="A21" s="222"/>
      <c r="B21" s="580" t="str">
        <f>texty!A58</f>
        <v>wysokość aż 3 m!</v>
      </c>
      <c r="C21" s="219"/>
      <c r="D21" s="222"/>
      <c r="E21" s="219"/>
      <c r="F21" s="219"/>
      <c r="G21" s="219"/>
      <c r="H21" s="219"/>
      <c r="I21" s="220"/>
      <c r="J21" s="222"/>
      <c r="K21" s="570"/>
      <c r="L21" s="570"/>
      <c r="M21" s="570"/>
      <c r="N21" s="570"/>
      <c r="O21" s="570"/>
      <c r="P21" s="570"/>
      <c r="Q21" s="570"/>
      <c r="R21" s="571"/>
    </row>
    <row r="22" spans="1:18" ht="24.75" customHeight="1" x14ac:dyDescent="0.3">
      <c r="A22" s="672" t="str">
        <f>texty!A30</f>
        <v>Grubość wypełnienia 10mm (szkło albo lustro z wykorzystaniem uszczelek - gr.4 lub 6mm) - drzwi z ramami</v>
      </c>
      <c r="B22" s="673"/>
      <c r="C22" s="673"/>
      <c r="D22" s="673"/>
      <c r="E22" s="673"/>
      <c r="F22" s="673"/>
      <c r="G22" s="673"/>
      <c r="H22" s="673"/>
      <c r="I22" s="673"/>
      <c r="J22" s="673"/>
      <c r="K22" s="674"/>
      <c r="L22" s="674"/>
      <c r="M22" s="674"/>
      <c r="N22" s="674"/>
      <c r="O22" s="674"/>
      <c r="P22" s="674"/>
      <c r="Q22" s="674"/>
      <c r="R22" s="675"/>
    </row>
    <row r="23" spans="1:18" ht="10.199999999999999" customHeight="1" x14ac:dyDescent="0.3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500"/>
    </row>
    <row r="24" spans="1:18" s="197" customFormat="1" ht="30.75" customHeight="1" thickBot="1" x14ac:dyDescent="0.3">
      <c r="A24" s="501"/>
      <c r="B24" s="502"/>
      <c r="C24" s="502"/>
      <c r="D24" s="503"/>
      <c r="E24" s="502"/>
      <c r="F24" s="502"/>
      <c r="G24" s="502"/>
      <c r="H24" s="502"/>
      <c r="I24" s="502"/>
      <c r="J24" s="504"/>
      <c r="K24" s="502"/>
      <c r="L24" s="502"/>
      <c r="M24" s="505"/>
      <c r="N24" s="585" t="str">
        <f>texty!A58</f>
        <v>wysokość aż 3 m!</v>
      </c>
      <c r="O24" s="506"/>
      <c r="P24" s="586" t="str">
        <f>texty!A57</f>
        <v>wysokość aż 3,5m!</v>
      </c>
      <c r="Q24" s="502"/>
      <c r="R24" s="507"/>
    </row>
    <row r="25" spans="1:18" ht="107.25" customHeight="1" thickBot="1" x14ac:dyDescent="0.35">
      <c r="A25" s="508"/>
      <c r="B25" s="509"/>
      <c r="C25" s="510"/>
      <c r="D25" s="511"/>
      <c r="E25" s="502"/>
      <c r="F25" s="512"/>
      <c r="G25" s="513"/>
      <c r="H25" s="514"/>
      <c r="I25" s="515"/>
      <c r="J25" s="497"/>
      <c r="K25" s="510"/>
      <c r="L25" s="497"/>
      <c r="M25" s="516"/>
      <c r="N25" s="497"/>
      <c r="O25" s="510"/>
      <c r="P25" s="517"/>
      <c r="Q25" s="510"/>
      <c r="R25" s="516"/>
    </row>
    <row r="26" spans="1:18" s="51" customFormat="1" ht="15" customHeight="1" x14ac:dyDescent="0.3">
      <c r="A26" s="518"/>
      <c r="B26" s="519" t="s">
        <v>6580</v>
      </c>
      <c r="C26" s="520"/>
      <c r="D26" s="521" t="s">
        <v>42</v>
      </c>
      <c r="E26" s="522"/>
      <c r="F26" s="523" t="s">
        <v>850</v>
      </c>
      <c r="G26" s="513"/>
      <c r="H26" s="524" t="s">
        <v>6579</v>
      </c>
      <c r="I26" s="522"/>
      <c r="J26" s="523" t="s">
        <v>6585</v>
      </c>
      <c r="K26" s="520"/>
      <c r="L26" s="525" t="s">
        <v>6578</v>
      </c>
      <c r="M26" s="200"/>
      <c r="N26" s="526" t="s">
        <v>684</v>
      </c>
      <c r="O26" s="527"/>
      <c r="P26" s="528" t="s">
        <v>6586</v>
      </c>
      <c r="Q26" s="520"/>
      <c r="R26" s="529"/>
    </row>
    <row r="27" spans="1:18" s="252" customFormat="1" ht="15" customHeight="1" x14ac:dyDescent="0.3">
      <c r="A27" s="240"/>
      <c r="B27" s="241"/>
      <c r="C27" s="242"/>
      <c r="D27" s="243"/>
      <c r="E27" s="244"/>
      <c r="F27" s="245"/>
      <c r="G27" s="246"/>
      <c r="H27" s="247"/>
      <c r="I27" s="242"/>
      <c r="J27" s="242"/>
      <c r="K27" s="242"/>
      <c r="L27" s="248"/>
      <c r="M27" s="249"/>
      <c r="N27" s="250"/>
      <c r="O27" s="249"/>
      <c r="P27" s="250"/>
      <c r="Q27" s="242"/>
      <c r="R27" s="251"/>
    </row>
    <row r="28" spans="1:18" s="252" customFormat="1" ht="16.95" customHeight="1" x14ac:dyDescent="0.3">
      <c r="A28" s="240"/>
      <c r="B28" s="253"/>
      <c r="C28" s="242"/>
      <c r="D28" s="242"/>
      <c r="E28" s="242"/>
      <c r="F28" s="242"/>
      <c r="G28" s="242"/>
      <c r="H28" s="242"/>
      <c r="I28" s="242"/>
      <c r="J28" s="242"/>
      <c r="K28" s="249"/>
      <c r="L28" s="249"/>
      <c r="M28" s="667" t="s">
        <v>1005</v>
      </c>
      <c r="N28" s="667"/>
      <c r="O28" s="667"/>
      <c r="P28" s="667"/>
      <c r="Q28" s="667"/>
      <c r="R28" s="251"/>
    </row>
    <row r="29" spans="1:18" s="252" customFormat="1" ht="16.95" customHeight="1" thickBot="1" x14ac:dyDescent="0.35">
      <c r="A29" s="240"/>
      <c r="B29" s="253"/>
      <c r="C29" s="242"/>
      <c r="D29" s="242"/>
      <c r="E29" s="242"/>
      <c r="F29" s="242"/>
      <c r="G29" s="242"/>
      <c r="H29" s="242"/>
      <c r="I29" s="242"/>
      <c r="J29" s="242"/>
      <c r="K29" s="249"/>
      <c r="L29" s="249"/>
      <c r="M29" s="254"/>
      <c r="N29" s="401"/>
      <c r="O29" s="401"/>
      <c r="P29" s="401"/>
      <c r="Q29" s="401"/>
      <c r="R29" s="251"/>
    </row>
    <row r="30" spans="1:18" ht="107.25" customHeight="1" thickBot="1" x14ac:dyDescent="0.35">
      <c r="A30" s="240"/>
      <c r="B30" s="497"/>
      <c r="C30" s="242"/>
      <c r="D30" s="497"/>
      <c r="E30" s="242"/>
      <c r="F30" s="497"/>
      <c r="G30" s="242"/>
      <c r="H30" s="242"/>
      <c r="I30" s="242"/>
      <c r="J30" s="242"/>
      <c r="K30" s="242"/>
      <c r="L30" s="250"/>
      <c r="M30" s="255"/>
      <c r="N30" s="497"/>
      <c r="O30" s="255"/>
      <c r="P30" s="497"/>
      <c r="Q30" s="401"/>
      <c r="R30" s="251"/>
    </row>
    <row r="31" spans="1:18" s="198" customFormat="1" ht="19.5" customHeight="1" x14ac:dyDescent="0.25">
      <c r="A31" s="305"/>
      <c r="B31" s="528" t="s">
        <v>829</v>
      </c>
      <c r="C31" s="306"/>
      <c r="D31" s="528" t="s">
        <v>2624</v>
      </c>
      <c r="E31" s="256"/>
      <c r="F31" s="528" t="s">
        <v>2626</v>
      </c>
      <c r="G31" s="256"/>
      <c r="H31" s="256"/>
      <c r="I31" s="256"/>
      <c r="J31" s="256"/>
      <c r="K31" s="256"/>
      <c r="L31" s="257"/>
      <c r="M31" s="258"/>
      <c r="N31" s="530" t="s">
        <v>666</v>
      </c>
      <c r="O31" s="261"/>
      <c r="P31" s="530" t="s">
        <v>667</v>
      </c>
      <c r="Q31" s="401"/>
      <c r="R31" s="251"/>
    </row>
    <row r="32" spans="1:18" ht="19.5" customHeight="1" thickBot="1" x14ac:dyDescent="0.35">
      <c r="A32" s="452"/>
      <c r="B32" s="453"/>
      <c r="C32" s="453"/>
      <c r="D32" s="453"/>
      <c r="E32" s="453"/>
      <c r="F32" s="453"/>
      <c r="G32" s="453"/>
      <c r="H32" s="453"/>
      <c r="I32" s="259"/>
      <c r="J32" s="260"/>
      <c r="K32" s="260"/>
      <c r="L32" s="260"/>
      <c r="M32" s="454"/>
      <c r="N32" s="454"/>
      <c r="O32" s="454"/>
      <c r="P32" s="454"/>
      <c r="Q32" s="455"/>
      <c r="R32" s="456"/>
    </row>
    <row r="33" spans="1:18" s="199" customFormat="1" ht="24.75" customHeight="1" x14ac:dyDescent="0.25">
      <c r="A33" s="609"/>
      <c r="B33" s="610"/>
      <c r="C33" s="610"/>
      <c r="D33" s="649" t="s">
        <v>81</v>
      </c>
      <c r="E33" s="649"/>
      <c r="F33" s="649"/>
      <c r="G33" s="649"/>
      <c r="H33" s="649"/>
      <c r="I33" s="649"/>
      <c r="J33" s="649"/>
      <c r="K33" s="649"/>
      <c r="L33" s="649"/>
      <c r="M33" s="649"/>
      <c r="N33" s="649"/>
      <c r="O33" s="610"/>
      <c r="P33" s="610"/>
      <c r="Q33" s="610"/>
      <c r="R33" s="611"/>
    </row>
    <row r="34" spans="1:18" ht="10.199999999999999" customHeight="1" x14ac:dyDescent="0.3">
      <c r="A34" s="531"/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2"/>
      <c r="M34" s="533"/>
      <c r="N34" s="533"/>
      <c r="O34" s="533"/>
      <c r="P34" s="533"/>
      <c r="Q34" s="212"/>
      <c r="R34" s="534"/>
    </row>
    <row r="35" spans="1:18" s="197" customFormat="1" ht="30.75" customHeight="1" thickBot="1" x14ac:dyDescent="0.3">
      <c r="A35" s="535"/>
      <c r="B35" s="536"/>
      <c r="C35" s="536"/>
      <c r="D35" s="536"/>
      <c r="E35" s="536"/>
      <c r="F35" s="537"/>
      <c r="G35" s="203"/>
      <c r="H35" s="537"/>
      <c r="I35" s="203"/>
      <c r="J35" s="537"/>
      <c r="K35" s="203"/>
      <c r="L35" s="537"/>
      <c r="M35" s="536"/>
      <c r="N35" s="538"/>
      <c r="O35" s="539"/>
      <c r="P35" s="212"/>
      <c r="Q35" s="212"/>
      <c r="R35" s="534"/>
    </row>
    <row r="36" spans="1:18" ht="106.5" customHeight="1" thickBot="1" x14ac:dyDescent="0.35">
      <c r="A36" s="540"/>
      <c r="B36" s="212"/>
      <c r="C36" s="546"/>
      <c r="D36" s="514"/>
      <c r="E36" s="533"/>
      <c r="F36" s="509"/>
      <c r="G36" s="533"/>
      <c r="H36" s="514"/>
      <c r="I36" s="533"/>
      <c r="J36" s="514"/>
      <c r="K36" s="533"/>
      <c r="L36" s="514"/>
      <c r="M36" s="541"/>
      <c r="N36" s="542"/>
      <c r="O36" s="543"/>
      <c r="P36" s="212"/>
      <c r="Q36" s="212"/>
      <c r="R36" s="402"/>
    </row>
    <row r="37" spans="1:18" s="51" customFormat="1" ht="15" customHeight="1" x14ac:dyDescent="0.3">
      <c r="A37" s="544"/>
      <c r="B37" s="212"/>
      <c r="C37" s="546"/>
      <c r="D37" s="545" t="s">
        <v>730</v>
      </c>
      <c r="E37" s="546"/>
      <c r="F37" s="545" t="s">
        <v>707</v>
      </c>
      <c r="G37" s="546"/>
      <c r="H37" s="545" t="s">
        <v>822</v>
      </c>
      <c r="I37" s="546"/>
      <c r="J37" s="545" t="s">
        <v>6532</v>
      </c>
      <c r="K37" s="546"/>
      <c r="L37" s="545" t="s">
        <v>851</v>
      </c>
      <c r="M37" s="547"/>
      <c r="N37" s="545" t="s">
        <v>731</v>
      </c>
      <c r="O37" s="545"/>
      <c r="P37" s="212"/>
      <c r="Q37" s="212"/>
      <c r="R37" s="230"/>
    </row>
    <row r="38" spans="1:18" s="51" customFormat="1" ht="15" customHeight="1" x14ac:dyDescent="0.3">
      <c r="A38" s="544"/>
      <c r="B38" s="212"/>
      <c r="C38" s="546"/>
      <c r="D38" s="202"/>
      <c r="E38" s="546"/>
      <c r="F38" s="212"/>
      <c r="G38" s="546"/>
      <c r="H38" s="212"/>
      <c r="I38" s="546"/>
      <c r="J38" s="212"/>
      <c r="K38" s="547"/>
      <c r="L38" s="212"/>
      <c r="M38" s="212"/>
      <c r="N38" s="212"/>
      <c r="O38" s="212"/>
      <c r="P38" s="212"/>
      <c r="Q38" s="212"/>
      <c r="R38" s="230"/>
    </row>
    <row r="39" spans="1:18" s="451" customFormat="1" ht="15" customHeight="1" x14ac:dyDescent="0.25">
      <c r="A39" s="544"/>
      <c r="B39" s="212"/>
      <c r="C39" s="546"/>
      <c r="D39" s="212"/>
      <c r="E39" s="546"/>
      <c r="F39" s="212"/>
      <c r="G39" s="546"/>
      <c r="H39" s="212"/>
      <c r="I39" s="547"/>
      <c r="J39" s="212"/>
      <c r="K39" s="212"/>
      <c r="L39" s="212"/>
      <c r="M39" s="212"/>
      <c r="N39" s="212"/>
      <c r="O39" s="212"/>
      <c r="P39" s="212"/>
      <c r="Q39" s="212"/>
      <c r="R39" s="230"/>
    </row>
    <row r="40" spans="1:18" ht="16.95" customHeight="1" thickBot="1" x14ac:dyDescent="0.35">
      <c r="A40" s="533"/>
      <c r="B40" s="543"/>
      <c r="C40" s="539"/>
      <c r="D40" s="539"/>
      <c r="E40" s="539"/>
      <c r="F40" s="543"/>
      <c r="G40" s="547"/>
      <c r="H40" s="212"/>
      <c r="I40" s="212"/>
      <c r="J40" s="212"/>
      <c r="K40" s="548"/>
      <c r="L40" s="548"/>
      <c r="M40" s="212"/>
      <c r="N40" s="212"/>
      <c r="O40" s="212"/>
      <c r="P40" s="212"/>
      <c r="Q40" s="212"/>
      <c r="R40" s="230"/>
    </row>
    <row r="41" spans="1:18" ht="106.5" customHeight="1" thickBot="1" x14ac:dyDescent="0.35">
      <c r="A41" s="533"/>
      <c r="B41" s="543"/>
      <c r="C41" s="539"/>
      <c r="D41" s="549"/>
      <c r="E41" s="533"/>
      <c r="F41" s="550"/>
      <c r="G41" s="551"/>
      <c r="H41" s="542"/>
      <c r="I41" s="533"/>
      <c r="J41" s="509"/>
      <c r="K41" s="548"/>
      <c r="L41" s="549"/>
      <c r="M41" s="212"/>
      <c r="N41" s="212"/>
      <c r="O41" s="212"/>
      <c r="P41" s="212"/>
      <c r="Q41" s="212"/>
      <c r="R41" s="230"/>
    </row>
    <row r="42" spans="1:18" s="51" customFormat="1" ht="14.4" x14ac:dyDescent="0.3">
      <c r="A42" s="546"/>
      <c r="B42" s="543"/>
      <c r="C42" s="539"/>
      <c r="D42" s="545" t="s">
        <v>852</v>
      </c>
      <c r="E42" s="546"/>
      <c r="F42" s="545" t="s">
        <v>560</v>
      </c>
      <c r="G42" s="546"/>
      <c r="H42" s="545" t="s">
        <v>729</v>
      </c>
      <c r="I42" s="545"/>
      <c r="J42" s="552" t="s">
        <v>828</v>
      </c>
      <c r="K42" s="553"/>
      <c r="L42" s="545" t="s">
        <v>79</v>
      </c>
      <c r="M42" s="212"/>
      <c r="N42" s="212"/>
      <c r="O42" s="212"/>
      <c r="P42" s="212"/>
      <c r="Q42" s="212"/>
      <c r="R42" s="230"/>
    </row>
    <row r="43" spans="1:18" s="51" customFormat="1" ht="14.4" x14ac:dyDescent="0.3">
      <c r="A43" s="228"/>
      <c r="B43" s="212"/>
      <c r="C43" s="213"/>
      <c r="D43" s="212"/>
      <c r="E43" s="213"/>
      <c r="F43" s="212"/>
      <c r="G43" s="213"/>
      <c r="H43" s="212"/>
      <c r="I43" s="213"/>
      <c r="J43" s="212"/>
      <c r="K43" s="213"/>
      <c r="L43" s="212"/>
      <c r="M43" s="212"/>
      <c r="N43" s="212"/>
      <c r="O43" s="212"/>
      <c r="P43" s="212"/>
      <c r="Q43" s="212"/>
      <c r="R43" s="230"/>
    </row>
    <row r="44" spans="1:18" s="235" customFormat="1" ht="31.5" customHeight="1" x14ac:dyDescent="0.3">
      <c r="A44" s="617" t="str">
        <f>texty!A61</f>
        <v>system GM 18 (kombinacja PW 18 mm i szkła) (ramowy)</v>
      </c>
      <c r="B44" s="618"/>
      <c r="C44" s="618"/>
      <c r="D44" s="618"/>
      <c r="E44" s="618"/>
      <c r="F44" s="618"/>
      <c r="G44" s="618"/>
      <c r="H44" s="212"/>
      <c r="I44" s="623" t="str">
        <f>texty!A221</f>
        <v>Blue 18 mm (ramowy)</v>
      </c>
      <c r="J44" s="623"/>
      <c r="K44" s="623"/>
      <c r="L44" s="623"/>
      <c r="M44" s="212"/>
      <c r="N44" s="616" t="str">
        <f>texty!A220</f>
        <v>Blue 18 mm (bezramowe)</v>
      </c>
      <c r="O44" s="616"/>
      <c r="P44" s="616"/>
      <c r="Q44" s="616"/>
      <c r="R44" s="230"/>
    </row>
    <row r="45" spans="1:18" s="235" customFormat="1" ht="16.2" thickBot="1" x14ac:dyDescent="0.35">
      <c r="A45" s="231"/>
      <c r="B45" s="232"/>
      <c r="C45" s="232"/>
      <c r="D45" s="236"/>
      <c r="E45" s="232"/>
      <c r="F45" s="223"/>
      <c r="G45" s="223"/>
      <c r="H45" s="458"/>
      <c r="I45" s="264"/>
      <c r="J45" s="239" t="str">
        <f>texty!A151</f>
        <v>NOWOŚĆ</v>
      </c>
      <c r="K45" s="264"/>
      <c r="L45" s="239" t="str">
        <f>texty!A151</f>
        <v>NOWOŚĆ</v>
      </c>
      <c r="M45" s="212"/>
      <c r="N45" s="239" t="str">
        <f>texty!A151</f>
        <v>NOWOŚĆ</v>
      </c>
      <c r="O45" s="238"/>
      <c r="P45" s="239" t="str">
        <f>texty!A151</f>
        <v>NOWOŚĆ</v>
      </c>
      <c r="Q45" s="223"/>
      <c r="R45" s="230"/>
    </row>
    <row r="46" spans="1:18" s="51" customFormat="1" ht="106.5" customHeight="1" thickTop="1" thickBot="1" x14ac:dyDescent="0.35">
      <c r="A46" s="233"/>
      <c r="B46" s="509"/>
      <c r="C46" s="229"/>
      <c r="D46" s="497"/>
      <c r="E46" s="229"/>
      <c r="F46" s="554" t="e" vm="1">
        <v>#VALUE!</v>
      </c>
      <c r="G46" s="223"/>
      <c r="H46" s="458"/>
      <c r="I46" s="555"/>
      <c r="J46" s="556"/>
      <c r="K46" s="555"/>
      <c r="L46" s="556"/>
      <c r="M46" s="212"/>
      <c r="N46" s="557"/>
      <c r="O46" s="238"/>
      <c r="P46" s="557"/>
      <c r="Q46" s="223"/>
      <c r="R46" s="230"/>
    </row>
    <row r="47" spans="1:18" s="51" customFormat="1" ht="14.4" x14ac:dyDescent="0.3">
      <c r="A47" s="307"/>
      <c r="B47" s="308" t="s">
        <v>3546</v>
      </c>
      <c r="C47" s="308"/>
      <c r="D47" s="308" t="s">
        <v>3552</v>
      </c>
      <c r="E47" s="225"/>
      <c r="F47" s="308" t="s">
        <v>6533</v>
      </c>
      <c r="G47" s="223"/>
      <c r="H47" s="458"/>
      <c r="I47" s="555"/>
      <c r="J47" s="308" t="s">
        <v>926</v>
      </c>
      <c r="K47" s="558"/>
      <c r="L47" s="308" t="s">
        <v>900</v>
      </c>
      <c r="M47" s="212"/>
      <c r="N47" s="308" t="s">
        <v>926</v>
      </c>
      <c r="O47" s="308"/>
      <c r="P47" s="308" t="s">
        <v>900</v>
      </c>
      <c r="Q47" s="223"/>
      <c r="R47" s="230"/>
    </row>
    <row r="48" spans="1:18" s="51" customFormat="1" ht="15.6" x14ac:dyDescent="0.3">
      <c r="A48" s="223"/>
      <c r="B48" s="223"/>
      <c r="C48" s="223"/>
      <c r="D48" s="224"/>
      <c r="E48" s="225"/>
      <c r="F48" s="223"/>
      <c r="G48" s="223"/>
      <c r="H48" s="458"/>
      <c r="I48" s="226"/>
      <c r="J48" s="223"/>
      <c r="K48" s="227"/>
      <c r="L48" s="237"/>
      <c r="M48" s="212"/>
      <c r="N48" s="559"/>
      <c r="O48" s="559"/>
      <c r="P48" s="559"/>
      <c r="Q48" s="223"/>
      <c r="R48" s="230"/>
    </row>
    <row r="49" spans="1:18" s="51" customFormat="1" ht="16.95" customHeight="1" x14ac:dyDescent="0.3">
      <c r="A49" s="212"/>
      <c r="B49" s="212"/>
      <c r="C49" s="212"/>
      <c r="D49" s="212"/>
      <c r="E49" s="212"/>
      <c r="F49" s="212"/>
      <c r="G49" s="212"/>
      <c r="H49" s="458"/>
      <c r="I49" s="212"/>
      <c r="J49" s="212"/>
      <c r="K49" s="213"/>
      <c r="L49" s="212"/>
      <c r="M49" s="212"/>
      <c r="N49" s="212"/>
      <c r="O49" s="212"/>
      <c r="P49" s="212"/>
      <c r="Q49" s="212"/>
      <c r="R49" s="215"/>
    </row>
    <row r="50" spans="1:18" s="51" customFormat="1" ht="15" customHeight="1" x14ac:dyDescent="0.3">
      <c r="A50" s="619" t="str">
        <f>texty!A253</f>
        <v>system GM 18 (kombinacja PW 18 mm i szkła) (bezramowe)</v>
      </c>
      <c r="B50" s="619"/>
      <c r="C50" s="619"/>
      <c r="D50" s="619"/>
      <c r="E50" s="619"/>
      <c r="F50" s="619"/>
      <c r="G50" s="223"/>
      <c r="H50" s="458"/>
      <c r="I50" s="212"/>
      <c r="J50" s="212"/>
      <c r="K50" s="616" t="str">
        <f>texty!A222</f>
        <v> System Comfort</v>
      </c>
      <c r="L50" s="616"/>
      <c r="M50" s="616"/>
      <c r="N50" s="616"/>
      <c r="O50" s="616"/>
      <c r="P50" s="616"/>
      <c r="Q50" s="616"/>
      <c r="R50" s="215"/>
    </row>
    <row r="51" spans="1:18" s="51" customFormat="1" ht="16.5" customHeight="1" thickBot="1" x14ac:dyDescent="0.35">
      <c r="A51" s="619"/>
      <c r="B51" s="619"/>
      <c r="C51" s="619"/>
      <c r="D51" s="619"/>
      <c r="E51" s="619"/>
      <c r="F51" s="619"/>
      <c r="G51" s="223"/>
      <c r="H51" s="458"/>
      <c r="I51" s="212"/>
      <c r="J51" s="212"/>
      <c r="K51" s="616"/>
      <c r="L51" s="616"/>
      <c r="M51" s="616"/>
      <c r="N51" s="616"/>
      <c r="O51" s="616"/>
      <c r="P51" s="616"/>
      <c r="Q51" s="616"/>
      <c r="R51" s="215"/>
    </row>
    <row r="52" spans="1:18" s="51" customFormat="1" ht="106.2" customHeight="1" thickBot="1" x14ac:dyDescent="0.35">
      <c r="A52" s="223"/>
      <c r="B52" s="509"/>
      <c r="C52" s="229"/>
      <c r="D52" s="497"/>
      <c r="E52" s="223"/>
      <c r="F52" s="457" t="e" vm="1">
        <v>#VALUE!</v>
      </c>
      <c r="G52" s="223"/>
      <c r="H52" s="458"/>
      <c r="I52" s="212"/>
      <c r="J52" s="212"/>
      <c r="K52" s="225"/>
      <c r="L52" s="560"/>
      <c r="M52" s="225"/>
      <c r="N52" s="560"/>
      <c r="O52" s="225"/>
      <c r="P52" s="560"/>
      <c r="Q52" s="223"/>
      <c r="R52" s="215"/>
    </row>
    <row r="53" spans="1:18" ht="14.4" x14ac:dyDescent="0.3">
      <c r="A53" s="223"/>
      <c r="B53" s="308" t="s">
        <v>3546</v>
      </c>
      <c r="C53" s="308"/>
      <c r="D53" s="308" t="s">
        <v>3552</v>
      </c>
      <c r="E53" s="223"/>
      <c r="F53" s="308" t="s">
        <v>6533</v>
      </c>
      <c r="G53" s="223"/>
      <c r="H53" s="458"/>
      <c r="I53" s="212"/>
      <c r="J53" s="212"/>
      <c r="K53" s="229"/>
      <c r="L53" s="308" t="s">
        <v>853</v>
      </c>
      <c r="M53" s="226"/>
      <c r="N53" s="308" t="s">
        <v>855</v>
      </c>
      <c r="O53" s="226"/>
      <c r="P53" s="308" t="s">
        <v>854</v>
      </c>
      <c r="Q53" s="223"/>
      <c r="R53" s="215"/>
    </row>
    <row r="54" spans="1:18" thickBot="1" x14ac:dyDescent="0.35">
      <c r="A54" s="212"/>
      <c r="B54" s="212"/>
      <c r="C54" s="212"/>
      <c r="D54" s="212"/>
      <c r="E54" s="212"/>
      <c r="F54" s="212"/>
      <c r="G54" s="212"/>
      <c r="H54" s="212"/>
      <c r="I54" s="212"/>
      <c r="J54" s="214"/>
      <c r="K54" s="214"/>
      <c r="L54" s="214"/>
      <c r="M54" s="214"/>
      <c r="N54" s="214"/>
      <c r="O54" s="214"/>
      <c r="P54" s="214"/>
      <c r="Q54" s="214"/>
      <c r="R54" s="215"/>
    </row>
    <row r="55" spans="1:18" ht="24.75" customHeight="1" x14ac:dyDescent="0.3">
      <c r="A55" s="621" t="s">
        <v>4</v>
      </c>
      <c r="B55" s="622"/>
      <c r="C55" s="622"/>
      <c r="D55" s="622"/>
      <c r="E55" s="622"/>
      <c r="F55" s="622"/>
      <c r="G55" s="622"/>
      <c r="H55" s="622"/>
      <c r="I55" s="622"/>
      <c r="J55" s="622"/>
      <c r="K55" s="622"/>
      <c r="L55" s="622"/>
      <c r="M55" s="622"/>
      <c r="N55" s="622"/>
      <c r="O55" s="622"/>
      <c r="P55" s="622"/>
      <c r="Q55" s="622"/>
      <c r="R55" s="622"/>
    </row>
    <row r="56" spans="1:18" ht="9.75" customHeight="1" x14ac:dyDescent="0.3"/>
    <row r="57" spans="1:18" ht="17.399999999999999" x14ac:dyDescent="0.3">
      <c r="A57" s="620" t="str">
        <f>texty!A190</f>
        <v xml:space="preserve">tutaj można znaleźć inne akcesoria </v>
      </c>
      <c r="B57" s="620"/>
      <c r="C57" s="620"/>
      <c r="D57" s="620"/>
      <c r="E57" s="620"/>
      <c r="F57" s="620"/>
      <c r="G57" s="620"/>
      <c r="H57" s="620"/>
      <c r="I57" s="620"/>
      <c r="J57" s="620"/>
      <c r="K57" s="620"/>
      <c r="L57" s="620"/>
      <c r="M57" s="620"/>
      <c r="N57" s="620"/>
      <c r="O57" s="620"/>
      <c r="P57" s="620"/>
      <c r="Q57" s="620"/>
    </row>
    <row r="58" spans="1:18" ht="15" customHeight="1" x14ac:dyDescent="0.3"/>
    <row r="59" spans="1:18" ht="15" customHeight="1" x14ac:dyDescent="0.3">
      <c r="A59" s="51" t="str">
        <f>texty!A144</f>
        <v>Instrukcja:</v>
      </c>
    </row>
    <row r="60" spans="1:18" ht="15" customHeight="1" x14ac:dyDescent="0.3">
      <c r="A60" s="1" t="str">
        <f>texty!A134</f>
        <v>1. Wypełnij dane kontaktowe, możesz również podać swoją zniżkę. Dane pokażą się na poszczególnych stronach.</v>
      </c>
    </row>
    <row r="61" spans="1:18" ht="15" customHeight="1" x14ac:dyDescent="0.3">
      <c r="A61" s="1" t="str">
        <f>texty!A135</f>
        <v>2. Wybierz rączkę (kliknij na nazwę profilu pod obrazkiem)</v>
      </c>
    </row>
    <row r="62" spans="1:18" ht="15" customHeight="1" x14ac:dyDescent="0.3">
      <c r="A62" s="1" t="str">
        <f>texty!A136</f>
        <v>3. Na stronie z komponentami profilu, podaj rozmiar otworu.</v>
      </c>
    </row>
    <row r="63" spans="1:18" ht="15" customHeight="1" x14ac:dyDescent="0.3">
      <c r="A63" s="1" t="str">
        <f>texty!A137</f>
        <v xml:space="preserve">4. Napisz z ilu drzwi będzie się składać komplet. </v>
      </c>
    </row>
    <row r="64" spans="1:18" ht="15" customHeight="1" x14ac:dyDescent="0.3">
      <c r="A64" s="1" t="str">
        <f>texty!A138</f>
        <v>5. Wybierz kolor profilu (kliknij na pole z kolorem, następnie na okno ze strzałką - pojawi się lista, z której możesz wybrać kolor)</v>
      </c>
    </row>
    <row r="65" spans="1:19" ht="15" customHeight="1" x14ac:dyDescent="0.3">
      <c r="A65" s="1" t="str">
        <f>texty!A139</f>
        <v>6. Jeśli chcesz, aby drzwi były podzielone profilami, w dolnej części formularza podaj potrzebną ilość listw</v>
      </c>
    </row>
    <row r="66" spans="1:19" ht="15" customHeight="1" x14ac:dyDescent="0.3">
      <c r="A66" s="1" t="str">
        <f>texty!A140</f>
        <v>7. Przy wykorzystaniu szkła lub lustra należy dodać profil uszczelniający. Ze względu na możliwą kombinację szkła z deskami</v>
      </c>
    </row>
    <row r="67" spans="1:19" ht="15" customHeight="1" x14ac:dyDescent="0.3">
      <c r="A67" s="1" t="str">
        <f>texty!A141</f>
        <v xml:space="preserve">     nie można wcześniej określić długości uszczelki. W komplecie, długość uszczelki jest wyliczona na jedno skrzydło.</v>
      </c>
    </row>
    <row r="68" spans="1:19" ht="15" customHeight="1" x14ac:dyDescent="0.3">
      <c r="A68" s="1" t="str">
        <f>texty!A142</f>
        <v xml:space="preserve">    Długość jest obliczona również w przypadku, że cały komplet składa się tylko ze szkła / lustra.</v>
      </c>
      <c r="H68" s="190"/>
      <c r="I68" s="190"/>
      <c r="J68" s="190"/>
    </row>
    <row r="69" spans="1:19" ht="15" customHeight="1" x14ac:dyDescent="0.3">
      <c r="A69" s="1" t="str">
        <f>texty!A143</f>
        <v>8. Przy cięciu profila jest liczona szerokość cięcia 5 mm.</v>
      </c>
    </row>
    <row r="70" spans="1:19" ht="15" customHeight="1" x14ac:dyDescent="0.3"/>
    <row r="71" spans="1:19" ht="15" customHeight="1" x14ac:dyDescent="0.3">
      <c r="O71" s="561"/>
    </row>
    <row r="72" spans="1:19" ht="16.5" customHeight="1" x14ac:dyDescent="0.3">
      <c r="O72" s="561"/>
    </row>
    <row r="73" spans="1:19" ht="15" customHeight="1" x14ac:dyDescent="0.3">
      <c r="B73" s="143" t="s">
        <v>11409</v>
      </c>
      <c r="F73" s="562"/>
      <c r="G73" s="563"/>
    </row>
    <row r="74" spans="1:19" ht="15" customHeight="1" x14ac:dyDescent="0.3">
      <c r="A74" s="615" t="str">
        <f>texty!A153</f>
        <v>Na podstawie danych dostarczonych przez producenta. Szczególnie w przypadku produkcji masowej, należy najpierw przeprowadzić test. Zastrzega się możliwość wystąpienia błędów.</v>
      </c>
      <c r="B74" s="615"/>
      <c r="C74" s="615"/>
      <c r="D74" s="615"/>
      <c r="E74" s="615"/>
      <c r="F74" s="615"/>
      <c r="G74" s="615"/>
      <c r="H74" s="615"/>
      <c r="I74" s="615"/>
      <c r="J74" s="615"/>
      <c r="K74" s="615"/>
      <c r="L74" s="615"/>
      <c r="M74" s="615"/>
      <c r="N74" s="615"/>
      <c r="O74" s="615"/>
      <c r="P74" s="615"/>
      <c r="Q74" s="615"/>
      <c r="R74" s="615"/>
      <c r="S74" s="615"/>
    </row>
    <row r="75" spans="1:19" ht="15" customHeight="1" x14ac:dyDescent="0.3">
      <c r="A75" s="615"/>
      <c r="B75" s="615"/>
      <c r="C75" s="615"/>
      <c r="D75" s="615"/>
      <c r="E75" s="615"/>
      <c r="F75" s="615"/>
      <c r="G75" s="615"/>
      <c r="H75" s="615"/>
      <c r="I75" s="615"/>
      <c r="J75" s="615"/>
      <c r="K75" s="615"/>
      <c r="L75" s="615"/>
      <c r="M75" s="615"/>
      <c r="N75" s="615"/>
      <c r="O75" s="615"/>
      <c r="P75" s="615"/>
      <c r="Q75" s="615"/>
      <c r="R75" s="615"/>
      <c r="S75" s="615"/>
    </row>
    <row r="76" spans="1:19" ht="15" hidden="1" customHeight="1" x14ac:dyDescent="0.3">
      <c r="S76" s="612">
        <v>3</v>
      </c>
    </row>
    <row r="302" spans="3:9" ht="15" hidden="1" customHeight="1" x14ac:dyDescent="0.3">
      <c r="I302" s="1">
        <f>J14</f>
        <v>0</v>
      </c>
    </row>
    <row r="303" spans="3:9" ht="15" hidden="1" customHeight="1" x14ac:dyDescent="0.3">
      <c r="C303" s="1">
        <f>J14</f>
        <v>0</v>
      </c>
      <c r="D303" s="1">
        <v>276730</v>
      </c>
    </row>
  </sheetData>
  <sheetProtection algorithmName="SHA-512" hashValue="AVWiaMygDF9K92a58zEJ3YXt/KRudoMUPUMrKtRSj1BpQBqLewP39yhfZyjIGGrJGgzoCHL6UhNN5bOIKMSY4Q==" saltValue="idgnEtCWdjLhVoD1wGmrdQ==" spinCount="100000" sheet="1" objects="1" scenarios="1"/>
  <mergeCells count="29">
    <mergeCell ref="D33:N33"/>
    <mergeCell ref="A15:B15"/>
    <mergeCell ref="C15:D15"/>
    <mergeCell ref="C13:R13"/>
    <mergeCell ref="G15:R15"/>
    <mergeCell ref="A17:C17"/>
    <mergeCell ref="L17:O17"/>
    <mergeCell ref="D17:I17"/>
    <mergeCell ref="D20:I20"/>
    <mergeCell ref="M28:Q28"/>
    <mergeCell ref="A16:R16"/>
    <mergeCell ref="A22:R22"/>
    <mergeCell ref="A13:B13"/>
    <mergeCell ref="A11:C11"/>
    <mergeCell ref="A1:I3"/>
    <mergeCell ref="A9:B9"/>
    <mergeCell ref="A5:R5"/>
    <mergeCell ref="C9:R9"/>
    <mergeCell ref="A7:D7"/>
    <mergeCell ref="E7:R7"/>
    <mergeCell ref="D11:R11"/>
    <mergeCell ref="A74:S75"/>
    <mergeCell ref="K50:Q51"/>
    <mergeCell ref="A44:G44"/>
    <mergeCell ref="A50:F51"/>
    <mergeCell ref="A57:Q57"/>
    <mergeCell ref="A55:R55"/>
    <mergeCell ref="I44:L44"/>
    <mergeCell ref="N44:Q44"/>
  </mergeCells>
  <dataValidations count="1">
    <dataValidation type="list" allowBlank="1" showInputMessage="1" showErrorMessage="1" sqref="S76" xr:uid="{74930F7D-FA5A-4D8D-9130-EEC2EC7AF343}">
      <formula1>"1,2,3,4,5,6,7"</formula1>
    </dataValidation>
  </dataValidations>
  <hyperlinks>
    <hyperlink ref="D26" location="gemini!A1" display="gemini" xr:uid="{00000000-0004-0000-0400-000000000000}"/>
    <hyperlink ref="H26" location="julie!A1" display=" julie " xr:uid="{00000000-0004-0000-0400-000001000000}"/>
    <hyperlink ref="J37" location="victoria!A1" display="victoria" xr:uid="{00000000-0004-0000-0400-000002000000}"/>
    <hyperlink ref="D37" location="Faworyt!A1" display="Faworyt" xr:uid="{00000000-0004-0000-0400-000003000000}"/>
    <hyperlink ref="H37" location="'Oaza II'!barva_8" display="Oaza II" xr:uid="{00000000-0004-0000-0400-000005000000}"/>
    <hyperlink ref="L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68:J68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57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F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57:G57" location="příslušenství!A55" display="příslušenství!A55" xr:uid="{00000000-0004-0000-0400-00001C000000}"/>
    <hyperlink ref="L26" location="Fox!A1" display="Fox" xr:uid="{00000000-0004-0000-0400-000021000000}"/>
    <hyperlink ref="N47" location="'Era (bezrámový)'!barva_7" display="Era" xr:uid="{00000000-0004-0000-0400-000022000000}"/>
    <hyperlink ref="B47" location="'Prosper rám'!barva" display="Prosper GM" xr:uid="{00000000-0004-0000-0400-000026000000}"/>
    <hyperlink ref="D47" location="'Arte GM rám'!A1" display="Arte GM" xr:uid="{00000000-0004-0000-0400-000027000000}"/>
    <hyperlink ref="J47" location="'Era (rámový)'!barva_7" display="Era" xr:uid="{00000000-0004-0000-0400-000028000000}"/>
    <hyperlink ref="L47" location="'Rekord (rámový)'!barva_7" display="Rekord" xr:uid="{00000000-0004-0000-0400-00002C000000}"/>
    <hyperlink ref="L42" location="Universal!barva_8" display="Universal" xr:uid="{2720326D-AC78-4B1A-A7A7-4195E137AADC}"/>
    <hyperlink ref="F42" location="Ergo!barva_8" display="ERGO" xr:uid="{4A61A4C2-864B-4223-9B4B-32F2EDBE4FEF}"/>
    <hyperlink ref="D42" location="'Focus II'!barva_8" display="Focus 18 II" xr:uid="{8DCF408A-75CA-4AA6-9D32-504D6CAFB575}"/>
    <hyperlink ref="J42" location="Beta!barva_8" display="Beta" xr:uid="{31F731DB-689C-4529-9C27-F1E7012760B4}"/>
    <hyperlink ref="H42" location="tytan!A1" display="tytan" xr:uid="{0243BE8A-6D24-4CD7-B2D8-327B9148518B}"/>
    <hyperlink ref="N37" r:id="rId1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D31" location="Lynx!A1" display="Lynx" xr:uid="{84E73E1B-5FA1-467A-BB0B-F50F5672086E}"/>
    <hyperlink ref="F31" location="Vitara!A1" display="Vitara" xr:uid="{C02FFE69-4C3E-47BC-ABB7-0BB8007A2BCD}"/>
    <hyperlink ref="B53" location="'Prosper bezrám'!A1" display="Prosper GM" xr:uid="{EA9E4FEE-1BF2-4C2E-992B-1C6B9B3E3FEA}"/>
    <hyperlink ref="D53" location="'Arte GM bezrám'!barva" display="Arte GM" xr:uid="{78D56D23-AC2A-4F24-9C74-A87385436FC9}"/>
    <hyperlink ref="F47" location="'Porto GM rám'!barva" display="Porto GM" xr:uid="{4BFB52A3-33F1-4AF1-B88D-9208344C8E45}"/>
    <hyperlink ref="F46" location="'Porto GM rám'!barva" display="'Porto GM rám'!barva" xr:uid="{FB1FF63E-675E-466B-B3F2-043D5AA4B251}"/>
    <hyperlink ref="P47" location="'Rekord (bezrámový)'!barva_7" display="Rekord" xr:uid="{00000000-0004-0000-0400-000023000000}"/>
    <hyperlink ref="F53" location="'Porto GM bezrám'!barva" display="Porto GM" xr:uid="{1055E077-BDF2-424D-8507-4D732D9EB5EB}"/>
    <hyperlink ref="F52" location="'Porto GM bezrám'!barva" display="'Porto GM bezrám'!barva" xr:uid="{DB0CBB36-3F1C-4977-9668-8D522AF61DB8}"/>
    <hyperlink ref="D33:N33" location="'sys. 18mm'!A1" display="Výplň 18mm (dřevotříska 18mm, případně kombinace DTD + sklo / zrcadlo):" xr:uid="{3111A871-2F6F-40B4-BF58-881DE0001FAF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2"/>
  <headerFooter alignWithMargins="0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818"/>
  <sheetViews>
    <sheetView zoomScale="70" zoomScaleNormal="7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6640625" defaultRowHeight="13.2" x14ac:dyDescent="0.25"/>
  <cols>
    <col min="1" max="1" width="18.33203125" customWidth="1"/>
    <col min="2" max="2" width="51" customWidth="1"/>
    <col min="3" max="3" width="9.109375" style="85" bestFit="1" customWidth="1"/>
    <col min="4" max="4" width="42.109375" customWidth="1"/>
    <col min="5" max="5" width="15.5546875" customWidth="1"/>
    <col min="6" max="6" width="17" customWidth="1"/>
    <col min="7" max="7" width="20.33203125" customWidth="1"/>
    <col min="8" max="8" width="18.109375" style="188" customWidth="1"/>
    <col min="9" max="9" width="23.5546875" style="186" customWidth="1"/>
    <col min="10" max="10" width="22.6640625" style="85" customWidth="1"/>
    <col min="11" max="11" width="22.5546875" style="85" customWidth="1"/>
    <col min="12" max="12" width="18.6640625" bestFit="1" customWidth="1"/>
    <col min="13" max="13" width="9.109375" customWidth="1"/>
    <col min="14" max="14" width="18.6640625" bestFit="1" customWidth="1"/>
    <col min="15" max="15" width="22.88671875" customWidth="1"/>
    <col min="16" max="16" width="10.6640625" customWidth="1"/>
    <col min="17" max="17" width="10.44140625" customWidth="1"/>
    <col min="18" max="18" width="13.33203125" customWidth="1"/>
    <col min="19" max="19" width="11" customWidth="1"/>
    <col min="20" max="20" width="18.6640625" bestFit="1" customWidth="1"/>
  </cols>
  <sheetData>
    <row r="1" spans="1:16" s="82" customFormat="1" ht="41.25" customHeight="1" x14ac:dyDescent="0.25">
      <c r="A1" s="82" t="s">
        <v>8789</v>
      </c>
      <c r="B1" s="82" t="s">
        <v>14</v>
      </c>
      <c r="C1" s="84" t="s">
        <v>108</v>
      </c>
      <c r="D1" s="192" t="s">
        <v>109</v>
      </c>
      <c r="E1" s="180" t="s">
        <v>688</v>
      </c>
      <c r="F1" s="180" t="s">
        <v>689</v>
      </c>
      <c r="G1" s="180" t="s">
        <v>690</v>
      </c>
      <c r="H1" s="442" t="s">
        <v>44</v>
      </c>
      <c r="I1" s="181" t="s">
        <v>691</v>
      </c>
      <c r="J1" s="181" t="s">
        <v>692</v>
      </c>
      <c r="K1" s="181" t="s">
        <v>693</v>
      </c>
      <c r="L1" s="189" t="s">
        <v>694</v>
      </c>
      <c r="M1" s="189" t="s">
        <v>662</v>
      </c>
      <c r="N1" s="181" t="s">
        <v>1263</v>
      </c>
      <c r="O1" s="181" t="s">
        <v>8790</v>
      </c>
      <c r="P1" s="180" t="s">
        <v>8791</v>
      </c>
    </row>
    <row r="2" spans="1:16" ht="21.75" customHeight="1" x14ac:dyDescent="0.25">
      <c r="A2" s="182">
        <f>profil!S76</f>
        <v>3</v>
      </c>
      <c r="B2" s="183" t="str">
        <f>IF(A2=1,"Kč",IF(A2=2,"EUR",IF(A2=3,"zł",IF(A2=4,"Ft",IF(A2&gt;4,"EUR","chyba")))))</f>
        <v>zł</v>
      </c>
      <c r="D2" s="183"/>
      <c r="E2" s="184"/>
      <c r="F2" s="184"/>
      <c r="G2" s="184"/>
      <c r="H2" s="187"/>
      <c r="I2" s="185"/>
      <c r="J2" s="185"/>
      <c r="K2" s="185"/>
      <c r="L2" s="183"/>
      <c r="M2" s="183"/>
      <c r="N2" s="184"/>
    </row>
    <row r="3" spans="1:16" ht="14.4" x14ac:dyDescent="0.3">
      <c r="A3" s="310">
        <v>98019</v>
      </c>
      <c r="B3" t="str">
        <f>IF($A$2=1,D3,IF($A$2=2,F3,IF($A$2=3,G3,IF($A$2=4,E3,IF($A$2&gt;4,P3,"zadat jazyk")))))</f>
        <v>SEVROLL wkręt 2,5x18mm</v>
      </c>
      <c r="C3" s="185">
        <f>IF($A$2=1,H3,IF($A$2=2,I3,IF($A$2=3,J3,IF($A$2=4,K3,IF($A$2&gt;4,O3,"zadat jazyk")))))</f>
        <v>0.10996</v>
      </c>
      <c r="D3" s="407" t="s">
        <v>2720</v>
      </c>
      <c r="E3" s="407" t="s">
        <v>6148</v>
      </c>
      <c r="F3" s="407" t="s">
        <v>6149</v>
      </c>
      <c r="G3" s="407" t="s">
        <v>6150</v>
      </c>
      <c r="H3" s="460">
        <v>0.86782999999999999</v>
      </c>
      <c r="I3" s="460">
        <v>2.9409999999999999E-2</v>
      </c>
      <c r="J3" s="460">
        <v>0.10996</v>
      </c>
      <c r="K3" s="460">
        <v>11.584149999999999</v>
      </c>
      <c r="L3" s="459" t="s">
        <v>538</v>
      </c>
      <c r="M3" s="309" t="s">
        <v>571</v>
      </c>
      <c r="N3" s="182">
        <v>0.60757000000000005</v>
      </c>
      <c r="O3">
        <v>2.6179999999999998E-2</v>
      </c>
      <c r="P3" t="s">
        <v>8829</v>
      </c>
    </row>
    <row r="4" spans="1:16" ht="14.4" x14ac:dyDescent="0.3">
      <c r="A4" s="310">
        <v>223569</v>
      </c>
      <c r="B4" t="str">
        <f t="shared" ref="B4:B67" si="0">IF($A$2=1,D4,IF($A$2=2,F4,IF($A$2=3,G4,IF($A$2=4,E4,IF($A$2&gt;4,P4,"zadat jazyk")))))</f>
        <v>SEVROLL klips do szczotki przeciwkurzowej</v>
      </c>
      <c r="C4" s="185">
        <f t="shared" ref="C4:C67" si="1">IF($A$2=1,H4,IF($A$2=2,I4,IF($A$2=3,J4,IF($A$2=4,K4,IF($A$2&gt;4,O4,"zadat jazyk")))))</f>
        <v>0.23857999999999999</v>
      </c>
      <c r="D4" s="407" t="s">
        <v>3079</v>
      </c>
      <c r="E4" s="407" t="s">
        <v>6189</v>
      </c>
      <c r="F4" s="407" t="s">
        <v>6190</v>
      </c>
      <c r="G4" s="407" t="s">
        <v>6191</v>
      </c>
      <c r="H4" s="460">
        <v>2.3040099999999999</v>
      </c>
      <c r="I4" s="460">
        <v>7.8070000000000001E-2</v>
      </c>
      <c r="J4" s="460">
        <v>0.23857999999999999</v>
      </c>
      <c r="K4" s="460">
        <v>30.754100000000001</v>
      </c>
      <c r="L4" s="459" t="s">
        <v>538</v>
      </c>
      <c r="M4" s="309" t="s">
        <v>571</v>
      </c>
      <c r="N4" s="182">
        <v>1.6920500000000001</v>
      </c>
      <c r="O4">
        <v>6.4019999999999994E-2</v>
      </c>
      <c r="P4" t="s">
        <v>8830</v>
      </c>
    </row>
    <row r="5" spans="1:16" ht="14.4" x14ac:dyDescent="0.3">
      <c r="A5" s="310">
        <v>346726</v>
      </c>
      <c r="B5" t="str">
        <f t="shared" si="0"/>
        <v>SEVROLL blachowkręt Blue 6,3x45</v>
      </c>
      <c r="C5" s="185">
        <f t="shared" si="1"/>
        <v>0.52376999999999996</v>
      </c>
      <c r="D5" s="407" t="s">
        <v>3379</v>
      </c>
      <c r="E5" s="407" t="s">
        <v>6207</v>
      </c>
      <c r="F5" s="407" t="s">
        <v>6208</v>
      </c>
      <c r="G5" s="407" t="s">
        <v>6209</v>
      </c>
      <c r="H5" s="460">
        <v>4.6080500000000004</v>
      </c>
      <c r="I5" s="460">
        <v>0.15614</v>
      </c>
      <c r="J5" s="460">
        <v>0.52376999999999996</v>
      </c>
      <c r="K5" s="460">
        <v>61.50817</v>
      </c>
      <c r="L5" s="459" t="s">
        <v>538</v>
      </c>
      <c r="M5" s="309" t="s">
        <v>571</v>
      </c>
      <c r="N5" s="182">
        <v>3.0024000000000002</v>
      </c>
      <c r="O5">
        <v>0.13200000000000001</v>
      </c>
      <c r="P5" t="s">
        <v>8831</v>
      </c>
    </row>
    <row r="6" spans="1:16" ht="14.4" x14ac:dyDescent="0.3">
      <c r="A6" s="310">
        <v>89244</v>
      </c>
      <c r="B6" t="str">
        <f t="shared" si="0"/>
        <v>SEVROLL blachowkręt 6,3x32 SEVROLL i Simple</v>
      </c>
      <c r="C6" s="185">
        <f t="shared" si="1"/>
        <v>0.52500000000000002</v>
      </c>
      <c r="D6" s="407" t="s">
        <v>2673</v>
      </c>
      <c r="E6" s="407" t="s">
        <v>6145</v>
      </c>
      <c r="F6" s="407" t="s">
        <v>6146</v>
      </c>
      <c r="G6" s="407" t="s">
        <v>6147</v>
      </c>
      <c r="H6" s="460">
        <v>4.6080500000000004</v>
      </c>
      <c r="I6" s="460">
        <v>0.15614</v>
      </c>
      <c r="J6" s="460">
        <v>0.52500000000000002</v>
      </c>
      <c r="K6" s="460">
        <v>61.50817</v>
      </c>
      <c r="L6" s="459" t="s">
        <v>538</v>
      </c>
      <c r="M6" s="309" t="s">
        <v>571</v>
      </c>
      <c r="N6" s="182">
        <v>3.2665000000000002</v>
      </c>
      <c r="O6">
        <v>0.13200000000000001</v>
      </c>
      <c r="P6" t="s">
        <v>8832</v>
      </c>
    </row>
    <row r="7" spans="1:16" ht="14.4" x14ac:dyDescent="0.3">
      <c r="A7" s="310">
        <v>89063</v>
      </c>
      <c r="B7" t="str">
        <f t="shared" si="0"/>
        <v>SEVROLL pozycjoner wózka dolnego HI-TEC</v>
      </c>
      <c r="C7" s="185">
        <f t="shared" si="1"/>
        <v>1.071</v>
      </c>
      <c r="D7" s="407" t="s">
        <v>2750</v>
      </c>
      <c r="E7" s="407" t="s">
        <v>6151</v>
      </c>
      <c r="F7" s="407" t="s">
        <v>6152</v>
      </c>
      <c r="G7" s="407" t="s">
        <v>6153</v>
      </c>
      <c r="H7" s="460">
        <v>9.2160700000000002</v>
      </c>
      <c r="I7" s="460">
        <v>0.31226999999999999</v>
      </c>
      <c r="J7" s="460">
        <v>1.071</v>
      </c>
      <c r="K7" s="460">
        <v>123.01676</v>
      </c>
      <c r="L7" s="459" t="s">
        <v>538</v>
      </c>
      <c r="M7" s="309" t="s">
        <v>571</v>
      </c>
      <c r="N7" s="182">
        <v>6.5330000000000004</v>
      </c>
      <c r="O7">
        <v>0.28599999999999998</v>
      </c>
      <c r="P7" t="s">
        <v>8833</v>
      </c>
    </row>
    <row r="8" spans="1:16" ht="14.4" x14ac:dyDescent="0.3">
      <c r="A8" s="310">
        <v>252641</v>
      </c>
      <c r="B8" t="str">
        <f t="shared" si="0"/>
        <v>SEVROLL zabierak do tłumienia 11027</v>
      </c>
      <c r="C8" s="185" t="e">
        <f t="shared" si="1"/>
        <v>#N/A</v>
      </c>
      <c r="D8" s="407" t="s">
        <v>1069</v>
      </c>
      <c r="E8" s="407" t="s">
        <v>6198</v>
      </c>
      <c r="F8" s="407" t="s">
        <v>1070</v>
      </c>
      <c r="G8" s="407" t="s">
        <v>6199</v>
      </c>
      <c r="H8" s="460" t="e">
        <v>#N/A</v>
      </c>
      <c r="I8" s="460" t="e">
        <v>#N/A</v>
      </c>
      <c r="J8" s="460" t="e">
        <v>#N/A</v>
      </c>
      <c r="K8" s="460" t="e">
        <v>#N/A</v>
      </c>
      <c r="L8" s="459" t="e">
        <v>#N/A</v>
      </c>
      <c r="M8" s="309" t="s">
        <v>571</v>
      </c>
      <c r="N8" s="182">
        <v>6.5330000000000004</v>
      </c>
      <c r="O8" t="e">
        <v>#N/A</v>
      </c>
      <c r="P8" t="e">
        <v>#N/A</v>
      </c>
    </row>
    <row r="9" spans="1:16" ht="14.4" x14ac:dyDescent="0.3">
      <c r="A9" s="310">
        <v>213767</v>
      </c>
      <c r="B9" t="str">
        <f t="shared" si="0"/>
        <v>SEVROLL szczotka odbojowa z klejem 6,7x4 mm szara</v>
      </c>
      <c r="C9" s="185">
        <f t="shared" si="1"/>
        <v>1.1577</v>
      </c>
      <c r="D9" s="407" t="s">
        <v>3002</v>
      </c>
      <c r="E9" s="407" t="s">
        <v>5119</v>
      </c>
      <c r="F9" s="407" t="s">
        <v>6182</v>
      </c>
      <c r="G9" s="407" t="s">
        <v>6183</v>
      </c>
      <c r="H9" s="460">
        <v>7.8468499999999999</v>
      </c>
      <c r="I9" s="460">
        <v>0.26933000000000001</v>
      </c>
      <c r="J9" s="460">
        <v>1.1577</v>
      </c>
      <c r="K9" s="460">
        <v>102.51391</v>
      </c>
      <c r="L9" s="459" t="s">
        <v>539</v>
      </c>
      <c r="M9" s="309" t="s">
        <v>570</v>
      </c>
      <c r="N9" s="182">
        <v>7.5456200000000004</v>
      </c>
      <c r="O9">
        <v>0.26619999999999999</v>
      </c>
      <c r="P9" t="s">
        <v>8834</v>
      </c>
    </row>
    <row r="10" spans="1:16" ht="14.4" x14ac:dyDescent="0.3">
      <c r="A10" s="310">
        <v>229681</v>
      </c>
      <c r="B10" t="str">
        <f t="shared" si="0"/>
        <v>SEVROLL Simple/Blue pozycjoner wózka dolnego</v>
      </c>
      <c r="C10" s="185">
        <f t="shared" si="1"/>
        <v>1.2257</v>
      </c>
      <c r="D10" s="407" t="s">
        <v>3161</v>
      </c>
      <c r="E10" s="407" t="s">
        <v>6195</v>
      </c>
      <c r="F10" s="407" t="s">
        <v>6196</v>
      </c>
      <c r="G10" s="407" t="s">
        <v>6197</v>
      </c>
      <c r="H10" s="460">
        <v>10.75207</v>
      </c>
      <c r="I10" s="460">
        <v>0.36431999999999998</v>
      </c>
      <c r="J10" s="460">
        <v>1.2257</v>
      </c>
      <c r="K10" s="460">
        <v>143.51965000000001</v>
      </c>
      <c r="L10" s="459" t="s">
        <v>538</v>
      </c>
      <c r="M10" s="309" t="s">
        <v>571</v>
      </c>
      <c r="N10" s="182">
        <v>8.2566000000000006</v>
      </c>
      <c r="O10">
        <v>0.33</v>
      </c>
      <c r="P10" t="s">
        <v>8835</v>
      </c>
    </row>
    <row r="11" spans="1:16" ht="14.4" x14ac:dyDescent="0.3">
      <c r="A11" s="310">
        <v>224214</v>
      </c>
      <c r="B11" t="str">
        <f t="shared" si="0"/>
        <v>SEVROLL Simple/Blue pozycjoner wózka górnego</v>
      </c>
      <c r="C11" s="185">
        <f t="shared" si="1"/>
        <v>1.5743100000000001</v>
      </c>
      <c r="D11" s="407" t="s">
        <v>3126</v>
      </c>
      <c r="E11" s="407" t="s">
        <v>6192</v>
      </c>
      <c r="F11" s="407" t="s">
        <v>6193</v>
      </c>
      <c r="G11" s="407" t="s">
        <v>6194</v>
      </c>
      <c r="H11" s="460">
        <v>13.824109999999999</v>
      </c>
      <c r="I11" s="460">
        <v>0.47361999999999999</v>
      </c>
      <c r="J11" s="460">
        <v>1.5743100000000001</v>
      </c>
      <c r="K11" s="460">
        <v>184.52493999999999</v>
      </c>
      <c r="L11" s="459" t="s">
        <v>539</v>
      </c>
      <c r="M11" s="309" t="s">
        <v>571</v>
      </c>
      <c r="N11" s="182">
        <v>10.71857</v>
      </c>
      <c r="O11">
        <v>0.42152000000000001</v>
      </c>
      <c r="P11" t="s">
        <v>8836</v>
      </c>
    </row>
    <row r="12" spans="1:16" ht="14.4" x14ac:dyDescent="0.3">
      <c r="A12" s="310">
        <v>341987</v>
      </c>
      <c r="B12" t="str">
        <f t="shared" si="0"/>
        <v>SEVROLL Micra stoper (2szt w opakowaniu)</v>
      </c>
      <c r="C12" s="185">
        <f t="shared" si="1"/>
        <v>2.1215999999999999</v>
      </c>
      <c r="D12" s="407" t="s">
        <v>3347</v>
      </c>
      <c r="E12" s="407" t="s">
        <v>6205</v>
      </c>
      <c r="F12" s="407" t="s">
        <v>3347</v>
      </c>
      <c r="G12" s="407" t="s">
        <v>6206</v>
      </c>
      <c r="H12" s="460">
        <v>16.6462</v>
      </c>
      <c r="I12" s="460">
        <v>0.59852000000000005</v>
      </c>
      <c r="J12" s="460">
        <v>2.1215999999999999</v>
      </c>
      <c r="K12" s="460">
        <v>230.36161999999999</v>
      </c>
      <c r="L12" s="459" t="s">
        <v>538</v>
      </c>
      <c r="M12" s="309" t="s">
        <v>572</v>
      </c>
      <c r="N12" s="182">
        <v>12.412699999999999</v>
      </c>
      <c r="O12">
        <v>0.52800000000000002</v>
      </c>
      <c r="P12" t="s">
        <v>8837</v>
      </c>
    </row>
    <row r="13" spans="1:16" ht="14.4" x14ac:dyDescent="0.3">
      <c r="A13" s="310">
        <v>204142</v>
      </c>
      <c r="B13" t="str">
        <f t="shared" si="0"/>
        <v>OKE-szczotka odbojowa samoprzylepna 6,7x4 mm biała</v>
      </c>
      <c r="C13" s="185" t="e">
        <f t="shared" si="1"/>
        <v>#N/A</v>
      </c>
      <c r="D13" s="407" t="s">
        <v>6757</v>
      </c>
      <c r="E13" s="407" t="s">
        <v>6758</v>
      </c>
      <c r="F13" s="407" t="s">
        <v>6759</v>
      </c>
      <c r="G13" s="407" t="s">
        <v>6760</v>
      </c>
      <c r="H13" s="460" t="e">
        <v>#N/A</v>
      </c>
      <c r="I13" s="460" t="e">
        <v>#N/A</v>
      </c>
      <c r="J13" s="460" t="e">
        <v>#N/A</v>
      </c>
      <c r="K13" s="460" t="e">
        <v>#N/A</v>
      </c>
      <c r="L13" s="459" t="e">
        <v>#N/A</v>
      </c>
      <c r="M13" s="309" t="s">
        <v>570</v>
      </c>
      <c r="N13" s="182">
        <v>14.382</v>
      </c>
      <c r="O13">
        <v>0.61865999999999999</v>
      </c>
      <c r="P13" t="s">
        <v>8838</v>
      </c>
    </row>
    <row r="14" spans="1:16" ht="14.4" x14ac:dyDescent="0.3">
      <c r="A14" s="310">
        <v>212616</v>
      </c>
      <c r="B14" t="str">
        <f t="shared" si="0"/>
        <v>SEVROLL stoper do torów Hide N i M</v>
      </c>
      <c r="C14" s="185">
        <f t="shared" si="1"/>
        <v>12.1584</v>
      </c>
      <c r="D14" s="407" t="s">
        <v>2990</v>
      </c>
      <c r="E14" s="407" t="s">
        <v>6179</v>
      </c>
      <c r="F14" s="407" t="s">
        <v>6180</v>
      </c>
      <c r="G14" s="407" t="s">
        <v>6181</v>
      </c>
      <c r="H14" s="460">
        <v>75.269779999999997</v>
      </c>
      <c r="I14" s="460">
        <v>2.70635</v>
      </c>
      <c r="J14" s="460">
        <v>12.1584</v>
      </c>
      <c r="K14" s="460">
        <v>1041.6357</v>
      </c>
      <c r="L14" s="459" t="s">
        <v>538</v>
      </c>
      <c r="M14" s="309" t="s">
        <v>574</v>
      </c>
      <c r="N14" s="182">
        <v>15.0259</v>
      </c>
      <c r="O14">
        <v>2.3980000000000001</v>
      </c>
      <c r="P14" t="s">
        <v>8839</v>
      </c>
    </row>
    <row r="15" spans="1:16" ht="14.4" x14ac:dyDescent="0.3">
      <c r="A15" s="313">
        <v>221063</v>
      </c>
      <c r="B15" t="str">
        <f t="shared" si="0"/>
        <v>SEVROLL prowadnik 102 N</v>
      </c>
      <c r="C15" s="185">
        <f t="shared" si="1"/>
        <v>2.5746799999999999</v>
      </c>
      <c r="D15" s="407" t="s">
        <v>3027</v>
      </c>
      <c r="E15" s="407" t="s">
        <v>6187</v>
      </c>
      <c r="F15" s="407" t="s">
        <v>1077</v>
      </c>
      <c r="G15" s="407" t="s">
        <v>6188</v>
      </c>
      <c r="H15" s="460">
        <v>20.007210000000001</v>
      </c>
      <c r="I15" s="460">
        <v>0.75466</v>
      </c>
      <c r="J15" s="460">
        <v>2.5746799999999999</v>
      </c>
      <c r="K15" s="460">
        <v>284.76100000000002</v>
      </c>
      <c r="L15" s="459" t="s">
        <v>539</v>
      </c>
      <c r="M15" s="314" t="s">
        <v>571</v>
      </c>
      <c r="N15" s="182">
        <v>15.7765</v>
      </c>
      <c r="O15">
        <v>0.66</v>
      </c>
      <c r="P15" t="s">
        <v>8840</v>
      </c>
    </row>
    <row r="16" spans="1:16" ht="14.4" x14ac:dyDescent="0.3">
      <c r="A16" s="310">
        <v>276941</v>
      </c>
      <c r="B16" t="str">
        <f t="shared" si="0"/>
        <v>OKE-szczotka odbojowa samoprzylepna 6,7x12 mm, biała</v>
      </c>
      <c r="C16" s="185">
        <f t="shared" si="1"/>
        <v>3.5848499999999999</v>
      </c>
      <c r="D16" s="407" t="s">
        <v>6761</v>
      </c>
      <c r="E16" s="407" t="s">
        <v>6762</v>
      </c>
      <c r="F16" s="407" t="s">
        <v>6763</v>
      </c>
      <c r="G16" s="407" t="s">
        <v>6764</v>
      </c>
      <c r="H16" s="460">
        <v>22.819680000000002</v>
      </c>
      <c r="I16" s="460">
        <v>0.88353999999999999</v>
      </c>
      <c r="J16" s="460">
        <v>3.5848499999999999</v>
      </c>
      <c r="K16" s="460" t="e">
        <v>#N/A</v>
      </c>
      <c r="L16" s="459" t="s">
        <v>539</v>
      </c>
      <c r="M16" s="309" t="s">
        <v>570</v>
      </c>
      <c r="N16" s="182">
        <v>16.708500000000001</v>
      </c>
      <c r="O16">
        <v>0.68666000000000005</v>
      </c>
      <c r="P16" t="s">
        <v>8841</v>
      </c>
    </row>
    <row r="17" spans="1:16" ht="14.4" x14ac:dyDescent="0.3">
      <c r="A17" s="310">
        <v>212607</v>
      </c>
      <c r="B17" t="str">
        <f t="shared" si="0"/>
        <v>SEVROLL uszczelka bezbarwna 10/6,4mm</v>
      </c>
      <c r="C17" s="185">
        <f t="shared" si="1"/>
        <v>2.7501000000000002</v>
      </c>
      <c r="D17" s="407" t="s">
        <v>2988</v>
      </c>
      <c r="E17" s="407" t="s">
        <v>6177</v>
      </c>
      <c r="F17" s="407" t="s">
        <v>1095</v>
      </c>
      <c r="G17" s="407" t="s">
        <v>6178</v>
      </c>
      <c r="H17" s="460">
        <v>23.80818</v>
      </c>
      <c r="I17" s="460">
        <v>0.80669999999999997</v>
      </c>
      <c r="J17" s="460">
        <v>2.7501000000000002</v>
      </c>
      <c r="K17" s="460">
        <v>317.79295000000002</v>
      </c>
      <c r="L17" s="459" t="s">
        <v>538</v>
      </c>
      <c r="M17" s="309" t="s">
        <v>570</v>
      </c>
      <c r="N17" s="182">
        <v>17.639099999999999</v>
      </c>
      <c r="O17">
        <v>0.72599999999999998</v>
      </c>
      <c r="P17" t="s">
        <v>8842</v>
      </c>
    </row>
    <row r="18" spans="1:16" ht="14.4" x14ac:dyDescent="0.3">
      <c r="A18" s="310">
        <v>132953</v>
      </c>
      <c r="B18" t="str">
        <f t="shared" si="0"/>
        <v>SEVROLL uszczelka do szkła 10,1/8mm</v>
      </c>
      <c r="C18" s="185">
        <f t="shared" si="1"/>
        <v>2.7501000000000002</v>
      </c>
      <c r="D18" s="407" t="s">
        <v>2837</v>
      </c>
      <c r="E18" s="407" t="s">
        <v>6168</v>
      </c>
      <c r="F18" s="407" t="s">
        <v>6169</v>
      </c>
      <c r="G18" s="407" t="s">
        <v>6170</v>
      </c>
      <c r="H18" s="460">
        <v>23.80818</v>
      </c>
      <c r="I18" s="460">
        <v>0.80669999999999997</v>
      </c>
      <c r="J18" s="460">
        <v>2.7501000000000002</v>
      </c>
      <c r="K18" s="460">
        <v>317.79295000000002</v>
      </c>
      <c r="L18" s="459" t="s">
        <v>538</v>
      </c>
      <c r="M18" s="309" t="s">
        <v>570</v>
      </c>
      <c r="N18" s="182">
        <v>18.292400000000001</v>
      </c>
      <c r="O18">
        <v>0.72599999999999998</v>
      </c>
      <c r="P18" t="s">
        <v>8843</v>
      </c>
    </row>
    <row r="19" spans="1:16" ht="14.4" x14ac:dyDescent="0.3">
      <c r="A19" s="313">
        <v>98036</v>
      </c>
      <c r="B19" t="str">
        <f t="shared" si="0"/>
        <v>SEVROLL Exclusive odbojnik kulisty</v>
      </c>
      <c r="C19" s="185">
        <f t="shared" si="1"/>
        <v>3.99519</v>
      </c>
      <c r="D19" s="407" t="s">
        <v>2760</v>
      </c>
      <c r="E19" s="407" t="s">
        <v>6160</v>
      </c>
      <c r="F19" s="407" t="s">
        <v>6161</v>
      </c>
      <c r="G19" s="407" t="s">
        <v>6162</v>
      </c>
      <c r="H19" s="460">
        <v>31.045680000000001</v>
      </c>
      <c r="I19" s="460">
        <v>1.1710199999999999</v>
      </c>
      <c r="J19" s="460">
        <v>3.99519</v>
      </c>
      <c r="K19" s="460">
        <v>441.87027999999998</v>
      </c>
      <c r="L19" s="459" t="s">
        <v>539</v>
      </c>
      <c r="M19" s="314" t="s">
        <v>571</v>
      </c>
      <c r="N19" s="182">
        <v>18.300740000000001</v>
      </c>
      <c r="O19">
        <v>0.85799999999999998</v>
      </c>
      <c r="P19" t="s">
        <v>8844</v>
      </c>
    </row>
    <row r="20" spans="1:16" ht="14.4" x14ac:dyDescent="0.3">
      <c r="A20" s="310">
        <v>216362</v>
      </c>
      <c r="B20" t="str">
        <f t="shared" si="0"/>
        <v>SEVROLL zaślepka gumowa do toru Simple/Blue przeźroczysta</v>
      </c>
      <c r="C20" s="185">
        <f t="shared" si="1"/>
        <v>3.4045299999999998</v>
      </c>
      <c r="D20" s="407" t="s">
        <v>3017</v>
      </c>
      <c r="E20" s="407" t="s">
        <v>6184</v>
      </c>
      <c r="F20" s="407" t="s">
        <v>6185</v>
      </c>
      <c r="G20" s="407" t="s">
        <v>6186</v>
      </c>
      <c r="H20" s="460">
        <v>29.95224</v>
      </c>
      <c r="I20" s="460">
        <v>1.01488</v>
      </c>
      <c r="J20" s="460">
        <v>3.4045299999999998</v>
      </c>
      <c r="K20" s="460">
        <v>399.80439000000001</v>
      </c>
      <c r="L20" s="459" t="s">
        <v>538</v>
      </c>
      <c r="M20" s="309" t="s">
        <v>665</v>
      </c>
      <c r="N20" s="182">
        <v>24.7698</v>
      </c>
      <c r="O20">
        <v>0.90200000000000002</v>
      </c>
      <c r="P20" t="s">
        <v>8845</v>
      </c>
    </row>
    <row r="21" spans="1:16" ht="14.4" x14ac:dyDescent="0.3">
      <c r="A21" s="310">
        <v>298035</v>
      </c>
      <c r="B21" t="str">
        <f t="shared" si="0"/>
        <v>SEVROLL Fix pozycjoner wózka górnego transparentny</v>
      </c>
      <c r="C21" s="185">
        <f t="shared" si="1"/>
        <v>3.74519</v>
      </c>
      <c r="D21" s="407" t="s">
        <v>3279</v>
      </c>
      <c r="E21" s="407" t="s">
        <v>6202</v>
      </c>
      <c r="F21" s="407" t="s">
        <v>6203</v>
      </c>
      <c r="G21" s="407" t="s">
        <v>6204</v>
      </c>
      <c r="H21" s="460">
        <v>30.759650000000001</v>
      </c>
      <c r="I21" s="460">
        <v>1.0929500000000001</v>
      </c>
      <c r="J21" s="460">
        <v>3.74519</v>
      </c>
      <c r="K21" s="460">
        <v>481.81545</v>
      </c>
      <c r="L21" s="459" t="s">
        <v>538</v>
      </c>
      <c r="M21" s="309" t="s">
        <v>571</v>
      </c>
      <c r="N21" s="182">
        <v>24.825399999999998</v>
      </c>
      <c r="O21">
        <v>0.92400000000000004</v>
      </c>
      <c r="P21" t="s">
        <v>8846</v>
      </c>
    </row>
    <row r="22" spans="1:16" ht="14.4" x14ac:dyDescent="0.3">
      <c r="A22" s="310">
        <v>213808</v>
      </c>
      <c r="B22" t="e">
        <f t="shared" si="0"/>
        <v>#N/A</v>
      </c>
      <c r="C22" s="185" t="e">
        <f t="shared" si="1"/>
        <v>#N/A</v>
      </c>
      <c r="D22" s="407" t="e">
        <v>#N/A</v>
      </c>
      <c r="E22" s="407" t="e">
        <v>#N/A</v>
      </c>
      <c r="F22" s="407" t="e">
        <v>#N/A</v>
      </c>
      <c r="G22" s="407" t="e">
        <v>#N/A</v>
      </c>
      <c r="H22" s="460" t="e">
        <v>#N/A</v>
      </c>
      <c r="I22" s="460" t="e">
        <v>#N/A</v>
      </c>
      <c r="J22" s="460" t="e">
        <v>#N/A</v>
      </c>
      <c r="K22" s="460" t="e">
        <v>#N/A</v>
      </c>
      <c r="L22" s="459" t="e">
        <v>#N/A</v>
      </c>
      <c r="M22" s="309" t="s">
        <v>571</v>
      </c>
      <c r="N22" s="182">
        <v>42.464500000000001</v>
      </c>
      <c r="O22" t="e">
        <v>#N/A</v>
      </c>
      <c r="P22" t="e">
        <v>#N/A</v>
      </c>
    </row>
    <row r="23" spans="1:16" ht="14.4" x14ac:dyDescent="0.3">
      <c r="A23" s="311">
        <v>98022</v>
      </c>
      <c r="B23" t="str">
        <f t="shared" si="0"/>
        <v>Sevroll Smart wózek górny</v>
      </c>
      <c r="C23" s="185">
        <f t="shared" si="1"/>
        <v>6.7144500000000003</v>
      </c>
      <c r="D23" s="407" t="s">
        <v>2751</v>
      </c>
      <c r="E23" s="407" t="s">
        <v>6154</v>
      </c>
      <c r="F23" s="407" t="s">
        <v>6155</v>
      </c>
      <c r="G23" s="407" t="s">
        <v>6156</v>
      </c>
      <c r="H23" s="460">
        <v>46.84836</v>
      </c>
      <c r="I23" s="460">
        <v>1.58738</v>
      </c>
      <c r="J23" s="460">
        <v>6.7144500000000003</v>
      </c>
      <c r="K23" s="460">
        <v>625.33465000000001</v>
      </c>
      <c r="L23" s="459" t="s">
        <v>663</v>
      </c>
      <c r="M23" s="312" t="s">
        <v>571</v>
      </c>
      <c r="N23" s="182">
        <v>43.479199999999999</v>
      </c>
      <c r="O23">
        <v>1.496</v>
      </c>
      <c r="P23" t="s">
        <v>8847</v>
      </c>
    </row>
    <row r="24" spans="1:16" ht="14.4" x14ac:dyDescent="0.3">
      <c r="A24" s="311">
        <v>98023</v>
      </c>
      <c r="B24" t="str">
        <f t="shared" si="0"/>
        <v>Sevroll Smart wózek dolny</v>
      </c>
      <c r="C24" s="185">
        <f t="shared" si="1"/>
        <v>6.7144500000000003</v>
      </c>
      <c r="D24" s="407" t="s">
        <v>2752</v>
      </c>
      <c r="E24" s="407" t="s">
        <v>6157</v>
      </c>
      <c r="F24" s="407" t="s">
        <v>6158</v>
      </c>
      <c r="G24" s="407" t="s">
        <v>6159</v>
      </c>
      <c r="H24" s="460">
        <v>46.84836</v>
      </c>
      <c r="I24" s="460">
        <v>1.58738</v>
      </c>
      <c r="J24" s="460">
        <v>6.7144500000000003</v>
      </c>
      <c r="K24" s="460">
        <v>625.33465000000001</v>
      </c>
      <c r="L24" s="459" t="s">
        <v>539</v>
      </c>
      <c r="M24" s="312" t="s">
        <v>571</v>
      </c>
      <c r="N24" s="182">
        <v>43.479199999999999</v>
      </c>
      <c r="O24">
        <v>1.496</v>
      </c>
      <c r="P24" t="s">
        <v>8848</v>
      </c>
    </row>
    <row r="25" spans="1:16" ht="14.4" x14ac:dyDescent="0.3">
      <c r="A25" s="310">
        <v>284601</v>
      </c>
      <c r="B25" t="str">
        <f t="shared" si="0"/>
        <v>SEVROLL wózek górny Simple 18mm symetryczny L+P</v>
      </c>
      <c r="C25" s="185">
        <f t="shared" si="1"/>
        <v>7.5828699999999998</v>
      </c>
      <c r="D25" s="407" t="s">
        <v>3261</v>
      </c>
      <c r="E25" s="407" t="s">
        <v>6200</v>
      </c>
      <c r="F25" s="407" t="s">
        <v>1237</v>
      </c>
      <c r="G25" s="407" t="s">
        <v>6201</v>
      </c>
      <c r="H25" s="460">
        <v>60.943179999999998</v>
      </c>
      <c r="I25" s="460">
        <v>2.16614</v>
      </c>
      <c r="J25" s="460">
        <v>7.5828699999999998</v>
      </c>
      <c r="K25" s="460">
        <v>778.25313000000006</v>
      </c>
      <c r="L25" s="459" t="s">
        <v>540</v>
      </c>
      <c r="M25" s="309" t="s">
        <v>574</v>
      </c>
      <c r="N25" s="182">
        <v>44.285400000000003</v>
      </c>
      <c r="O25">
        <v>1.87</v>
      </c>
      <c r="P25" t="s">
        <v>8849</v>
      </c>
    </row>
    <row r="26" spans="1:16" ht="14.4" x14ac:dyDescent="0.3">
      <c r="A26" s="310">
        <v>89156</v>
      </c>
      <c r="B26" t="str">
        <f t="shared" si="0"/>
        <v>SEVROLL Micra tor górny / dolny 1,7 m, surowy</v>
      </c>
      <c r="C26" s="185">
        <f t="shared" si="1"/>
        <v>8.9485100000000006</v>
      </c>
      <c r="D26" s="407" t="s">
        <v>2652</v>
      </c>
      <c r="E26" s="407" t="s">
        <v>6142</v>
      </c>
      <c r="F26" s="407" t="s">
        <v>6143</v>
      </c>
      <c r="G26" s="407" t="s">
        <v>6144</v>
      </c>
      <c r="H26" s="460">
        <v>72.374799999999993</v>
      </c>
      <c r="I26" s="460">
        <v>2.6022599999999998</v>
      </c>
      <c r="J26" s="460">
        <v>8.9485100000000006</v>
      </c>
      <c r="K26" s="460">
        <v>1001.57265</v>
      </c>
      <c r="L26" s="459" t="s">
        <v>538</v>
      </c>
      <c r="M26" s="309" t="s">
        <v>571</v>
      </c>
      <c r="N26" s="182">
        <v>47.037599999999998</v>
      </c>
      <c r="O26">
        <v>2.42</v>
      </c>
      <c r="P26" t="s">
        <v>8850</v>
      </c>
    </row>
    <row r="27" spans="1:16" ht="14.4" x14ac:dyDescent="0.3">
      <c r="A27" s="310">
        <v>89134</v>
      </c>
      <c r="B27" t="str">
        <f t="shared" si="0"/>
        <v>SEVROLL 00102 úhelník 17x11mm 1,7m stříbrná</v>
      </c>
      <c r="C27" s="185">
        <f t="shared" si="1"/>
        <v>8.7942400000000003</v>
      </c>
      <c r="D27" s="407" t="s">
        <v>6139</v>
      </c>
      <c r="E27" s="407" t="s">
        <v>6140</v>
      </c>
      <c r="F27" s="407" t="s">
        <v>6141</v>
      </c>
      <c r="G27" s="407" t="s">
        <v>2647</v>
      </c>
      <c r="H27" s="460">
        <v>68.032300000000006</v>
      </c>
      <c r="I27" s="460">
        <v>2.4461200000000001</v>
      </c>
      <c r="J27" s="460">
        <v>8.7942400000000003</v>
      </c>
      <c r="K27" s="460">
        <v>941.47843999999998</v>
      </c>
      <c r="L27" s="459" t="s">
        <v>538</v>
      </c>
      <c r="M27" s="309" t="s">
        <v>571</v>
      </c>
      <c r="N27" s="182">
        <v>48.344200000000001</v>
      </c>
      <c r="O27">
        <v>2.31</v>
      </c>
      <c r="P27" t="s">
        <v>8851</v>
      </c>
    </row>
    <row r="28" spans="1:16" ht="14.4" x14ac:dyDescent="0.3">
      <c r="A28" s="310">
        <v>190764</v>
      </c>
      <c r="B28" t="str">
        <f t="shared" si="0"/>
        <v>SEVROLL uszczelka bezbarwna 18/4mm symetryczne</v>
      </c>
      <c r="C28" s="185">
        <f t="shared" si="1"/>
        <v>7.6425999999999998</v>
      </c>
      <c r="D28" s="407" t="s">
        <v>2928</v>
      </c>
      <c r="E28" s="407" t="s">
        <v>6171</v>
      </c>
      <c r="F28" s="407" t="s">
        <v>6172</v>
      </c>
      <c r="G28" s="407" t="s">
        <v>6173</v>
      </c>
      <c r="H28" s="460">
        <v>68.352530000000002</v>
      </c>
      <c r="I28" s="460">
        <v>2.3160099999999999</v>
      </c>
      <c r="J28" s="460">
        <v>7.6425999999999998</v>
      </c>
      <c r="K28" s="460">
        <v>912.37392</v>
      </c>
      <c r="L28" s="459" t="s">
        <v>539</v>
      </c>
      <c r="M28" s="309" t="s">
        <v>570</v>
      </c>
      <c r="N28" s="182">
        <v>51.689100000000003</v>
      </c>
      <c r="O28">
        <v>2.0521600000000002</v>
      </c>
      <c r="P28" t="s">
        <v>8852</v>
      </c>
    </row>
    <row r="29" spans="1:16" ht="14.4" x14ac:dyDescent="0.3">
      <c r="A29" s="310">
        <v>190765</v>
      </c>
      <c r="B29" t="str">
        <f t="shared" si="0"/>
        <v>SEVROLL uszczelka bezbarwna 18/8mm symetryczne</v>
      </c>
      <c r="C29" s="185">
        <f t="shared" si="1"/>
        <v>7.6425999999999998</v>
      </c>
      <c r="D29" s="407" t="s">
        <v>2929</v>
      </c>
      <c r="E29" s="407" t="s">
        <v>6174</v>
      </c>
      <c r="F29" s="407" t="s">
        <v>6175</v>
      </c>
      <c r="G29" s="407" t="s">
        <v>6176</v>
      </c>
      <c r="H29" s="460">
        <v>68.352530000000002</v>
      </c>
      <c r="I29" s="460">
        <v>2.3160099999999999</v>
      </c>
      <c r="J29" s="460">
        <v>7.6425999999999998</v>
      </c>
      <c r="K29" s="460">
        <v>912.37392</v>
      </c>
      <c r="L29" s="459" t="s">
        <v>539</v>
      </c>
      <c r="M29" s="309" t="s">
        <v>570</v>
      </c>
      <c r="N29" s="182">
        <v>51.689100000000003</v>
      </c>
      <c r="O29">
        <v>2.0521600000000002</v>
      </c>
      <c r="P29" t="s">
        <v>8853</v>
      </c>
    </row>
    <row r="30" spans="1:16" ht="14.4" x14ac:dyDescent="0.3">
      <c r="A30" s="310">
        <v>349733</v>
      </c>
      <c r="B30" t="str">
        <f t="shared" si="0"/>
        <v>SEVROLL wózek dolny Blue C system ramowy - 2 szt.</v>
      </c>
      <c r="C30" s="185">
        <f t="shared" si="1"/>
        <v>15.66916</v>
      </c>
      <c r="D30" s="407" t="s">
        <v>3385</v>
      </c>
      <c r="E30" s="407" t="s">
        <v>6210</v>
      </c>
      <c r="F30" s="407" t="s">
        <v>6211</v>
      </c>
      <c r="G30" s="407" t="s">
        <v>6212</v>
      </c>
      <c r="H30" s="460">
        <v>86.784660000000002</v>
      </c>
      <c r="I30" s="460">
        <v>2.94055</v>
      </c>
      <c r="J30" s="460">
        <v>15.66916</v>
      </c>
      <c r="K30" s="460">
        <v>1158.40705</v>
      </c>
      <c r="L30" s="459" t="s">
        <v>540</v>
      </c>
      <c r="M30" s="309" t="s">
        <v>574</v>
      </c>
      <c r="N30" s="182">
        <v>54.043199999999999</v>
      </c>
      <c r="O30">
        <v>2.4860000000000002</v>
      </c>
      <c r="P30" t="s">
        <v>8854</v>
      </c>
    </row>
    <row r="31" spans="1:16" ht="14.4" x14ac:dyDescent="0.3">
      <c r="A31" s="309" t="s">
        <v>67</v>
      </c>
      <c r="B31" t="str">
        <f t="shared" si="0"/>
        <v>SEVROLL uszczelka bezbarwna 18/4-4,5 mm asymetryczna</v>
      </c>
      <c r="C31" s="185" t="e">
        <f t="shared" si="1"/>
        <v>#N/A</v>
      </c>
      <c r="D31" s="407" t="s">
        <v>2763</v>
      </c>
      <c r="E31" s="407" t="s">
        <v>6163</v>
      </c>
      <c r="F31" s="407" t="s">
        <v>6164</v>
      </c>
      <c r="G31" s="407" t="s">
        <v>6165</v>
      </c>
      <c r="H31" s="460" t="e">
        <v>#N/A</v>
      </c>
      <c r="I31" s="460" t="e">
        <v>#N/A</v>
      </c>
      <c r="J31" s="460" t="e">
        <v>#N/A</v>
      </c>
      <c r="K31" s="460">
        <v>908.27302999999995</v>
      </c>
      <c r="L31" s="459" t="e">
        <v>#N/A</v>
      </c>
      <c r="M31" s="309" t="s">
        <v>570</v>
      </c>
      <c r="N31" s="182">
        <v>54.276159999999997</v>
      </c>
      <c r="O31">
        <v>2.0521600000000002</v>
      </c>
      <c r="P31" t="s">
        <v>8855</v>
      </c>
    </row>
    <row r="32" spans="1:16" ht="14.4" x14ac:dyDescent="0.3">
      <c r="A32" s="310">
        <v>98060</v>
      </c>
      <c r="B32" t="str">
        <f t="shared" si="0"/>
        <v>SEVROLL wózek dolny WD 18C HI-TEC</v>
      </c>
      <c r="C32" s="185" t="e">
        <f t="shared" si="1"/>
        <v>#N/A</v>
      </c>
      <c r="D32" s="407" t="s">
        <v>2770</v>
      </c>
      <c r="E32" s="407" t="s">
        <v>6166</v>
      </c>
      <c r="F32" s="407" t="s">
        <v>1103</v>
      </c>
      <c r="G32" s="407" t="s">
        <v>6167</v>
      </c>
      <c r="H32" s="460" t="e">
        <v>#N/A</v>
      </c>
      <c r="I32" s="460" t="e">
        <v>#N/A</v>
      </c>
      <c r="J32" s="460" t="e">
        <v>#N/A</v>
      </c>
      <c r="K32" s="460" t="e">
        <v>#N/A</v>
      </c>
      <c r="L32" s="459" t="e">
        <v>#N/A</v>
      </c>
      <c r="M32" s="309" t="s">
        <v>571</v>
      </c>
      <c r="N32" s="182">
        <v>56.8371</v>
      </c>
      <c r="O32">
        <v>0</v>
      </c>
      <c r="P32" t="s">
        <v>8856</v>
      </c>
    </row>
    <row r="33" spans="1:16" ht="14.4" x14ac:dyDescent="0.3">
      <c r="A33" s="310">
        <v>318812</v>
      </c>
      <c r="B33" t="str">
        <f t="shared" si="0"/>
        <v>SEVROLL wózek dolny DTD 18 mm-2 szt. + pozycjoner</v>
      </c>
      <c r="C33" s="185" t="e">
        <f t="shared" si="1"/>
        <v>#N/A</v>
      </c>
      <c r="D33" s="407" t="s">
        <v>6524</v>
      </c>
      <c r="E33" s="407" t="s">
        <v>6525</v>
      </c>
      <c r="F33" s="407" t="s">
        <v>6526</v>
      </c>
      <c r="G33" s="407" t="s">
        <v>6527</v>
      </c>
      <c r="H33" s="460" t="e">
        <v>#N/A</v>
      </c>
      <c r="I33" s="460" t="e">
        <v>#N/A</v>
      </c>
      <c r="J33" s="460" t="e">
        <v>#N/A</v>
      </c>
      <c r="K33" s="460" t="e">
        <v>#N/A</v>
      </c>
      <c r="L33" s="459" t="e">
        <v>#N/A</v>
      </c>
      <c r="M33" s="309" t="s">
        <v>572</v>
      </c>
      <c r="N33" s="182">
        <v>58.143700000000003</v>
      </c>
      <c r="O33" t="e">
        <v>#N/A</v>
      </c>
      <c r="P33" t="e">
        <v>#N/A</v>
      </c>
    </row>
    <row r="34" spans="1:16" ht="14.4" x14ac:dyDescent="0.3">
      <c r="A34" s="310">
        <v>89132</v>
      </c>
      <c r="B34" t="str">
        <f t="shared" si="0"/>
        <v>SEVROLL kątownik Mini 17x11mm 1,7m złoty</v>
      </c>
      <c r="C34" s="185">
        <f t="shared" si="1"/>
        <v>10.55925</v>
      </c>
      <c r="D34" s="407" t="s">
        <v>3574</v>
      </c>
      <c r="E34" s="407" t="s">
        <v>3575</v>
      </c>
      <c r="F34" s="407" t="s">
        <v>3576</v>
      </c>
      <c r="G34" s="407" t="s">
        <v>3577</v>
      </c>
      <c r="H34" s="460">
        <v>85.402270000000001</v>
      </c>
      <c r="I34" s="460">
        <v>3.0706699999999998</v>
      </c>
      <c r="J34" s="460">
        <v>10.55925</v>
      </c>
      <c r="K34" s="460">
        <v>1181.85564</v>
      </c>
      <c r="L34" s="459" t="s">
        <v>539</v>
      </c>
      <c r="M34" s="309" t="s">
        <v>571</v>
      </c>
      <c r="N34" s="182">
        <v>58.143700000000003</v>
      </c>
      <c r="O34">
        <v>2.7280000000000002</v>
      </c>
      <c r="P34" t="s">
        <v>8857</v>
      </c>
    </row>
    <row r="35" spans="1:16" ht="14.4" x14ac:dyDescent="0.3">
      <c r="A35" s="310">
        <v>349732</v>
      </c>
      <c r="B35" t="str">
        <f t="shared" si="0"/>
        <v>SEVROLL wózek górny Blue (do płyty laminowanej 18mm) ramowy L+P</v>
      </c>
      <c r="C35" s="185">
        <f t="shared" si="1"/>
        <v>15.244389999999999</v>
      </c>
      <c r="D35" s="407" t="s">
        <v>3384</v>
      </c>
      <c r="E35" s="407" t="s">
        <v>3578</v>
      </c>
      <c r="F35" s="407" t="s">
        <v>3579</v>
      </c>
      <c r="G35" s="407" t="s">
        <v>3580</v>
      </c>
      <c r="H35" s="460">
        <v>107.52083</v>
      </c>
      <c r="I35" s="460">
        <v>3.64316</v>
      </c>
      <c r="J35" s="460">
        <v>15.244389999999999</v>
      </c>
      <c r="K35" s="460">
        <v>1435.1946800000001</v>
      </c>
      <c r="L35" s="459" t="s">
        <v>538</v>
      </c>
      <c r="M35" s="309" t="s">
        <v>574</v>
      </c>
      <c r="N35" s="182">
        <v>60.048000000000002</v>
      </c>
      <c r="O35">
        <v>3.08</v>
      </c>
      <c r="P35" t="s">
        <v>8858</v>
      </c>
    </row>
    <row r="36" spans="1:16" ht="14.4" x14ac:dyDescent="0.3">
      <c r="A36" s="310">
        <v>89133</v>
      </c>
      <c r="B36" t="str">
        <f t="shared" si="0"/>
        <v>SEVROLL 00093 úhelník 17x11mm 1,7m oliva</v>
      </c>
      <c r="C36" s="185">
        <f t="shared" si="1"/>
        <v>10.55925</v>
      </c>
      <c r="D36" s="407" t="s">
        <v>3581</v>
      </c>
      <c r="E36" s="407" t="s">
        <v>3582</v>
      </c>
      <c r="F36" s="407" t="s">
        <v>3583</v>
      </c>
      <c r="G36" s="407" t="s">
        <v>2646</v>
      </c>
      <c r="H36" s="460">
        <v>85.402270000000001</v>
      </c>
      <c r="I36" s="460">
        <v>3.0706699999999998</v>
      </c>
      <c r="J36" s="460">
        <v>10.55925</v>
      </c>
      <c r="K36" s="460">
        <v>1181.85564</v>
      </c>
      <c r="L36" s="459" t="s">
        <v>538</v>
      </c>
      <c r="M36" s="309" t="s">
        <v>571</v>
      </c>
      <c r="N36" s="182">
        <v>60.756900000000002</v>
      </c>
      <c r="O36">
        <v>2.7280000000000002</v>
      </c>
      <c r="P36" t="s">
        <v>8859</v>
      </c>
    </row>
    <row r="37" spans="1:16" ht="14.4" x14ac:dyDescent="0.3">
      <c r="A37" s="310">
        <v>89157</v>
      </c>
      <c r="B37" t="str">
        <f t="shared" si="0"/>
        <v>SEVROLL Micra tor górny / dolny 2,35 m, surowy</v>
      </c>
      <c r="C37" s="185">
        <f t="shared" si="1"/>
        <v>12.43843</v>
      </c>
      <c r="D37" s="407" t="s">
        <v>2653</v>
      </c>
      <c r="E37" s="407" t="s">
        <v>3584</v>
      </c>
      <c r="F37" s="407" t="s">
        <v>3585</v>
      </c>
      <c r="G37" s="407" t="s">
        <v>3586</v>
      </c>
      <c r="H37" s="460">
        <v>100.60097</v>
      </c>
      <c r="I37" s="460">
        <v>3.61714</v>
      </c>
      <c r="J37" s="460">
        <v>12.43843</v>
      </c>
      <c r="K37" s="460">
        <v>1392.18614</v>
      </c>
      <c r="L37" s="459" t="s">
        <v>538</v>
      </c>
      <c r="M37" s="309" t="s">
        <v>571</v>
      </c>
      <c r="N37" s="182">
        <v>65.33</v>
      </c>
      <c r="O37">
        <v>3.3879999999999999</v>
      </c>
      <c r="P37" t="s">
        <v>8860</v>
      </c>
    </row>
    <row r="38" spans="1:16" ht="14.4" x14ac:dyDescent="0.3">
      <c r="A38" s="310">
        <v>179772</v>
      </c>
      <c r="B38" t="str">
        <f t="shared" si="0"/>
        <v>SEVROLL profil "U" do płyty laminowanej 10mm 2m srebrny</v>
      </c>
      <c r="C38" s="185" t="e">
        <f t="shared" si="1"/>
        <v>#N/A</v>
      </c>
      <c r="D38" s="407" t="s">
        <v>2909</v>
      </c>
      <c r="E38" s="407" t="s">
        <v>3587</v>
      </c>
      <c r="F38" s="407" t="s">
        <v>3588</v>
      </c>
      <c r="G38" s="407" t="s">
        <v>3589</v>
      </c>
      <c r="H38" s="460" t="e">
        <v>#N/A</v>
      </c>
      <c r="I38" s="460" t="e">
        <v>#N/A</v>
      </c>
      <c r="J38" s="460" t="e">
        <v>#N/A</v>
      </c>
      <c r="K38" s="460" t="e">
        <v>#N/A</v>
      </c>
      <c r="L38" s="459" t="e">
        <v>#N/A</v>
      </c>
      <c r="M38" s="309" t="s">
        <v>571</v>
      </c>
      <c r="N38" s="182">
        <v>67.943200000000004</v>
      </c>
      <c r="O38" t="e">
        <v>#N/A</v>
      </c>
      <c r="P38" t="e">
        <v>#N/A</v>
      </c>
    </row>
    <row r="39" spans="1:16" ht="14.4" x14ac:dyDescent="0.3">
      <c r="A39" s="310">
        <v>89137</v>
      </c>
      <c r="B39" t="str">
        <f t="shared" si="0"/>
        <v>SEVROLL kątownik 17x11mm 2,35m srebrny</v>
      </c>
      <c r="C39" s="185">
        <f t="shared" si="1"/>
        <v>12.129440000000001</v>
      </c>
      <c r="D39" s="407" t="s">
        <v>3590</v>
      </c>
      <c r="E39" s="407" t="s">
        <v>3591</v>
      </c>
      <c r="F39" s="407" t="s">
        <v>3592</v>
      </c>
      <c r="G39" s="407" t="s">
        <v>3593</v>
      </c>
      <c r="H39" s="460">
        <v>94.087239999999994</v>
      </c>
      <c r="I39" s="460">
        <v>3.3829400000000001</v>
      </c>
      <c r="J39" s="460">
        <v>12.129440000000001</v>
      </c>
      <c r="K39" s="460">
        <v>1302.0444299999999</v>
      </c>
      <c r="L39" s="459" t="s">
        <v>538</v>
      </c>
      <c r="M39" s="309" t="s">
        <v>571</v>
      </c>
      <c r="N39" s="182">
        <v>67.943200000000004</v>
      </c>
      <c r="O39">
        <v>3.2559999999999998</v>
      </c>
      <c r="P39" t="s">
        <v>8861</v>
      </c>
    </row>
    <row r="40" spans="1:16" ht="14.4" x14ac:dyDescent="0.3">
      <c r="A40" s="310">
        <v>349942</v>
      </c>
      <c r="B40" t="str">
        <f t="shared" si="0"/>
        <v>SEVROLL wózek górny Blue 10mm asymetryczny L+P</v>
      </c>
      <c r="C40" s="185">
        <f t="shared" si="1"/>
        <v>15.244389999999999</v>
      </c>
      <c r="D40" s="407" t="s">
        <v>3424</v>
      </c>
      <c r="E40" s="407" t="s">
        <v>3594</v>
      </c>
      <c r="F40" s="407" t="s">
        <v>3595</v>
      </c>
      <c r="G40" s="407" t="s">
        <v>3596</v>
      </c>
      <c r="H40" s="460">
        <v>107.52083</v>
      </c>
      <c r="I40" s="460">
        <v>3.64316</v>
      </c>
      <c r="J40" s="460">
        <v>15.244389999999999</v>
      </c>
      <c r="K40" s="460">
        <v>1435.1946800000001</v>
      </c>
      <c r="L40" s="459" t="s">
        <v>538</v>
      </c>
      <c r="M40" s="309" t="s">
        <v>574</v>
      </c>
      <c r="N40" s="182">
        <v>69.055199999999999</v>
      </c>
      <c r="O40">
        <v>3.08</v>
      </c>
      <c r="P40" t="s">
        <v>8862</v>
      </c>
    </row>
    <row r="41" spans="1:16" ht="14.4" x14ac:dyDescent="0.3">
      <c r="A41" s="310">
        <v>349734</v>
      </c>
      <c r="B41" t="str">
        <f t="shared" si="0"/>
        <v>SEVROLL wózek górny Blue (do płyty laminowanej 18mm) bezramowy L+P</v>
      </c>
      <c r="C41" s="185">
        <f t="shared" si="1"/>
        <v>12.22138</v>
      </c>
      <c r="D41" s="407" t="s">
        <v>3386</v>
      </c>
      <c r="E41" s="407" t="s">
        <v>3597</v>
      </c>
      <c r="F41" s="407" t="s">
        <v>3598</v>
      </c>
      <c r="G41" s="407" t="s">
        <v>3599</v>
      </c>
      <c r="H41" s="460">
        <v>107.52083</v>
      </c>
      <c r="I41" s="460">
        <v>3.64316</v>
      </c>
      <c r="J41" s="460">
        <v>12.22138</v>
      </c>
      <c r="K41" s="460">
        <v>1435.1946800000001</v>
      </c>
      <c r="L41" s="459" t="s">
        <v>538</v>
      </c>
      <c r="M41" s="309" t="s">
        <v>574</v>
      </c>
      <c r="N41" s="182">
        <v>69.055199999999999</v>
      </c>
      <c r="O41">
        <v>3.08</v>
      </c>
      <c r="P41" t="s">
        <v>8863</v>
      </c>
    </row>
    <row r="42" spans="1:16" ht="14.4" x14ac:dyDescent="0.3">
      <c r="A42" s="310">
        <v>276735</v>
      </c>
      <c r="B42" t="str">
        <f t="shared" si="0"/>
        <v>SEVROLL kątownik Mini 17x11 mm 1,7 m, biały połysk</v>
      </c>
      <c r="C42" s="185">
        <f t="shared" si="1"/>
        <v>12.2094</v>
      </c>
      <c r="D42" s="407" t="s">
        <v>3600</v>
      </c>
      <c r="E42" s="407" t="s">
        <v>3601</v>
      </c>
      <c r="F42" s="407" t="s">
        <v>3602</v>
      </c>
      <c r="G42" s="407" t="s">
        <v>3603</v>
      </c>
      <c r="H42" s="460">
        <v>88.297250000000005</v>
      </c>
      <c r="I42" s="460">
        <v>3.17476</v>
      </c>
      <c r="J42" s="460">
        <v>12.2094</v>
      </c>
      <c r="K42" s="460">
        <v>1221.9187199999999</v>
      </c>
      <c r="L42" s="459" t="s">
        <v>538</v>
      </c>
      <c r="M42" s="309" t="s">
        <v>571</v>
      </c>
      <c r="N42" s="182">
        <v>69.903099999999995</v>
      </c>
      <c r="O42">
        <v>3.2559999999999998</v>
      </c>
      <c r="P42" t="s">
        <v>8864</v>
      </c>
    </row>
    <row r="43" spans="1:16" ht="14.4" x14ac:dyDescent="0.3">
      <c r="A43" s="311">
        <v>340612</v>
      </c>
      <c r="B43" t="e">
        <f t="shared" si="0"/>
        <v>#N/A</v>
      </c>
      <c r="C43" s="185" t="e">
        <f t="shared" si="1"/>
        <v>#N/A</v>
      </c>
      <c r="D43" s="407" t="e">
        <v>#N/A</v>
      </c>
      <c r="E43" s="407" t="e">
        <v>#N/A</v>
      </c>
      <c r="F43" s="407" t="e">
        <v>#N/A</v>
      </c>
      <c r="G43" s="407" t="e">
        <v>#N/A</v>
      </c>
      <c r="H43" s="460" t="e">
        <v>#N/A</v>
      </c>
      <c r="I43" s="460" t="e">
        <v>#N/A</v>
      </c>
      <c r="J43" s="460" t="e">
        <v>#N/A</v>
      </c>
      <c r="K43" s="460" t="e">
        <v>#N/A</v>
      </c>
      <c r="L43" s="459" t="e">
        <v>#N/A</v>
      </c>
      <c r="M43" s="312" t="s">
        <v>572</v>
      </c>
      <c r="N43" s="182">
        <v>70.334000000000003</v>
      </c>
      <c r="O43" t="e">
        <v>#N/A</v>
      </c>
      <c r="P43" t="e">
        <v>#N/A</v>
      </c>
    </row>
    <row r="44" spans="1:16" ht="14.4" x14ac:dyDescent="0.3">
      <c r="A44" s="310">
        <v>213721</v>
      </c>
      <c r="B44" t="str">
        <f t="shared" si="0"/>
        <v>SEVROLL Profil "U" mini do płyty laminowanej 18 mm, 3 m, srebrny</v>
      </c>
      <c r="C44" s="185">
        <f t="shared" si="1"/>
        <v>12.79637</v>
      </c>
      <c r="D44" s="407" t="s">
        <v>3001</v>
      </c>
      <c r="E44" s="407" t="s">
        <v>3604</v>
      </c>
      <c r="F44" s="407" t="s">
        <v>3605</v>
      </c>
      <c r="G44" s="407" t="s">
        <v>3606</v>
      </c>
      <c r="H44" s="460">
        <v>103.49594999999999</v>
      </c>
      <c r="I44" s="460">
        <v>3.7212299999999998</v>
      </c>
      <c r="J44" s="460">
        <v>12.79637</v>
      </c>
      <c r="K44" s="460">
        <v>1432.24881</v>
      </c>
      <c r="L44" s="459" t="s">
        <v>539</v>
      </c>
      <c r="M44" s="309" t="s">
        <v>571</v>
      </c>
      <c r="N44" s="182">
        <v>71.863</v>
      </c>
      <c r="O44">
        <v>3.3</v>
      </c>
      <c r="P44" t="s">
        <v>8865</v>
      </c>
    </row>
    <row r="45" spans="1:16" ht="14.4" x14ac:dyDescent="0.3">
      <c r="A45" s="310">
        <v>89052</v>
      </c>
      <c r="B45" t="str">
        <f t="shared" si="0"/>
        <v>SEVROLL kątownik K2 Decor 1,7m jasny brąz</v>
      </c>
      <c r="C45" s="185">
        <f t="shared" si="1"/>
        <v>14.76505</v>
      </c>
      <c r="D45" s="407" t="s">
        <v>2694</v>
      </c>
      <c r="E45" s="407" t="s">
        <v>3607</v>
      </c>
      <c r="F45" s="407" t="s">
        <v>3608</v>
      </c>
      <c r="G45" s="407" t="s">
        <v>3609</v>
      </c>
      <c r="H45" s="460">
        <v>119.41843</v>
      </c>
      <c r="I45" s="460">
        <v>4.29373</v>
      </c>
      <c r="J45" s="460">
        <v>14.76505</v>
      </c>
      <c r="K45" s="460">
        <v>1652.5948699999999</v>
      </c>
      <c r="L45" s="459" t="s">
        <v>539</v>
      </c>
      <c r="M45" s="309" t="s">
        <v>571</v>
      </c>
      <c r="N45" s="182">
        <v>75.129499999999993</v>
      </c>
      <c r="O45">
        <v>3.718</v>
      </c>
      <c r="P45" t="s">
        <v>8866</v>
      </c>
    </row>
    <row r="46" spans="1:16" ht="14.4" x14ac:dyDescent="0.3">
      <c r="A46" s="310">
        <v>318656</v>
      </c>
      <c r="B46" t="str">
        <f t="shared" si="0"/>
        <v>SEVROLL maska do toru Elegant II 1,7m biały połysk</v>
      </c>
      <c r="C46" s="185">
        <f t="shared" si="1"/>
        <v>12.199199999999999</v>
      </c>
      <c r="D46" s="407" t="s">
        <v>3333</v>
      </c>
      <c r="E46" s="407" t="s">
        <v>3610</v>
      </c>
      <c r="F46" s="407" t="s">
        <v>3611</v>
      </c>
      <c r="G46" s="407" t="s">
        <v>3612</v>
      </c>
      <c r="H46" s="460">
        <v>92.639750000000006</v>
      </c>
      <c r="I46" s="460">
        <v>3.3308900000000001</v>
      </c>
      <c r="J46" s="460">
        <v>12.199199999999999</v>
      </c>
      <c r="K46" s="460">
        <v>1282.0129099999999</v>
      </c>
      <c r="L46" s="459" t="s">
        <v>538</v>
      </c>
      <c r="M46" s="309" t="s">
        <v>571</v>
      </c>
      <c r="N46" s="182">
        <v>75.782799999999995</v>
      </c>
      <c r="O46">
        <v>3.278</v>
      </c>
      <c r="P46" t="s">
        <v>8867</v>
      </c>
    </row>
    <row r="47" spans="1:16" ht="14.4" x14ac:dyDescent="0.3">
      <c r="A47" s="310">
        <v>191011</v>
      </c>
      <c r="B47" t="str">
        <f t="shared" si="0"/>
        <v>SEVROLL Micra tor górny / dolny 1,7 m oliwka</v>
      </c>
      <c r="C47" s="185">
        <f t="shared" si="1"/>
        <v>13.780720000000001</v>
      </c>
      <c r="D47" s="407" t="s">
        <v>2930</v>
      </c>
      <c r="E47" s="407" t="s">
        <v>3613</v>
      </c>
      <c r="F47" s="407" t="s">
        <v>3614</v>
      </c>
      <c r="G47" s="407" t="s">
        <v>3615</v>
      </c>
      <c r="H47" s="460">
        <v>111.45717999999999</v>
      </c>
      <c r="I47" s="460">
        <v>4.0074800000000002</v>
      </c>
      <c r="J47" s="460">
        <v>13.780720000000001</v>
      </c>
      <c r="K47" s="460">
        <v>1542.42202</v>
      </c>
      <c r="L47" s="459" t="s">
        <v>539</v>
      </c>
      <c r="M47" s="309" t="s">
        <v>571</v>
      </c>
      <c r="N47" s="182">
        <v>75.782799999999995</v>
      </c>
      <c r="O47">
        <v>3.3879999999999999</v>
      </c>
      <c r="P47" t="s">
        <v>8868</v>
      </c>
    </row>
    <row r="48" spans="1:16" ht="14.4" x14ac:dyDescent="0.3">
      <c r="A48" s="310">
        <v>343615</v>
      </c>
      <c r="B48" t="str">
        <f t="shared" si="0"/>
        <v/>
      </c>
      <c r="C48" s="185">
        <f t="shared" si="1"/>
        <v>12.5154</v>
      </c>
      <c r="D48" s="407" t="s">
        <v>3351</v>
      </c>
      <c r="E48" s="407" t="s">
        <v>3616</v>
      </c>
      <c r="F48" s="407" t="s">
        <v>3617</v>
      </c>
      <c r="G48" s="407" t="s">
        <v>68</v>
      </c>
      <c r="H48" s="460">
        <v>99.877229999999997</v>
      </c>
      <c r="I48" s="460">
        <v>3.5911200000000001</v>
      </c>
      <c r="J48" s="460">
        <v>12.5154</v>
      </c>
      <c r="K48" s="460">
        <v>1382.1701800000001</v>
      </c>
      <c r="L48" s="459" t="s">
        <v>539</v>
      </c>
      <c r="M48" s="309" t="s">
        <v>571</v>
      </c>
      <c r="N48" s="182">
        <v>77.089399999999998</v>
      </c>
      <c r="O48">
        <v>3.3660000000000001</v>
      </c>
      <c r="P48" t="s">
        <v>8869</v>
      </c>
    </row>
    <row r="49" spans="1:16" ht="14.4" x14ac:dyDescent="0.3">
      <c r="A49" s="310">
        <v>84192</v>
      </c>
      <c r="B49" t="str">
        <f t="shared" si="0"/>
        <v>SEVROLL 01135 Smart tor dolny 1,7 m, srebrny</v>
      </c>
      <c r="C49" s="185">
        <f t="shared" si="1"/>
        <v>14.2188</v>
      </c>
      <c r="D49" s="407" t="s">
        <v>2732</v>
      </c>
      <c r="E49" s="407" t="s">
        <v>3618</v>
      </c>
      <c r="F49" s="407" t="s">
        <v>3619</v>
      </c>
      <c r="G49" s="407" t="s">
        <v>3620</v>
      </c>
      <c r="H49" s="460">
        <v>108.5622</v>
      </c>
      <c r="I49" s="460">
        <v>3.9033899999999999</v>
      </c>
      <c r="J49" s="460">
        <v>14.2188</v>
      </c>
      <c r="K49" s="460">
        <v>1502.35897</v>
      </c>
      <c r="L49" s="459" t="s">
        <v>538</v>
      </c>
      <c r="M49" s="309" t="s">
        <v>571</v>
      </c>
      <c r="N49" s="182">
        <v>77.089399999999998</v>
      </c>
      <c r="O49">
        <v>3.6520000000000001</v>
      </c>
      <c r="P49" t="s">
        <v>8870</v>
      </c>
    </row>
    <row r="50" spans="1:16" ht="14.4" x14ac:dyDescent="0.3">
      <c r="A50" s="310">
        <v>135156</v>
      </c>
      <c r="B50" t="str">
        <f t="shared" si="0"/>
        <v>SEVROLL 02336 Szpros S10 3m oliwka</v>
      </c>
      <c r="C50" s="185">
        <f t="shared" si="1"/>
        <v>12.0054</v>
      </c>
      <c r="D50" s="407" t="s">
        <v>2852</v>
      </c>
      <c r="E50" s="407" t="s">
        <v>3621</v>
      </c>
      <c r="F50" s="407" t="s">
        <v>1219</v>
      </c>
      <c r="G50" s="407" t="s">
        <v>3622</v>
      </c>
      <c r="H50" s="460">
        <v>94.810980000000001</v>
      </c>
      <c r="I50" s="460">
        <v>3.40896</v>
      </c>
      <c r="J50" s="460">
        <v>12.0054</v>
      </c>
      <c r="K50" s="460">
        <v>1312.05999</v>
      </c>
      <c r="L50" s="459" t="s">
        <v>538</v>
      </c>
      <c r="M50" s="309" t="s">
        <v>571</v>
      </c>
      <c r="N50" s="182">
        <v>79.049300000000002</v>
      </c>
      <c r="O50">
        <v>3.19</v>
      </c>
      <c r="P50" t="s">
        <v>8871</v>
      </c>
    </row>
    <row r="51" spans="1:16" ht="14.4" x14ac:dyDescent="0.3">
      <c r="A51" s="310">
        <v>89050</v>
      </c>
      <c r="B51" t="str">
        <f t="shared" si="0"/>
        <v>SEVROLL 00078 úhelník K2 Decor 1,7m stříbrná</v>
      </c>
      <c r="C51" s="185">
        <f t="shared" si="1"/>
        <v>12.046200000000001</v>
      </c>
      <c r="D51" s="407" t="s">
        <v>2693</v>
      </c>
      <c r="E51" s="407" t="s">
        <v>3623</v>
      </c>
      <c r="F51" s="407" t="s">
        <v>3624</v>
      </c>
      <c r="G51" s="407" t="s">
        <v>2693</v>
      </c>
      <c r="H51" s="460">
        <v>95.534729999999996</v>
      </c>
      <c r="I51" s="460">
        <v>3.4349799999999999</v>
      </c>
      <c r="J51" s="460">
        <v>12.046200000000001</v>
      </c>
      <c r="K51" s="460">
        <v>1322.0759599999999</v>
      </c>
      <c r="L51" s="459" t="s">
        <v>538</v>
      </c>
      <c r="M51" s="309" t="s">
        <v>571</v>
      </c>
      <c r="N51" s="182">
        <v>79.049300000000002</v>
      </c>
      <c r="O51">
        <v>3.2120000000000002</v>
      </c>
      <c r="P51" t="s">
        <v>8872</v>
      </c>
    </row>
    <row r="52" spans="1:16" ht="14.4" x14ac:dyDescent="0.3">
      <c r="A52" s="310">
        <v>89150</v>
      </c>
      <c r="B52" t="str">
        <f t="shared" si="0"/>
        <v>SEVROLL Micra tor górny / dolny 1,7 m, srebrny anodowany</v>
      </c>
      <c r="C52" s="185">
        <f t="shared" si="1"/>
        <v>11.699400000000001</v>
      </c>
      <c r="D52" s="407" t="s">
        <v>2649</v>
      </c>
      <c r="E52" s="407" t="s">
        <v>3625</v>
      </c>
      <c r="F52" s="407" t="s">
        <v>1226</v>
      </c>
      <c r="G52" s="407" t="s">
        <v>3626</v>
      </c>
      <c r="H52" s="460">
        <v>93.363489999999999</v>
      </c>
      <c r="I52" s="460">
        <v>3.3569200000000001</v>
      </c>
      <c r="J52" s="460">
        <v>11.699400000000001</v>
      </c>
      <c r="K52" s="460">
        <v>1292.0288700000001</v>
      </c>
      <c r="L52" s="459" t="s">
        <v>538</v>
      </c>
      <c r="M52" s="309" t="s">
        <v>571</v>
      </c>
      <c r="N52" s="182">
        <v>79.702600000000004</v>
      </c>
      <c r="O52">
        <v>3.1459999999999999</v>
      </c>
      <c r="P52" t="s">
        <v>8873</v>
      </c>
    </row>
    <row r="53" spans="1:16" ht="14.4" x14ac:dyDescent="0.3">
      <c r="A53" s="310">
        <v>229447</v>
      </c>
      <c r="B53" t="str">
        <f t="shared" si="0"/>
        <v>SEVROLL wózek dolny Simple (bezramowy 18mm) - 2szt</v>
      </c>
      <c r="C53" s="185">
        <f t="shared" si="1"/>
        <v>13.88</v>
      </c>
      <c r="D53" s="407" t="s">
        <v>3160</v>
      </c>
      <c r="E53" s="407" t="s">
        <v>3627</v>
      </c>
      <c r="F53" s="407" t="s">
        <v>3628</v>
      </c>
      <c r="G53" s="407" t="s">
        <v>3629</v>
      </c>
      <c r="H53" s="460">
        <v>122.11295</v>
      </c>
      <c r="I53" s="460">
        <v>4.1375900000000003</v>
      </c>
      <c r="J53" s="460">
        <v>13.88</v>
      </c>
      <c r="K53" s="460">
        <v>1629.97126</v>
      </c>
      <c r="L53" s="459" t="s">
        <v>538</v>
      </c>
      <c r="M53" s="309" t="s">
        <v>574</v>
      </c>
      <c r="N53" s="182">
        <v>82.566000000000003</v>
      </c>
      <c r="O53">
        <v>3.4980000000000002</v>
      </c>
      <c r="P53" t="s">
        <v>8874</v>
      </c>
    </row>
    <row r="54" spans="1:16" ht="14.4" x14ac:dyDescent="0.3">
      <c r="A54" s="310">
        <v>89158</v>
      </c>
      <c r="B54" t="str">
        <f t="shared" si="0"/>
        <v>SEVROLL Micra tor górny / dolny 3 m, surowy</v>
      </c>
      <c r="C54" s="185">
        <f t="shared" si="1"/>
        <v>15.83888</v>
      </c>
      <c r="D54" s="407" t="s">
        <v>2654</v>
      </c>
      <c r="E54" s="407" t="s">
        <v>3630</v>
      </c>
      <c r="F54" s="407" t="s">
        <v>3631</v>
      </c>
      <c r="G54" s="407" t="s">
        <v>3632</v>
      </c>
      <c r="H54" s="460">
        <v>128.10339999999999</v>
      </c>
      <c r="I54" s="460">
        <v>4.6059999999999999</v>
      </c>
      <c r="J54" s="460">
        <v>15.83888</v>
      </c>
      <c r="K54" s="460">
        <v>1772.7836600000001</v>
      </c>
      <c r="L54" s="459" t="s">
        <v>538</v>
      </c>
      <c r="M54" s="309" t="s">
        <v>571</v>
      </c>
      <c r="N54" s="182">
        <v>82.969099999999997</v>
      </c>
      <c r="O54">
        <v>4.3120000000000003</v>
      </c>
      <c r="P54" t="s">
        <v>8875</v>
      </c>
    </row>
    <row r="55" spans="1:16" ht="14.4" x14ac:dyDescent="0.3">
      <c r="A55" s="310">
        <v>89136</v>
      </c>
      <c r="B55" t="str">
        <f t="shared" si="0"/>
        <v>SEVROLL 00094 úhelník 17x11mm 2,35m oliva</v>
      </c>
      <c r="C55" s="185">
        <f t="shared" si="1"/>
        <v>14.586069999999999</v>
      </c>
      <c r="D55" s="407" t="s">
        <v>3633</v>
      </c>
      <c r="E55" s="407" t="s">
        <v>3634</v>
      </c>
      <c r="F55" s="407" t="s">
        <v>3635</v>
      </c>
      <c r="G55" s="407" t="s">
        <v>2648</v>
      </c>
      <c r="H55" s="460">
        <v>117.97091</v>
      </c>
      <c r="I55" s="460">
        <v>4.2286700000000002</v>
      </c>
      <c r="J55" s="460">
        <v>14.586069999999999</v>
      </c>
      <c r="K55" s="460">
        <v>1632.56332</v>
      </c>
      <c r="L55" s="459" t="s">
        <v>538</v>
      </c>
      <c r="M55" s="309" t="s">
        <v>571</v>
      </c>
      <c r="N55" s="182">
        <v>84.275700000000001</v>
      </c>
      <c r="O55">
        <v>3.806</v>
      </c>
      <c r="P55" t="s">
        <v>8876</v>
      </c>
    </row>
    <row r="56" spans="1:16" ht="14.4" x14ac:dyDescent="0.3">
      <c r="A56" s="310">
        <v>89135</v>
      </c>
      <c r="B56" t="str">
        <f t="shared" si="0"/>
        <v>SEVROLL kątownik Mini 17x11mm 2,35m złoty</v>
      </c>
      <c r="C56" s="185">
        <f t="shared" si="1"/>
        <v>14.586069999999999</v>
      </c>
      <c r="D56" s="407" t="s">
        <v>3636</v>
      </c>
      <c r="E56" s="407" t="s">
        <v>3637</v>
      </c>
      <c r="F56" s="407" t="s">
        <v>3638</v>
      </c>
      <c r="G56" s="407" t="s">
        <v>3639</v>
      </c>
      <c r="H56" s="460">
        <v>117.97091</v>
      </c>
      <c r="I56" s="460">
        <v>4.2286700000000002</v>
      </c>
      <c r="J56" s="460">
        <v>14.586069999999999</v>
      </c>
      <c r="K56" s="460">
        <v>1632.56332</v>
      </c>
      <c r="L56" s="459" t="s">
        <v>539</v>
      </c>
      <c r="M56" s="309" t="s">
        <v>571</v>
      </c>
      <c r="N56" s="182">
        <v>84.275700000000001</v>
      </c>
      <c r="O56">
        <v>3.806</v>
      </c>
      <c r="P56" t="s">
        <v>8877</v>
      </c>
    </row>
    <row r="57" spans="1:16" ht="14.4" x14ac:dyDescent="0.3">
      <c r="A57" s="310">
        <v>89140</v>
      </c>
      <c r="B57" t="str">
        <f t="shared" si="0"/>
        <v>SEVROLL kątownik 17x11mm 3m srebrny</v>
      </c>
      <c r="C57" s="185">
        <f t="shared" si="1"/>
        <v>15.49611</v>
      </c>
      <c r="D57" s="407" t="s">
        <v>3640</v>
      </c>
      <c r="E57" s="407" t="s">
        <v>3641</v>
      </c>
      <c r="F57" s="407" t="s">
        <v>3642</v>
      </c>
      <c r="G57" s="407" t="s">
        <v>3643</v>
      </c>
      <c r="H57" s="460">
        <v>120.14218</v>
      </c>
      <c r="I57" s="460">
        <v>4.31975</v>
      </c>
      <c r="J57" s="460">
        <v>15.49611</v>
      </c>
      <c r="K57" s="460">
        <v>1662.61043</v>
      </c>
      <c r="L57" s="459" t="s">
        <v>538</v>
      </c>
      <c r="M57" s="309" t="s">
        <v>571</v>
      </c>
      <c r="N57" s="182">
        <v>85.582300000000004</v>
      </c>
      <c r="O57">
        <v>4.0919999999999996</v>
      </c>
      <c r="P57" t="s">
        <v>8878</v>
      </c>
    </row>
    <row r="58" spans="1:16" ht="14.4" x14ac:dyDescent="0.3">
      <c r="A58" s="310">
        <v>308595</v>
      </c>
      <c r="B58" t="str">
        <f t="shared" si="0"/>
        <v>SEVROLL profil "U" Mini do płyty laminowanej 18mm 3m jasny brąz</v>
      </c>
      <c r="C58" s="185">
        <f t="shared" si="1"/>
        <v>16.01784</v>
      </c>
      <c r="D58" s="407" t="s">
        <v>3296</v>
      </c>
      <c r="E58" s="407" t="s">
        <v>3644</v>
      </c>
      <c r="F58" s="407" t="s">
        <v>1109</v>
      </c>
      <c r="G58" s="407" t="s">
        <v>3645</v>
      </c>
      <c r="H58" s="460">
        <v>129.55089000000001</v>
      </c>
      <c r="I58" s="460">
        <v>4.6580500000000002</v>
      </c>
      <c r="J58" s="460">
        <v>16.01784</v>
      </c>
      <c r="K58" s="460">
        <v>1792.81519</v>
      </c>
      <c r="L58" s="459" t="s">
        <v>539</v>
      </c>
      <c r="M58" s="309" t="s">
        <v>571</v>
      </c>
      <c r="N58" s="182">
        <v>87.542199999999994</v>
      </c>
      <c r="O58">
        <v>4.0259999999999998</v>
      </c>
      <c r="P58" t="s">
        <v>8879</v>
      </c>
    </row>
    <row r="59" spans="1:16" ht="14.4" x14ac:dyDescent="0.3">
      <c r="A59" s="310">
        <v>345403</v>
      </c>
      <c r="B59" t="str">
        <f t="shared" si="0"/>
        <v>SEVROLL maska do toru Elegant II 1,7 m czarny szczotkowany</v>
      </c>
      <c r="C59" s="185">
        <f t="shared" si="1"/>
        <v>16.01784</v>
      </c>
      <c r="D59" s="407" t="s">
        <v>3355</v>
      </c>
      <c r="E59" s="407" t="s">
        <v>3646</v>
      </c>
      <c r="F59" s="407" t="s">
        <v>3647</v>
      </c>
      <c r="G59" s="407" t="s">
        <v>3648</v>
      </c>
      <c r="H59" s="460">
        <v>129.55089000000001</v>
      </c>
      <c r="I59" s="460">
        <v>4.6580500000000002</v>
      </c>
      <c r="J59" s="460">
        <v>16.01784</v>
      </c>
      <c r="K59" s="460">
        <v>1792.81519</v>
      </c>
      <c r="L59" s="459" t="s">
        <v>538</v>
      </c>
      <c r="M59" s="309" t="s">
        <v>571</v>
      </c>
      <c r="N59" s="182">
        <v>90.1554</v>
      </c>
      <c r="O59">
        <v>4.1360000000000001</v>
      </c>
      <c r="P59" t="s">
        <v>8880</v>
      </c>
    </row>
    <row r="60" spans="1:16" ht="14.4" x14ac:dyDescent="0.3">
      <c r="A60" s="310">
        <v>345401</v>
      </c>
      <c r="B60" t="str">
        <f t="shared" si="0"/>
        <v>SEVROLL maska do toru Elegant II 1,7m jasny brąz szczotkowany</v>
      </c>
      <c r="C60" s="185">
        <f t="shared" si="1"/>
        <v>16.01784</v>
      </c>
      <c r="D60" s="407" t="s">
        <v>3353</v>
      </c>
      <c r="E60" s="407" t="s">
        <v>3649</v>
      </c>
      <c r="F60" s="407" t="s">
        <v>3353</v>
      </c>
      <c r="G60" s="407" t="s">
        <v>3650</v>
      </c>
      <c r="H60" s="460">
        <v>129.55089000000001</v>
      </c>
      <c r="I60" s="460">
        <v>4.6580500000000002</v>
      </c>
      <c r="J60" s="460">
        <v>16.01784</v>
      </c>
      <c r="K60" s="460">
        <v>1792.81519</v>
      </c>
      <c r="L60" s="459" t="s">
        <v>538</v>
      </c>
      <c r="M60" s="309" t="s">
        <v>571</v>
      </c>
      <c r="N60" s="182">
        <v>90.1554</v>
      </c>
      <c r="O60">
        <v>4.1360000000000001</v>
      </c>
      <c r="P60" t="s">
        <v>8881</v>
      </c>
    </row>
    <row r="61" spans="1:16" ht="14.4" x14ac:dyDescent="0.3">
      <c r="A61" s="310">
        <v>345402</v>
      </c>
      <c r="B61" t="str">
        <f t="shared" si="0"/>
        <v>SEVROLL zaślepka do toru Elegant II 1,7m koniak szczotkowany</v>
      </c>
      <c r="C61" s="185">
        <f t="shared" si="1"/>
        <v>16.01784</v>
      </c>
      <c r="D61" s="407" t="s">
        <v>3354</v>
      </c>
      <c r="E61" s="407" t="s">
        <v>3651</v>
      </c>
      <c r="F61" s="407" t="s">
        <v>3354</v>
      </c>
      <c r="G61" s="407" t="s">
        <v>3652</v>
      </c>
      <c r="H61" s="460">
        <v>129.55089000000001</v>
      </c>
      <c r="I61" s="460">
        <v>4.6580500000000002</v>
      </c>
      <c r="J61" s="460">
        <v>16.01784</v>
      </c>
      <c r="K61" s="460">
        <v>1792.81519</v>
      </c>
      <c r="L61" s="459" t="s">
        <v>539</v>
      </c>
      <c r="M61" s="309" t="s">
        <v>571</v>
      </c>
      <c r="N61" s="182">
        <v>90.1554</v>
      </c>
      <c r="O61">
        <v>4.1360000000000001</v>
      </c>
      <c r="P61" t="s">
        <v>8882</v>
      </c>
    </row>
    <row r="62" spans="1:16" ht="14.4" x14ac:dyDescent="0.3">
      <c r="A62" s="310">
        <v>223392</v>
      </c>
      <c r="B62" t="str">
        <f t="shared" si="0"/>
        <v>SEVROLL kątownik K2 1,7 m czarny szczotkowany</v>
      </c>
      <c r="C62" s="185">
        <f t="shared" si="1"/>
        <v>16.82321</v>
      </c>
      <c r="D62" s="407" t="s">
        <v>3045</v>
      </c>
      <c r="E62" s="407" t="s">
        <v>3653</v>
      </c>
      <c r="F62" s="407" t="s">
        <v>3654</v>
      </c>
      <c r="G62" s="407" t="s">
        <v>3655</v>
      </c>
      <c r="H62" s="460">
        <v>136.06462999999999</v>
      </c>
      <c r="I62" s="460">
        <v>4.8922499999999998</v>
      </c>
      <c r="J62" s="460">
        <v>16.82321</v>
      </c>
      <c r="K62" s="460">
        <v>1882.95649</v>
      </c>
      <c r="L62" s="459" t="s">
        <v>539</v>
      </c>
      <c r="M62" s="309" t="s">
        <v>571</v>
      </c>
      <c r="N62" s="182">
        <v>94.075199999999995</v>
      </c>
      <c r="O62">
        <v>4.3120000000000003</v>
      </c>
      <c r="P62" t="s">
        <v>8883</v>
      </c>
    </row>
    <row r="63" spans="1:16" ht="14.4" x14ac:dyDescent="0.3">
      <c r="A63" s="310">
        <v>349736</v>
      </c>
      <c r="B63" t="str">
        <f t="shared" si="0"/>
        <v>SEVROLL wózek dolny Blue C bezramowy do 18mm - 2 szt.</v>
      </c>
      <c r="C63" s="185">
        <f t="shared" si="1"/>
        <v>16.911989999999999</v>
      </c>
      <c r="D63" s="407" t="s">
        <v>3388</v>
      </c>
      <c r="E63" s="407" t="s">
        <v>3656</v>
      </c>
      <c r="F63" s="407" t="s">
        <v>3657</v>
      </c>
      <c r="G63" s="407" t="s">
        <v>3658</v>
      </c>
      <c r="H63" s="460">
        <v>142.08112</v>
      </c>
      <c r="I63" s="460">
        <v>4.8141800000000003</v>
      </c>
      <c r="J63" s="460">
        <v>16.911989999999999</v>
      </c>
      <c r="K63" s="460">
        <v>1896.5072500000001</v>
      </c>
      <c r="L63" s="459" t="s">
        <v>540</v>
      </c>
      <c r="M63" s="309" t="s">
        <v>574</v>
      </c>
      <c r="N63" s="182">
        <v>94.575599999999994</v>
      </c>
      <c r="O63">
        <v>4.29</v>
      </c>
      <c r="P63" t="s">
        <v>8884</v>
      </c>
    </row>
    <row r="64" spans="1:16" ht="14.4" x14ac:dyDescent="0.3">
      <c r="A64" s="313">
        <v>98035</v>
      </c>
      <c r="B64" t="str">
        <f t="shared" si="0"/>
        <v>SEVROLL Exclusive odbojnik gumowy górny</v>
      </c>
      <c r="C64" s="185" t="e">
        <f t="shared" si="1"/>
        <v>#N/A</v>
      </c>
      <c r="D64" s="407" t="s">
        <v>2759</v>
      </c>
      <c r="E64" s="407" t="s">
        <v>3659</v>
      </c>
      <c r="F64" s="407" t="s">
        <v>3660</v>
      </c>
      <c r="G64" s="407" t="s">
        <v>3661</v>
      </c>
      <c r="H64" s="460" t="e">
        <v>#N/A</v>
      </c>
      <c r="I64" s="460" t="e">
        <v>#N/A</v>
      </c>
      <c r="J64" s="460" t="e">
        <v>#N/A</v>
      </c>
      <c r="K64" s="460" t="e">
        <v>#N/A</v>
      </c>
      <c r="L64" s="459" t="e">
        <v>#N/A</v>
      </c>
      <c r="M64" s="314" t="s">
        <v>571</v>
      </c>
      <c r="N64" s="182">
        <v>95.921120000000002</v>
      </c>
      <c r="O64">
        <v>3.718</v>
      </c>
      <c r="P64" t="s">
        <v>8885</v>
      </c>
    </row>
    <row r="65" spans="1:16" ht="14.4" x14ac:dyDescent="0.3">
      <c r="A65" s="310">
        <v>135157</v>
      </c>
      <c r="B65" t="str">
        <f t="shared" si="0"/>
        <v>SEVROLL Szpros S10 3m oliwka</v>
      </c>
      <c r="C65" s="185">
        <f t="shared" si="1"/>
        <v>14.675560000000001</v>
      </c>
      <c r="D65" s="407" t="s">
        <v>2853</v>
      </c>
      <c r="E65" s="407" t="s">
        <v>3662</v>
      </c>
      <c r="F65" s="407" t="s">
        <v>1220</v>
      </c>
      <c r="G65" s="407" t="s">
        <v>3663</v>
      </c>
      <c r="H65" s="460">
        <v>118.69466</v>
      </c>
      <c r="I65" s="460">
        <v>4.2677100000000001</v>
      </c>
      <c r="J65" s="460">
        <v>14.675560000000001</v>
      </c>
      <c r="K65" s="460">
        <v>1642.5792899999999</v>
      </c>
      <c r="L65" s="459" t="s">
        <v>538</v>
      </c>
      <c r="M65" s="309" t="s">
        <v>571</v>
      </c>
      <c r="N65" s="182">
        <v>96.0351</v>
      </c>
      <c r="O65">
        <v>3.8940000000000001</v>
      </c>
      <c r="P65" t="s">
        <v>8886</v>
      </c>
    </row>
    <row r="66" spans="1:16" ht="14.4" x14ac:dyDescent="0.3">
      <c r="A66" s="310">
        <v>270114</v>
      </c>
      <c r="B66" t="str">
        <f t="shared" si="0"/>
        <v>SEVROLL kątownik 10x10mm 3m srebrny</v>
      </c>
      <c r="C66" s="185">
        <f t="shared" si="1"/>
        <v>15.2898</v>
      </c>
      <c r="D66" s="407" t="s">
        <v>3209</v>
      </c>
      <c r="E66" s="407" t="s">
        <v>3664</v>
      </c>
      <c r="F66" s="407" t="s">
        <v>3665</v>
      </c>
      <c r="G66" s="407" t="s">
        <v>3666</v>
      </c>
      <c r="H66" s="460">
        <v>115.79968</v>
      </c>
      <c r="I66" s="460">
        <v>4.1636199999999999</v>
      </c>
      <c r="J66" s="460">
        <v>15.2898</v>
      </c>
      <c r="K66" s="460">
        <v>1602.5162399999999</v>
      </c>
      <c r="L66" s="459" t="s">
        <v>539</v>
      </c>
      <c r="M66" s="309" t="s">
        <v>571</v>
      </c>
      <c r="N66" s="182">
        <v>96.688400000000001</v>
      </c>
      <c r="O66">
        <v>4.1139999999999999</v>
      </c>
      <c r="P66" t="s">
        <v>8887</v>
      </c>
    </row>
    <row r="67" spans="1:16" ht="14.4" x14ac:dyDescent="0.3">
      <c r="A67" s="310">
        <v>276732</v>
      </c>
      <c r="B67" t="str">
        <f t="shared" si="0"/>
        <v>SEVROLL kątownik Mini 17x11 mm 2,35 m, biały połysk</v>
      </c>
      <c r="C67" s="185">
        <f t="shared" si="1"/>
        <v>16.901399999999999</v>
      </c>
      <c r="D67" s="407" t="s">
        <v>3667</v>
      </c>
      <c r="E67" s="407" t="s">
        <v>3668</v>
      </c>
      <c r="F67" s="407" t="s">
        <v>3669</v>
      </c>
      <c r="G67" s="407" t="s">
        <v>3670</v>
      </c>
      <c r="H67" s="460">
        <v>122.31341</v>
      </c>
      <c r="I67" s="460">
        <v>4.3978200000000003</v>
      </c>
      <c r="J67" s="460">
        <v>16.901399999999999</v>
      </c>
      <c r="K67" s="460">
        <v>1692.6579200000001</v>
      </c>
      <c r="L67" s="459" t="s">
        <v>538</v>
      </c>
      <c r="M67" s="309" t="s">
        <v>571</v>
      </c>
      <c r="N67" s="182">
        <v>97.341700000000003</v>
      </c>
      <c r="O67">
        <v>4.5540000000000003</v>
      </c>
      <c r="P67" t="s">
        <v>8888</v>
      </c>
    </row>
    <row r="68" spans="1:16" ht="14.4" x14ac:dyDescent="0.3">
      <c r="A68" s="310">
        <v>349857</v>
      </c>
      <c r="B68" t="str">
        <f t="shared" ref="B68:B131" si="2">IF($A$2=1,D68,IF($A$2=2,F68,IF($A$2=3,G68,IF($A$2=4,E68,IF($A$2&gt;4,P68,"zadat jazyk")))))</f>
        <v>SEVROLL Blue-C tor dolny 1,5m srebrny</v>
      </c>
      <c r="C68" s="185" t="e">
        <f t="shared" ref="C68:C131" si="3">IF($A$2=1,H68,IF($A$2=2,I68,IF($A$2=3,J68,IF($A$2=4,K68,IF($A$2&gt;4,O68,"zadat jazyk")))))</f>
        <v>#N/A</v>
      </c>
      <c r="D68" s="407" t="s">
        <v>3413</v>
      </c>
      <c r="E68" s="407" t="s">
        <v>3671</v>
      </c>
      <c r="F68" s="407" t="s">
        <v>3672</v>
      </c>
      <c r="G68" s="407" t="s">
        <v>3673</v>
      </c>
      <c r="H68" s="460" t="e">
        <v>#N/A</v>
      </c>
      <c r="I68" s="460" t="e">
        <v>#N/A</v>
      </c>
      <c r="J68" s="460" t="e">
        <v>#N/A</v>
      </c>
      <c r="K68" s="460" t="e">
        <v>#N/A</v>
      </c>
      <c r="L68" s="459" t="e">
        <v>#N/A</v>
      </c>
      <c r="M68" s="309" t="s">
        <v>571</v>
      </c>
      <c r="N68" s="182">
        <v>97.578000000000003</v>
      </c>
      <c r="O68">
        <v>4.7300000000000004</v>
      </c>
      <c r="P68" t="s">
        <v>8889</v>
      </c>
    </row>
    <row r="69" spans="1:16" ht="14.4" x14ac:dyDescent="0.3">
      <c r="A69" s="310">
        <v>89269</v>
      </c>
      <c r="B69" t="str">
        <f t="shared" si="2"/>
        <v>SEVROLL profil "U" do płyty laminowanej 18mm 3m srebrny</v>
      </c>
      <c r="C69" s="185">
        <f t="shared" si="3"/>
        <v>16.375779999999999</v>
      </c>
      <c r="D69" s="407" t="s">
        <v>2684</v>
      </c>
      <c r="E69" s="407" t="s">
        <v>3674</v>
      </c>
      <c r="F69" s="407" t="s">
        <v>1215</v>
      </c>
      <c r="G69" s="407" t="s">
        <v>3675</v>
      </c>
      <c r="H69" s="460">
        <v>132.44587000000001</v>
      </c>
      <c r="I69" s="460">
        <v>4.7621399999999996</v>
      </c>
      <c r="J69" s="460">
        <v>16.375779999999999</v>
      </c>
      <c r="K69" s="460">
        <v>1832.8778600000001</v>
      </c>
      <c r="L69" s="459" t="s">
        <v>538</v>
      </c>
      <c r="M69" s="309" t="s">
        <v>571</v>
      </c>
      <c r="N69" s="182">
        <v>98.648300000000006</v>
      </c>
      <c r="O69">
        <v>4.2460000000000004</v>
      </c>
      <c r="P69" t="s">
        <v>8890</v>
      </c>
    </row>
    <row r="70" spans="1:16" ht="14.4" x14ac:dyDescent="0.3">
      <c r="A70" s="310">
        <v>223326</v>
      </c>
      <c r="B70" t="str">
        <f t="shared" si="2"/>
        <v>SEVROLL kątownik K2 1,7 m  oliwka ciemna szczotkowana</v>
      </c>
      <c r="C70" s="185">
        <f t="shared" si="3"/>
        <v>16.82321</v>
      </c>
      <c r="D70" s="407" t="s">
        <v>3037</v>
      </c>
      <c r="E70" s="407" t="s">
        <v>3676</v>
      </c>
      <c r="F70" s="407" t="s">
        <v>3677</v>
      </c>
      <c r="G70" s="407" t="s">
        <v>3678</v>
      </c>
      <c r="H70" s="460">
        <v>136.06462999999999</v>
      </c>
      <c r="I70" s="460">
        <v>4.8922499999999998</v>
      </c>
      <c r="J70" s="460">
        <v>16.82321</v>
      </c>
      <c r="K70" s="460">
        <v>1882.95649</v>
      </c>
      <c r="L70" s="459" t="s">
        <v>539</v>
      </c>
      <c r="M70" s="309" t="s">
        <v>571</v>
      </c>
      <c r="N70" s="182">
        <v>98.648300000000006</v>
      </c>
      <c r="O70">
        <v>4.3120000000000003</v>
      </c>
      <c r="P70" t="s">
        <v>8891</v>
      </c>
    </row>
    <row r="71" spans="1:16" ht="14.4" x14ac:dyDescent="0.3">
      <c r="A71" s="310">
        <v>191700</v>
      </c>
      <c r="B71" t="str">
        <f t="shared" si="2"/>
        <v>SEVROLL kątownik K2 Decor 1,7 m jasny brąz szczotkowany</v>
      </c>
      <c r="C71" s="185">
        <f t="shared" si="3"/>
        <v>16.82321</v>
      </c>
      <c r="D71" s="407" t="s">
        <v>2937</v>
      </c>
      <c r="E71" s="407" t="s">
        <v>3679</v>
      </c>
      <c r="F71" s="407" t="s">
        <v>1197</v>
      </c>
      <c r="G71" s="407" t="s">
        <v>3680</v>
      </c>
      <c r="H71" s="460">
        <v>136.06462999999999</v>
      </c>
      <c r="I71" s="460">
        <v>4.8922499999999998</v>
      </c>
      <c r="J71" s="460">
        <v>16.82321</v>
      </c>
      <c r="K71" s="460">
        <v>1882.95649</v>
      </c>
      <c r="L71" s="459" t="s">
        <v>539</v>
      </c>
      <c r="M71" s="309" t="s">
        <v>571</v>
      </c>
      <c r="N71" s="182">
        <v>98.648300000000006</v>
      </c>
      <c r="O71">
        <v>4.3120000000000003</v>
      </c>
      <c r="P71" t="s">
        <v>8892</v>
      </c>
    </row>
    <row r="72" spans="1:16" ht="14.4" x14ac:dyDescent="0.3">
      <c r="A72" s="310">
        <v>349735</v>
      </c>
      <c r="B72" t="str">
        <f t="shared" si="2"/>
        <v>SEVROLL wózek dolny Blue V system bezramowy do 18mm - 2szt</v>
      </c>
      <c r="C72" s="185">
        <f t="shared" si="3"/>
        <v>17.35249</v>
      </c>
      <c r="D72" s="407" t="s">
        <v>3387</v>
      </c>
      <c r="E72" s="407" t="s">
        <v>3681</v>
      </c>
      <c r="F72" s="407" t="s">
        <v>3682</v>
      </c>
      <c r="G72" s="407" t="s">
        <v>3683</v>
      </c>
      <c r="H72" s="460">
        <v>142.08112</v>
      </c>
      <c r="I72" s="460">
        <v>4.8141800000000003</v>
      </c>
      <c r="J72" s="460">
        <v>17.35249</v>
      </c>
      <c r="K72" s="460">
        <v>1896.5072500000001</v>
      </c>
      <c r="L72" s="459" t="s">
        <v>538</v>
      </c>
      <c r="M72" s="309" t="s">
        <v>574</v>
      </c>
      <c r="N72" s="182">
        <v>99.0792</v>
      </c>
      <c r="O72">
        <v>4.29</v>
      </c>
      <c r="P72" t="s">
        <v>8893</v>
      </c>
    </row>
    <row r="73" spans="1:16" ht="14.4" x14ac:dyDescent="0.3">
      <c r="A73" s="310">
        <v>98049</v>
      </c>
      <c r="B73" t="str">
        <f t="shared" si="2"/>
        <v>SEVROLL First tor górny / dolny 1,2m jasny brąz</v>
      </c>
      <c r="C73" s="185" t="e">
        <f t="shared" si="3"/>
        <v>#N/A</v>
      </c>
      <c r="D73" s="407" t="s">
        <v>2762</v>
      </c>
      <c r="E73" s="407" t="s">
        <v>3684</v>
      </c>
      <c r="F73" s="407" t="s">
        <v>3685</v>
      </c>
      <c r="G73" s="407" t="s">
        <v>3686</v>
      </c>
      <c r="H73" s="460" t="e">
        <v>#N/A</v>
      </c>
      <c r="I73" s="460" t="e">
        <v>#N/A</v>
      </c>
      <c r="J73" s="460" t="e">
        <v>#N/A</v>
      </c>
      <c r="K73" s="460" t="e">
        <v>#N/A</v>
      </c>
      <c r="L73" s="459" t="e">
        <v>#N/A</v>
      </c>
      <c r="M73" s="309" t="s">
        <v>571</v>
      </c>
      <c r="N73" s="182">
        <v>99.301599999999993</v>
      </c>
      <c r="O73">
        <v>4.9279999999999999</v>
      </c>
      <c r="P73" t="s">
        <v>8894</v>
      </c>
    </row>
    <row r="74" spans="1:16" ht="14.4" x14ac:dyDescent="0.3">
      <c r="A74" s="310">
        <v>98032</v>
      </c>
      <c r="B74" t="str">
        <f t="shared" si="2"/>
        <v>SEVROLL First tor górny / dolny 1,2m srebrny</v>
      </c>
      <c r="C74" s="185" t="e">
        <f t="shared" si="3"/>
        <v>#N/A</v>
      </c>
      <c r="D74" s="407" t="s">
        <v>2757</v>
      </c>
      <c r="E74" s="407" t="s">
        <v>3687</v>
      </c>
      <c r="F74" s="407" t="s">
        <v>3688</v>
      </c>
      <c r="G74" s="407" t="s">
        <v>3689</v>
      </c>
      <c r="H74" s="460" t="e">
        <v>#N/A</v>
      </c>
      <c r="I74" s="460" t="e">
        <v>#N/A</v>
      </c>
      <c r="J74" s="460" t="e">
        <v>#N/A</v>
      </c>
      <c r="K74" s="460" t="e">
        <v>#N/A</v>
      </c>
      <c r="L74" s="459" t="e">
        <v>#N/A</v>
      </c>
      <c r="M74" s="309" t="s">
        <v>571</v>
      </c>
      <c r="N74" s="182">
        <v>99.301599999999993</v>
      </c>
      <c r="O74">
        <v>4.9279999999999999</v>
      </c>
      <c r="P74" t="s">
        <v>8895</v>
      </c>
    </row>
    <row r="75" spans="1:16" ht="14.4" x14ac:dyDescent="0.3">
      <c r="A75" s="310">
        <v>343616</v>
      </c>
      <c r="B75" t="str">
        <f t="shared" si="2"/>
        <v/>
      </c>
      <c r="C75" s="185">
        <f t="shared" si="3"/>
        <v>16.289400000000001</v>
      </c>
      <c r="D75" s="407" t="s">
        <v>3352</v>
      </c>
      <c r="E75" s="407" t="s">
        <v>3690</v>
      </c>
      <c r="F75" s="407" t="s">
        <v>3691</v>
      </c>
      <c r="G75" s="407" t="s">
        <v>68</v>
      </c>
      <c r="H75" s="460">
        <v>129.55089000000001</v>
      </c>
      <c r="I75" s="460">
        <v>4.66845</v>
      </c>
      <c r="J75" s="460">
        <v>16.289400000000001</v>
      </c>
      <c r="K75" s="460">
        <v>1792.81519</v>
      </c>
      <c r="L75" s="459" t="s">
        <v>539</v>
      </c>
      <c r="M75" s="309" t="s">
        <v>571</v>
      </c>
      <c r="N75" s="182">
        <v>99.954899999999995</v>
      </c>
      <c r="O75">
        <v>4.3780000000000001</v>
      </c>
      <c r="P75" t="s">
        <v>8896</v>
      </c>
    </row>
    <row r="76" spans="1:16" ht="14.4" x14ac:dyDescent="0.3">
      <c r="A76" s="310">
        <v>362316</v>
      </c>
      <c r="B76" t="str">
        <f t="shared" si="2"/>
        <v>SEVROLL 2x wózek dolny do płyty laminowanej 18mm bez pozycjonera bez sprężyny</v>
      </c>
      <c r="C76" s="185">
        <f t="shared" si="3"/>
        <v>18.35596</v>
      </c>
      <c r="D76" s="407" t="s">
        <v>3440</v>
      </c>
      <c r="E76" s="407" t="s">
        <v>3692</v>
      </c>
      <c r="F76" s="407" t="s">
        <v>3693</v>
      </c>
      <c r="G76" s="407" t="s">
        <v>3694</v>
      </c>
      <c r="H76" s="460">
        <v>145.15313</v>
      </c>
      <c r="I76" s="460">
        <v>4.9182699999999997</v>
      </c>
      <c r="J76" s="460">
        <v>18.35596</v>
      </c>
      <c r="K76" s="460">
        <v>1937.5129899999999</v>
      </c>
      <c r="L76" s="459" t="s">
        <v>538</v>
      </c>
      <c r="M76" s="309" t="s">
        <v>572</v>
      </c>
      <c r="N76" s="182">
        <v>101.9148</v>
      </c>
      <c r="O76">
        <v>4.1580000000000004</v>
      </c>
      <c r="P76" t="s">
        <v>8897</v>
      </c>
    </row>
    <row r="77" spans="1:16" ht="14.4" x14ac:dyDescent="0.3">
      <c r="A77" s="310">
        <v>179789</v>
      </c>
      <c r="B77" t="str">
        <f t="shared" si="2"/>
        <v>SEVROLL profil "U" do płyty laminowanej 10mm 3m srebrny</v>
      </c>
      <c r="C77" s="185">
        <f t="shared" si="3"/>
        <v>17.091660000000001</v>
      </c>
      <c r="D77" s="407" t="s">
        <v>2910</v>
      </c>
      <c r="E77" s="407" t="s">
        <v>3695</v>
      </c>
      <c r="F77" s="407" t="s">
        <v>3696</v>
      </c>
      <c r="G77" s="407" t="s">
        <v>3697</v>
      </c>
      <c r="H77" s="460">
        <v>138.23586</v>
      </c>
      <c r="I77" s="460">
        <v>4.9703200000000001</v>
      </c>
      <c r="J77" s="460">
        <v>17.091660000000001</v>
      </c>
      <c r="K77" s="460">
        <v>1913.0035700000001</v>
      </c>
      <c r="L77" s="459" t="s">
        <v>539</v>
      </c>
      <c r="M77" s="309" t="s">
        <v>571</v>
      </c>
      <c r="N77" s="182">
        <v>103.2214</v>
      </c>
      <c r="O77">
        <v>4.4219999999999997</v>
      </c>
      <c r="P77" t="s">
        <v>8898</v>
      </c>
    </row>
    <row r="78" spans="1:16" ht="14.4" x14ac:dyDescent="0.3">
      <c r="A78" s="310">
        <v>318659</v>
      </c>
      <c r="B78" t="str">
        <f t="shared" si="2"/>
        <v>SEVROLL maska do toru Elegant II 2,35m biały połysk</v>
      </c>
      <c r="C78" s="185">
        <f t="shared" si="3"/>
        <v>16.870799999999999</v>
      </c>
      <c r="D78" s="407" t="s">
        <v>3336</v>
      </c>
      <c r="E78" s="407" t="s">
        <v>3698</v>
      </c>
      <c r="F78" s="407" t="s">
        <v>3699</v>
      </c>
      <c r="G78" s="407" t="s">
        <v>3700</v>
      </c>
      <c r="H78" s="460">
        <v>128.10339999999999</v>
      </c>
      <c r="I78" s="460">
        <v>4.6059999999999999</v>
      </c>
      <c r="J78" s="460">
        <v>16.870799999999999</v>
      </c>
      <c r="K78" s="460">
        <v>1772.7836600000001</v>
      </c>
      <c r="L78" s="459" t="s">
        <v>538</v>
      </c>
      <c r="M78" s="309" t="s">
        <v>571</v>
      </c>
      <c r="N78" s="182">
        <v>104.52800000000001</v>
      </c>
      <c r="O78">
        <v>4.532</v>
      </c>
      <c r="P78" t="s">
        <v>8899</v>
      </c>
    </row>
    <row r="79" spans="1:16" ht="14.4" x14ac:dyDescent="0.3">
      <c r="A79" s="310">
        <v>89054</v>
      </c>
      <c r="B79" t="str">
        <f t="shared" si="2"/>
        <v>SEVROLL kątownik K2 Decor 2,35m złoty</v>
      </c>
      <c r="C79" s="185" t="e">
        <f t="shared" si="3"/>
        <v>#N/A</v>
      </c>
      <c r="D79" s="407" t="s">
        <v>2696</v>
      </c>
      <c r="E79" s="407" t="s">
        <v>3701</v>
      </c>
      <c r="F79" s="407" t="s">
        <v>1091</v>
      </c>
      <c r="G79" s="407" t="s">
        <v>3702</v>
      </c>
      <c r="H79" s="460" t="e">
        <v>#N/A</v>
      </c>
      <c r="I79" s="460" t="e">
        <v>#N/A</v>
      </c>
      <c r="J79" s="460" t="e">
        <v>#N/A</v>
      </c>
      <c r="K79" s="460" t="e">
        <v>#N/A</v>
      </c>
      <c r="L79" s="459" t="e">
        <v>#N/A</v>
      </c>
      <c r="M79" s="309" t="s">
        <v>571</v>
      </c>
      <c r="N79" s="182">
        <v>104.52800000000001</v>
      </c>
      <c r="O79" t="e">
        <v>#N/A</v>
      </c>
      <c r="P79" t="e">
        <v>#N/A</v>
      </c>
    </row>
    <row r="80" spans="1:16" ht="14.4" x14ac:dyDescent="0.3">
      <c r="A80" s="313">
        <v>308670</v>
      </c>
      <c r="B80" t="str">
        <f t="shared" si="2"/>
        <v>SEVROLL Hide M tor dolny 1,7m srebrny</v>
      </c>
      <c r="C80" s="185" t="e">
        <f t="shared" si="3"/>
        <v>#N/A</v>
      </c>
      <c r="D80" s="407" t="s">
        <v>3312</v>
      </c>
      <c r="E80" s="407" t="s">
        <v>3703</v>
      </c>
      <c r="F80" s="407" t="s">
        <v>3704</v>
      </c>
      <c r="G80" s="407" t="s">
        <v>3705</v>
      </c>
      <c r="H80" s="460" t="e">
        <v>#N/A</v>
      </c>
      <c r="I80" s="460" t="e">
        <v>#N/A</v>
      </c>
      <c r="J80" s="460" t="e">
        <v>#N/A</v>
      </c>
      <c r="K80" s="460" t="e">
        <v>#N/A</v>
      </c>
      <c r="L80" s="459" t="e">
        <v>#N/A</v>
      </c>
      <c r="M80" s="314" t="s">
        <v>571</v>
      </c>
      <c r="N80" s="182">
        <v>104.75596</v>
      </c>
      <c r="O80">
        <v>4.6420000000000003</v>
      </c>
      <c r="P80" t="s">
        <v>8900</v>
      </c>
    </row>
    <row r="81" spans="1:16" ht="14.4" x14ac:dyDescent="0.3">
      <c r="A81" s="313">
        <v>230887</v>
      </c>
      <c r="B81" t="str">
        <f t="shared" si="2"/>
        <v>SEVROLL zaślepka maskownicy toru Herkules Glas</v>
      </c>
      <c r="C81" s="185" t="e">
        <f t="shared" si="3"/>
        <v>#N/A</v>
      </c>
      <c r="D81" s="407" t="s">
        <v>3163</v>
      </c>
      <c r="E81" s="407" t="s">
        <v>3706</v>
      </c>
      <c r="F81" s="407" t="s">
        <v>3707</v>
      </c>
      <c r="G81" s="407" t="s">
        <v>3708</v>
      </c>
      <c r="H81" s="460" t="e">
        <v>#N/A</v>
      </c>
      <c r="I81" s="460" t="e">
        <v>#N/A</v>
      </c>
      <c r="J81" s="460" t="e">
        <v>#N/A</v>
      </c>
      <c r="K81" s="460" t="e">
        <v>#N/A</v>
      </c>
      <c r="L81" s="459" t="e">
        <v>#N/A</v>
      </c>
      <c r="M81" s="314" t="s">
        <v>574</v>
      </c>
      <c r="N81" s="182">
        <v>104.75596</v>
      </c>
      <c r="O81" t="e">
        <v>#N/A</v>
      </c>
      <c r="P81" t="e">
        <v>#N/A</v>
      </c>
    </row>
    <row r="82" spans="1:16" ht="14.4" x14ac:dyDescent="0.3">
      <c r="A82" s="310">
        <v>191013</v>
      </c>
      <c r="B82" t="str">
        <f t="shared" si="2"/>
        <v>SEVROLL Micra tor górny / dolny 2,35 m oliwka</v>
      </c>
      <c r="C82" s="185">
        <f t="shared" si="3"/>
        <v>19.06033</v>
      </c>
      <c r="D82" s="407" t="s">
        <v>2931</v>
      </c>
      <c r="E82" s="407" t="s">
        <v>3709</v>
      </c>
      <c r="F82" s="407" t="s">
        <v>3710</v>
      </c>
      <c r="G82" s="407" t="s">
        <v>3711</v>
      </c>
      <c r="H82" s="460">
        <v>154.15831</v>
      </c>
      <c r="I82" s="460">
        <v>5.5428100000000002</v>
      </c>
      <c r="J82" s="460">
        <v>19.06033</v>
      </c>
      <c r="K82" s="460">
        <v>2133.3496399999999</v>
      </c>
      <c r="L82" s="459" t="s">
        <v>539</v>
      </c>
      <c r="M82" s="309" t="s">
        <v>571</v>
      </c>
      <c r="N82" s="182">
        <v>105.18129999999999</v>
      </c>
      <c r="O82">
        <v>4.6859999999999999</v>
      </c>
      <c r="P82" t="s">
        <v>8901</v>
      </c>
    </row>
    <row r="83" spans="1:16" ht="14.4" x14ac:dyDescent="0.3">
      <c r="A83" s="310">
        <v>349858</v>
      </c>
      <c r="B83" t="str">
        <f t="shared" si="2"/>
        <v>SEVROLL Blue-C tor dolny 1,5m jasny brąz</v>
      </c>
      <c r="C83" s="185" t="e">
        <f t="shared" si="3"/>
        <v>#N/A</v>
      </c>
      <c r="D83" s="407" t="s">
        <v>3414</v>
      </c>
      <c r="E83" s="407" t="s">
        <v>3712</v>
      </c>
      <c r="F83" s="407" t="s">
        <v>3713</v>
      </c>
      <c r="G83" s="407" t="s">
        <v>3714</v>
      </c>
      <c r="H83" s="460" t="e">
        <v>#N/A</v>
      </c>
      <c r="I83" s="460" t="e">
        <v>#N/A</v>
      </c>
      <c r="J83" s="460" t="e">
        <v>#N/A</v>
      </c>
      <c r="K83" s="460" t="e">
        <v>#N/A</v>
      </c>
      <c r="L83" s="459" t="e">
        <v>#N/A</v>
      </c>
      <c r="M83" s="309" t="s">
        <v>571</v>
      </c>
      <c r="N83" s="182">
        <v>105.83459999999999</v>
      </c>
      <c r="O83">
        <v>5.258</v>
      </c>
      <c r="P83" t="s">
        <v>8902</v>
      </c>
    </row>
    <row r="84" spans="1:16" ht="14.4" x14ac:dyDescent="0.3">
      <c r="A84" s="310">
        <v>210529</v>
      </c>
      <c r="B84" t="e">
        <f t="shared" si="2"/>
        <v>#N/A</v>
      </c>
      <c r="C84" s="185" t="e">
        <f t="shared" si="3"/>
        <v>#N/A</v>
      </c>
      <c r="D84" s="407" t="e">
        <v>#N/A</v>
      </c>
      <c r="E84" s="407" t="e">
        <v>#N/A</v>
      </c>
      <c r="F84" s="407" t="e">
        <v>#N/A</v>
      </c>
      <c r="G84" s="407" t="e">
        <v>#N/A</v>
      </c>
      <c r="H84" s="460" t="e">
        <v>#N/A</v>
      </c>
      <c r="I84" s="460" t="e">
        <v>#N/A</v>
      </c>
      <c r="J84" s="460" t="e">
        <v>#N/A</v>
      </c>
      <c r="K84" s="460" t="e">
        <v>#N/A</v>
      </c>
      <c r="L84" s="459" t="e">
        <v>#N/A</v>
      </c>
      <c r="M84" s="309" t="s">
        <v>571</v>
      </c>
      <c r="N84" s="182">
        <v>106.4879</v>
      </c>
      <c r="O84" t="e">
        <v>#N/A</v>
      </c>
      <c r="P84" t="e">
        <v>#N/A</v>
      </c>
    </row>
    <row r="85" spans="1:16" ht="14.4" x14ac:dyDescent="0.3">
      <c r="A85" s="310">
        <v>84195</v>
      </c>
      <c r="B85" t="str">
        <f t="shared" si="2"/>
        <v>SEVROLL Smart tor dolny 2,35m srebrny</v>
      </c>
      <c r="C85" s="185">
        <f t="shared" si="3"/>
        <v>19.6554</v>
      </c>
      <c r="D85" s="407" t="s">
        <v>2734</v>
      </c>
      <c r="E85" s="407" t="s">
        <v>3715</v>
      </c>
      <c r="F85" s="407" t="s">
        <v>3716</v>
      </c>
      <c r="G85" s="407" t="s">
        <v>3717</v>
      </c>
      <c r="H85" s="460">
        <v>149.09209999999999</v>
      </c>
      <c r="I85" s="460">
        <v>5.3606600000000002</v>
      </c>
      <c r="J85" s="460">
        <v>19.6554</v>
      </c>
      <c r="K85" s="460">
        <v>2063.2394800000002</v>
      </c>
      <c r="L85" s="459" t="s">
        <v>538</v>
      </c>
      <c r="M85" s="309" t="s">
        <v>571</v>
      </c>
      <c r="N85" s="182">
        <v>106.4879</v>
      </c>
      <c r="O85">
        <v>5.016</v>
      </c>
      <c r="P85" t="s">
        <v>8903</v>
      </c>
    </row>
    <row r="86" spans="1:16" ht="14.4" x14ac:dyDescent="0.3">
      <c r="A86" s="310">
        <v>163122</v>
      </c>
      <c r="B86" t="str">
        <f t="shared" si="2"/>
        <v>SEVROLL Doubler II maskownica 1,7m srebrna</v>
      </c>
      <c r="C86" s="185">
        <f t="shared" si="3"/>
        <v>16.360800000000001</v>
      </c>
      <c r="D86" s="407" t="s">
        <v>2893</v>
      </c>
      <c r="E86" s="407" t="s">
        <v>3718</v>
      </c>
      <c r="F86" s="407" t="s">
        <v>3719</v>
      </c>
      <c r="G86" s="407" t="s">
        <v>3720</v>
      </c>
      <c r="H86" s="460">
        <v>130.99838</v>
      </c>
      <c r="I86" s="460">
        <v>4.7100900000000001</v>
      </c>
      <c r="J86" s="460">
        <v>16.360800000000001</v>
      </c>
      <c r="K86" s="460">
        <v>1812.8463300000001</v>
      </c>
      <c r="L86" s="459" t="s">
        <v>539</v>
      </c>
      <c r="M86" s="309" t="s">
        <v>571</v>
      </c>
      <c r="N86" s="182">
        <v>107.7945</v>
      </c>
      <c r="O86">
        <v>4.4000000000000004</v>
      </c>
      <c r="P86" t="s">
        <v>8904</v>
      </c>
    </row>
    <row r="87" spans="1:16" ht="14.4" x14ac:dyDescent="0.3">
      <c r="A87" s="310">
        <v>89139</v>
      </c>
      <c r="B87" t="str">
        <f t="shared" si="2"/>
        <v>SEVROLL kątownik 17x11mm 3m jasny brąz</v>
      </c>
      <c r="C87" s="185">
        <f t="shared" si="3"/>
        <v>18.523420000000002</v>
      </c>
      <c r="D87" s="407" t="s">
        <v>3721</v>
      </c>
      <c r="E87" s="407" t="s">
        <v>3722</v>
      </c>
      <c r="F87" s="407" t="s">
        <v>3723</v>
      </c>
      <c r="G87" s="407" t="s">
        <v>3724</v>
      </c>
      <c r="H87" s="460">
        <v>149.81584000000001</v>
      </c>
      <c r="I87" s="460">
        <v>5.3866800000000001</v>
      </c>
      <c r="J87" s="460">
        <v>18.523420000000002</v>
      </c>
      <c r="K87" s="460">
        <v>2073.2554399999999</v>
      </c>
      <c r="L87" s="459" t="s">
        <v>538</v>
      </c>
      <c r="M87" s="309" t="s">
        <v>571</v>
      </c>
      <c r="N87" s="182">
        <v>108.4478</v>
      </c>
      <c r="O87">
        <v>4.8840000000000003</v>
      </c>
      <c r="P87" t="s">
        <v>8905</v>
      </c>
    </row>
    <row r="88" spans="1:16" ht="14.4" x14ac:dyDescent="0.3">
      <c r="A88" s="310">
        <v>89138</v>
      </c>
      <c r="B88" t="str">
        <f t="shared" si="2"/>
        <v>SEVROLL kątownik Mini 17x11mm 3m złoty</v>
      </c>
      <c r="C88" s="185">
        <f t="shared" si="3"/>
        <v>18.523420000000002</v>
      </c>
      <c r="D88" s="407" t="s">
        <v>3725</v>
      </c>
      <c r="E88" s="407" t="s">
        <v>3726</v>
      </c>
      <c r="F88" s="407" t="s">
        <v>3727</v>
      </c>
      <c r="G88" s="407" t="s">
        <v>3728</v>
      </c>
      <c r="H88" s="460">
        <v>149.81584000000001</v>
      </c>
      <c r="I88" s="460">
        <v>5.3866800000000001</v>
      </c>
      <c r="J88" s="460">
        <v>18.523420000000002</v>
      </c>
      <c r="K88" s="460">
        <v>2073.2554399999999</v>
      </c>
      <c r="L88" s="459" t="s">
        <v>539</v>
      </c>
      <c r="M88" s="309" t="s">
        <v>571</v>
      </c>
      <c r="N88" s="182">
        <v>108.4478</v>
      </c>
      <c r="O88">
        <v>4.8840000000000003</v>
      </c>
      <c r="P88" t="s">
        <v>8906</v>
      </c>
    </row>
    <row r="89" spans="1:16" ht="14.4" x14ac:dyDescent="0.3">
      <c r="A89" s="310">
        <v>89055</v>
      </c>
      <c r="B89" t="str">
        <f t="shared" si="2"/>
        <v>SEVROLL 00070 úhelník K2 Decor 2,35m oliva</v>
      </c>
      <c r="C89" s="185">
        <f t="shared" si="3"/>
        <v>20.492090000000001</v>
      </c>
      <c r="D89" s="407" t="s">
        <v>2697</v>
      </c>
      <c r="E89" s="407" t="s">
        <v>3729</v>
      </c>
      <c r="F89" s="407" t="s">
        <v>3730</v>
      </c>
      <c r="G89" s="407" t="s">
        <v>2697</v>
      </c>
      <c r="H89" s="460">
        <v>165.73829000000001</v>
      </c>
      <c r="I89" s="460">
        <v>5.9591799999999999</v>
      </c>
      <c r="J89" s="460">
        <v>20.492090000000001</v>
      </c>
      <c r="K89" s="460">
        <v>2293.6015000000002</v>
      </c>
      <c r="L89" s="459" t="s">
        <v>538</v>
      </c>
      <c r="M89" s="309" t="s">
        <v>571</v>
      </c>
      <c r="N89" s="182">
        <v>109.7544</v>
      </c>
      <c r="O89">
        <v>5.1479999999999997</v>
      </c>
      <c r="P89" t="s">
        <v>8907</v>
      </c>
    </row>
    <row r="90" spans="1:16" ht="14.4" x14ac:dyDescent="0.3">
      <c r="A90" s="310">
        <v>89053</v>
      </c>
      <c r="B90" t="str">
        <f t="shared" si="2"/>
        <v>SEVROLL 00079 úhelník K2 Decor 2,35m stříbrná</v>
      </c>
      <c r="C90" s="185">
        <f t="shared" si="3"/>
        <v>16.666799999999999</v>
      </c>
      <c r="D90" s="407" t="s">
        <v>2695</v>
      </c>
      <c r="E90" s="407" t="s">
        <v>3731</v>
      </c>
      <c r="F90" s="407" t="s">
        <v>3732</v>
      </c>
      <c r="G90" s="407" t="s">
        <v>2695</v>
      </c>
      <c r="H90" s="460">
        <v>132.44587000000001</v>
      </c>
      <c r="I90" s="460">
        <v>4.7621399999999996</v>
      </c>
      <c r="J90" s="460">
        <v>16.666799999999999</v>
      </c>
      <c r="K90" s="460">
        <v>1832.8778600000001</v>
      </c>
      <c r="L90" s="459" t="s">
        <v>538</v>
      </c>
      <c r="M90" s="309" t="s">
        <v>571</v>
      </c>
      <c r="N90" s="182">
        <v>109.7544</v>
      </c>
      <c r="O90">
        <v>4.4660000000000002</v>
      </c>
      <c r="P90" t="s">
        <v>8908</v>
      </c>
    </row>
    <row r="91" spans="1:16" ht="14.4" x14ac:dyDescent="0.3">
      <c r="A91" s="310">
        <v>180415</v>
      </c>
      <c r="B91" t="str">
        <f t="shared" si="2"/>
        <v>SEVROLL Maxim II maskownica 1,8m srebrny</v>
      </c>
      <c r="C91" s="185" t="e">
        <f t="shared" si="3"/>
        <v>#N/A</v>
      </c>
      <c r="D91" s="407" t="s">
        <v>2917</v>
      </c>
      <c r="E91" s="407" t="s">
        <v>3733</v>
      </c>
      <c r="F91" s="407" t="s">
        <v>3734</v>
      </c>
      <c r="G91" s="407" t="s">
        <v>3735</v>
      </c>
      <c r="H91" s="460" t="e">
        <v>#N/A</v>
      </c>
      <c r="I91" s="460" t="e">
        <v>#N/A</v>
      </c>
      <c r="J91" s="460" t="e">
        <v>#N/A</v>
      </c>
      <c r="K91" s="460" t="e">
        <v>#N/A</v>
      </c>
      <c r="L91" s="459" t="e">
        <v>#N/A</v>
      </c>
      <c r="M91" s="309" t="s">
        <v>571</v>
      </c>
      <c r="N91" s="182">
        <v>110.40770000000001</v>
      </c>
      <c r="O91" t="e">
        <v>#N/A</v>
      </c>
      <c r="P91" t="e">
        <v>#N/A</v>
      </c>
    </row>
    <row r="92" spans="1:16" ht="14.4" x14ac:dyDescent="0.3">
      <c r="A92" s="310">
        <v>89151</v>
      </c>
      <c r="B92" t="str">
        <f t="shared" si="2"/>
        <v>SEVROLL Micra tor górny / dolny 2,35 m, srebrny anodowany</v>
      </c>
      <c r="C92" s="185">
        <f t="shared" si="3"/>
        <v>16.1568</v>
      </c>
      <c r="D92" s="407" t="s">
        <v>2650</v>
      </c>
      <c r="E92" s="407" t="s">
        <v>3736</v>
      </c>
      <c r="F92" s="407" t="s">
        <v>1225</v>
      </c>
      <c r="G92" s="407" t="s">
        <v>3737</v>
      </c>
      <c r="H92" s="460">
        <v>129.55089000000001</v>
      </c>
      <c r="I92" s="460">
        <v>4.6580500000000002</v>
      </c>
      <c r="J92" s="460">
        <v>16.1568</v>
      </c>
      <c r="K92" s="460">
        <v>1792.81519</v>
      </c>
      <c r="L92" s="459" t="s">
        <v>538</v>
      </c>
      <c r="M92" s="309" t="s">
        <v>571</v>
      </c>
      <c r="N92" s="182">
        <v>110.40770000000001</v>
      </c>
      <c r="O92">
        <v>4.3559999999999999</v>
      </c>
      <c r="P92" t="s">
        <v>8909</v>
      </c>
    </row>
    <row r="93" spans="1:16" ht="14.4" x14ac:dyDescent="0.3">
      <c r="A93" s="310">
        <v>213167</v>
      </c>
      <c r="B93" t="str">
        <f t="shared" si="2"/>
        <v>SEVROLL taśma klejąca dwustronna 50mm 10m</v>
      </c>
      <c r="C93" s="185">
        <f t="shared" si="3"/>
        <v>16.541799999999999</v>
      </c>
      <c r="D93" s="407" t="s">
        <v>2997</v>
      </c>
      <c r="E93" s="407" t="s">
        <v>3738</v>
      </c>
      <c r="F93" s="407" t="s">
        <v>1121</v>
      </c>
      <c r="G93" s="407" t="s">
        <v>3739</v>
      </c>
      <c r="H93" s="460">
        <v>145.92113000000001</v>
      </c>
      <c r="I93" s="460">
        <v>4.9442899999999996</v>
      </c>
      <c r="J93" s="460">
        <v>16.541799999999999</v>
      </c>
      <c r="K93" s="460">
        <v>1947.7642000000001</v>
      </c>
      <c r="L93" s="459" t="s">
        <v>539</v>
      </c>
      <c r="M93" s="309" t="s">
        <v>571</v>
      </c>
      <c r="N93" s="182">
        <v>111.06100000000001</v>
      </c>
      <c r="O93">
        <v>4.4000000000000004</v>
      </c>
      <c r="P93" t="s">
        <v>8910</v>
      </c>
    </row>
    <row r="94" spans="1:16" ht="14.4" x14ac:dyDescent="0.3">
      <c r="A94" s="310">
        <v>163129</v>
      </c>
      <c r="B94" t="str">
        <f t="shared" si="2"/>
        <v>SEVROLL Doubler II maskownica 1,7m jasny brąz</v>
      </c>
      <c r="C94" s="185">
        <f t="shared" si="3"/>
        <v>19.597249999999999</v>
      </c>
      <c r="D94" s="407" t="s">
        <v>2897</v>
      </c>
      <c r="E94" s="407" t="s">
        <v>3740</v>
      </c>
      <c r="F94" s="407" t="s">
        <v>2897</v>
      </c>
      <c r="G94" s="407" t="s">
        <v>3741</v>
      </c>
      <c r="H94" s="460">
        <v>158.50081</v>
      </c>
      <c r="I94" s="460">
        <v>5.69895</v>
      </c>
      <c r="J94" s="460">
        <v>19.597249999999999</v>
      </c>
      <c r="K94" s="460">
        <v>2193.4442399999998</v>
      </c>
      <c r="L94" s="459" t="s">
        <v>539</v>
      </c>
      <c r="M94" s="309" t="s">
        <v>571</v>
      </c>
      <c r="N94" s="182">
        <v>112.3676</v>
      </c>
      <c r="O94">
        <v>4.8179999999999996</v>
      </c>
      <c r="P94" t="s">
        <v>8911</v>
      </c>
    </row>
    <row r="95" spans="1:16" ht="14.4" x14ac:dyDescent="0.3">
      <c r="A95" s="310">
        <v>224016</v>
      </c>
      <c r="B95" t="str">
        <f t="shared" si="2"/>
        <v>SEVROLL Simple tor dolny 1,5 m srebrny</v>
      </c>
      <c r="C95" s="185">
        <f t="shared" si="3"/>
        <v>21.998480000000001</v>
      </c>
      <c r="D95" s="407" t="s">
        <v>3087</v>
      </c>
      <c r="E95" s="407" t="s">
        <v>3742</v>
      </c>
      <c r="F95" s="407" t="s">
        <v>1047</v>
      </c>
      <c r="G95" s="407" t="s">
        <v>3743</v>
      </c>
      <c r="H95" s="460">
        <v>150.12</v>
      </c>
      <c r="I95" s="460">
        <v>6.5023600000000004</v>
      </c>
      <c r="J95" s="460">
        <v>21.998480000000001</v>
      </c>
      <c r="K95" s="460">
        <v>2500.9061700000002</v>
      </c>
      <c r="L95" s="459" t="s">
        <v>540</v>
      </c>
      <c r="M95" s="309" t="s">
        <v>571</v>
      </c>
      <c r="N95" s="182">
        <v>114.0912</v>
      </c>
      <c r="O95">
        <v>5.5439999999999996</v>
      </c>
      <c r="P95" t="s">
        <v>8912</v>
      </c>
    </row>
    <row r="96" spans="1:16" ht="14.4" x14ac:dyDescent="0.3">
      <c r="A96" s="310">
        <v>228198</v>
      </c>
      <c r="B96" t="str">
        <f t="shared" si="2"/>
        <v>SEVROLL profil "U" do płyty laminowanej 16mm 3m srebrny</v>
      </c>
      <c r="C96" s="185">
        <f t="shared" si="3"/>
        <v>20.7774</v>
      </c>
      <c r="D96" s="407" t="s">
        <v>3147</v>
      </c>
      <c r="E96" s="407" t="s">
        <v>3744</v>
      </c>
      <c r="F96" s="407" t="s">
        <v>1108</v>
      </c>
      <c r="G96" s="407" t="s">
        <v>3745</v>
      </c>
      <c r="H96" s="460">
        <v>167.90952999999999</v>
      </c>
      <c r="I96" s="460">
        <v>6.0372399999999997</v>
      </c>
      <c r="J96" s="460">
        <v>20.7774</v>
      </c>
      <c r="K96" s="460">
        <v>2323.6486100000002</v>
      </c>
      <c r="L96" s="459" t="s">
        <v>539</v>
      </c>
      <c r="M96" s="309" t="s">
        <v>571</v>
      </c>
      <c r="N96" s="182">
        <v>114.9808</v>
      </c>
      <c r="O96">
        <v>5.5439999999999996</v>
      </c>
      <c r="P96" t="s">
        <v>8913</v>
      </c>
    </row>
    <row r="97" spans="1:16" ht="14.4" x14ac:dyDescent="0.3">
      <c r="A97" s="310">
        <v>276731</v>
      </c>
      <c r="B97" t="str">
        <f t="shared" si="2"/>
        <v>SEVROLL kątownik Mini 17x11 mm 3 m, biały matowy</v>
      </c>
      <c r="C97" s="185">
        <f t="shared" si="3"/>
        <v>21.583200000000001</v>
      </c>
      <c r="D97" s="407" t="s">
        <v>3746</v>
      </c>
      <c r="E97" s="407" t="s">
        <v>3747</v>
      </c>
      <c r="F97" s="407" t="s">
        <v>3748</v>
      </c>
      <c r="G97" s="407" t="s">
        <v>3749</v>
      </c>
      <c r="H97" s="460">
        <v>156.32956999999999</v>
      </c>
      <c r="I97" s="460">
        <v>5.6208799999999997</v>
      </c>
      <c r="J97" s="460">
        <v>21.583200000000001</v>
      </c>
      <c r="K97" s="460">
        <v>2163.3967400000001</v>
      </c>
      <c r="L97" s="459" t="s">
        <v>538</v>
      </c>
      <c r="M97" s="309" t="s">
        <v>571</v>
      </c>
      <c r="N97" s="182">
        <v>117.59399999999999</v>
      </c>
      <c r="O97">
        <v>5.7640000000000002</v>
      </c>
      <c r="P97" t="s">
        <v>8914</v>
      </c>
    </row>
    <row r="98" spans="1:16" ht="14.4" x14ac:dyDescent="0.3">
      <c r="A98" s="310">
        <v>345405</v>
      </c>
      <c r="B98" t="str">
        <f t="shared" si="2"/>
        <v>SEVROLL zaślepka do toru Elegant II 2,35m koniak szczotkowany</v>
      </c>
      <c r="C98" s="185">
        <f t="shared" si="3"/>
        <v>22.013339999999999</v>
      </c>
      <c r="D98" s="407" t="s">
        <v>3357</v>
      </c>
      <c r="E98" s="407" t="s">
        <v>3750</v>
      </c>
      <c r="F98" s="407" t="s">
        <v>3751</v>
      </c>
      <c r="G98" s="407" t="s">
        <v>3752</v>
      </c>
      <c r="H98" s="460">
        <v>178.04201</v>
      </c>
      <c r="I98" s="460">
        <v>6.4015599999999999</v>
      </c>
      <c r="J98" s="460">
        <v>22.013339999999999</v>
      </c>
      <c r="K98" s="460">
        <v>2463.8685500000001</v>
      </c>
      <c r="L98" s="459" t="s">
        <v>539</v>
      </c>
      <c r="M98" s="309" t="s">
        <v>571</v>
      </c>
      <c r="N98" s="182">
        <v>118.9006</v>
      </c>
      <c r="O98">
        <v>5.6980000000000004</v>
      </c>
      <c r="P98" t="s">
        <v>8915</v>
      </c>
    </row>
    <row r="99" spans="1:16" ht="14.4" x14ac:dyDescent="0.3">
      <c r="A99" s="310">
        <v>229440</v>
      </c>
      <c r="B99" t="str">
        <f t="shared" si="2"/>
        <v>SEVROLL wózek dolny WD 18C HI-TEC - 2szt</v>
      </c>
      <c r="C99" s="185">
        <f t="shared" si="3"/>
        <v>17.546399999999998</v>
      </c>
      <c r="D99" s="407" t="s">
        <v>3155</v>
      </c>
      <c r="E99" s="407" t="s">
        <v>3753</v>
      </c>
      <c r="F99" s="407" t="s">
        <v>3754</v>
      </c>
      <c r="G99" s="407" t="s">
        <v>3755</v>
      </c>
      <c r="H99" s="460">
        <v>154.36919</v>
      </c>
      <c r="I99" s="460">
        <v>5.2305400000000004</v>
      </c>
      <c r="J99" s="460">
        <v>17.546399999999998</v>
      </c>
      <c r="K99" s="460">
        <v>2060.5293299999998</v>
      </c>
      <c r="L99" s="459" t="s">
        <v>538</v>
      </c>
      <c r="M99" s="309" t="s">
        <v>572</v>
      </c>
      <c r="N99" s="182">
        <v>118.9006</v>
      </c>
      <c r="O99">
        <v>4.4219999999999997</v>
      </c>
      <c r="P99" t="s">
        <v>8916</v>
      </c>
    </row>
    <row r="100" spans="1:16" ht="14.4" x14ac:dyDescent="0.3">
      <c r="A100" s="310">
        <v>89268</v>
      </c>
      <c r="B100" t="str">
        <f t="shared" si="2"/>
        <v>SEVROLL profil "U" do płyty laminowanej 18mm 3m jasny brąz</v>
      </c>
      <c r="C100" s="185">
        <f t="shared" si="3"/>
        <v>20.492090000000001</v>
      </c>
      <c r="D100" s="407" t="s">
        <v>2688</v>
      </c>
      <c r="E100" s="407" t="s">
        <v>3756</v>
      </c>
      <c r="F100" s="407" t="s">
        <v>3757</v>
      </c>
      <c r="G100" s="407" t="s">
        <v>3758</v>
      </c>
      <c r="H100" s="460">
        <v>165.73829000000001</v>
      </c>
      <c r="I100" s="460">
        <v>5.9591799999999999</v>
      </c>
      <c r="J100" s="460">
        <v>20.492090000000001</v>
      </c>
      <c r="K100" s="460">
        <v>2293.6015000000002</v>
      </c>
      <c r="L100" s="459" t="s">
        <v>538</v>
      </c>
      <c r="M100" s="309" t="s">
        <v>571</v>
      </c>
      <c r="N100" s="182">
        <v>119.5539</v>
      </c>
      <c r="O100">
        <v>5.0819999999999999</v>
      </c>
      <c r="P100" t="s">
        <v>8917</v>
      </c>
    </row>
    <row r="101" spans="1:16" ht="14.4" x14ac:dyDescent="0.3">
      <c r="A101" s="310">
        <v>89267</v>
      </c>
      <c r="B101" t="str">
        <f t="shared" si="2"/>
        <v>SEVROLL profil "U" do płyty laminowanej 18mm 3m złoty</v>
      </c>
      <c r="C101" s="185">
        <f t="shared" si="3"/>
        <v>20.492090000000001</v>
      </c>
      <c r="D101" s="407" t="s">
        <v>2689</v>
      </c>
      <c r="E101" s="407" t="s">
        <v>3759</v>
      </c>
      <c r="F101" s="407" t="s">
        <v>3760</v>
      </c>
      <c r="G101" s="407" t="s">
        <v>3761</v>
      </c>
      <c r="H101" s="460">
        <v>165.73829000000001</v>
      </c>
      <c r="I101" s="460">
        <v>5.9591799999999999</v>
      </c>
      <c r="J101" s="460">
        <v>20.492090000000001</v>
      </c>
      <c r="K101" s="460">
        <v>2293.6015000000002</v>
      </c>
      <c r="L101" s="459" t="s">
        <v>539</v>
      </c>
      <c r="M101" s="309" t="s">
        <v>571</v>
      </c>
      <c r="N101" s="182">
        <v>119.5539</v>
      </c>
      <c r="O101">
        <v>5.0819999999999999</v>
      </c>
      <c r="P101" t="s">
        <v>8918</v>
      </c>
    </row>
    <row r="102" spans="1:16" ht="14.4" x14ac:dyDescent="0.3">
      <c r="A102" s="310">
        <v>89095</v>
      </c>
      <c r="B102" t="str">
        <f t="shared" si="2"/>
        <v>SEVROLL Focus 16mm rączka 2,7m srebrny</v>
      </c>
      <c r="C102" s="185">
        <f t="shared" si="3"/>
        <v>23.26613</v>
      </c>
      <c r="D102" s="407" t="s">
        <v>2676</v>
      </c>
      <c r="E102" s="407" t="s">
        <v>3762</v>
      </c>
      <c r="F102" s="407" t="s">
        <v>3763</v>
      </c>
      <c r="G102" s="407" t="s">
        <v>3764</v>
      </c>
      <c r="H102" s="460">
        <v>188.17447000000001</v>
      </c>
      <c r="I102" s="460">
        <v>6.7658800000000001</v>
      </c>
      <c r="J102" s="460">
        <v>23.26613</v>
      </c>
      <c r="K102" s="460">
        <v>2604.08887</v>
      </c>
      <c r="L102" s="459" t="s">
        <v>539</v>
      </c>
      <c r="M102" s="309" t="s">
        <v>571</v>
      </c>
      <c r="N102" s="182">
        <v>124.127</v>
      </c>
      <c r="O102">
        <v>6.27</v>
      </c>
      <c r="P102" t="s">
        <v>8919</v>
      </c>
    </row>
    <row r="103" spans="1:16" ht="14.4" x14ac:dyDescent="0.3">
      <c r="A103" s="310">
        <v>345407</v>
      </c>
      <c r="B103" t="str">
        <f t="shared" si="2"/>
        <v>SEVROLL zaślepka do toru Elegant II 2,35 m czarny szczotkowany</v>
      </c>
      <c r="C103" s="185">
        <f t="shared" si="3"/>
        <v>22.013339999999999</v>
      </c>
      <c r="D103" s="407" t="s">
        <v>3358</v>
      </c>
      <c r="E103" s="407" t="s">
        <v>3765</v>
      </c>
      <c r="F103" s="407" t="s">
        <v>3766</v>
      </c>
      <c r="G103" s="407" t="s">
        <v>3767</v>
      </c>
      <c r="H103" s="460">
        <v>178.04201</v>
      </c>
      <c r="I103" s="460">
        <v>6.4015599999999999</v>
      </c>
      <c r="J103" s="460">
        <v>22.013339999999999</v>
      </c>
      <c r="K103" s="460">
        <v>2463.8685500000001</v>
      </c>
      <c r="L103" s="459" t="s">
        <v>538</v>
      </c>
      <c r="M103" s="309" t="s">
        <v>571</v>
      </c>
      <c r="N103" s="182">
        <v>124.7803</v>
      </c>
      <c r="O103">
        <v>5.6980000000000004</v>
      </c>
      <c r="P103" t="s">
        <v>8920</v>
      </c>
    </row>
    <row r="104" spans="1:16" ht="14.4" x14ac:dyDescent="0.3">
      <c r="A104" s="310">
        <v>345404</v>
      </c>
      <c r="B104" t="str">
        <f t="shared" si="2"/>
        <v>SEVROLL maska do toru Elegant II 2,35 m jasny brąz szczotkowany</v>
      </c>
      <c r="C104" s="185">
        <f t="shared" si="3"/>
        <v>22.013339999999999</v>
      </c>
      <c r="D104" s="407" t="s">
        <v>3356</v>
      </c>
      <c r="E104" s="407" t="s">
        <v>3768</v>
      </c>
      <c r="F104" s="407" t="s">
        <v>3356</v>
      </c>
      <c r="G104" s="407" t="s">
        <v>3769</v>
      </c>
      <c r="H104" s="460">
        <v>178.04201</v>
      </c>
      <c r="I104" s="460">
        <v>6.4015599999999999</v>
      </c>
      <c r="J104" s="460">
        <v>22.013339999999999</v>
      </c>
      <c r="K104" s="460">
        <v>2463.8685500000001</v>
      </c>
      <c r="L104" s="459" t="s">
        <v>539</v>
      </c>
      <c r="M104" s="309" t="s">
        <v>571</v>
      </c>
      <c r="N104" s="182">
        <v>124.7803</v>
      </c>
      <c r="O104">
        <v>5.6980000000000004</v>
      </c>
      <c r="P104" t="s">
        <v>8921</v>
      </c>
    </row>
    <row r="105" spans="1:16" ht="14.4" x14ac:dyDescent="0.3">
      <c r="A105" s="310">
        <v>212613</v>
      </c>
      <c r="B105" t="str">
        <f t="shared" si="2"/>
        <v>SEVROLL zaślepka do toru Hide N srebrna</v>
      </c>
      <c r="C105" s="185">
        <f t="shared" si="3"/>
        <v>18.523420000000002</v>
      </c>
      <c r="D105" s="407" t="s">
        <v>2989</v>
      </c>
      <c r="E105" s="407" t="s">
        <v>3770</v>
      </c>
      <c r="F105" s="407" t="s">
        <v>3771</v>
      </c>
      <c r="G105" s="407" t="s">
        <v>3772</v>
      </c>
      <c r="H105" s="460">
        <v>149.81584000000001</v>
      </c>
      <c r="I105" s="460">
        <v>5.3866800000000001</v>
      </c>
      <c r="J105" s="460">
        <v>18.523420000000002</v>
      </c>
      <c r="K105" s="460">
        <v>2073.2554399999999</v>
      </c>
      <c r="L105" s="459" t="s">
        <v>538</v>
      </c>
      <c r="M105" s="309" t="s">
        <v>574</v>
      </c>
      <c r="N105" s="182">
        <v>126.7402</v>
      </c>
      <c r="O105">
        <v>4.7960000000000003</v>
      </c>
      <c r="P105" t="s">
        <v>8922</v>
      </c>
    </row>
    <row r="106" spans="1:16" ht="14.4" x14ac:dyDescent="0.3">
      <c r="A106" s="310">
        <v>224146</v>
      </c>
      <c r="B106" t="str">
        <f t="shared" si="2"/>
        <v>SEVROLL tor dolny Simple/Blue 1,5m (do płyty laminowanej 10mm) srebrny</v>
      </c>
      <c r="C106" s="185">
        <f t="shared" si="3"/>
        <v>22.79579</v>
      </c>
      <c r="D106" s="407" t="s">
        <v>3112</v>
      </c>
      <c r="E106" s="407" t="s">
        <v>3773</v>
      </c>
      <c r="F106" s="407" t="s">
        <v>3774</v>
      </c>
      <c r="G106" s="407" t="s">
        <v>3775</v>
      </c>
      <c r="H106" s="460">
        <v>165.38162</v>
      </c>
      <c r="I106" s="460">
        <v>6.0112199999999998</v>
      </c>
      <c r="J106" s="460">
        <v>22.79579</v>
      </c>
      <c r="K106" s="460">
        <v>2349.9249199999999</v>
      </c>
      <c r="L106" s="459" t="s">
        <v>539</v>
      </c>
      <c r="M106" s="309" t="s">
        <v>571</v>
      </c>
      <c r="N106" s="182">
        <v>126.8514</v>
      </c>
      <c r="O106">
        <v>5.6980000000000004</v>
      </c>
      <c r="P106" t="s">
        <v>8923</v>
      </c>
    </row>
    <row r="107" spans="1:16" ht="14.4" x14ac:dyDescent="0.3">
      <c r="A107" s="310">
        <v>224123</v>
      </c>
      <c r="B107" t="str">
        <f t="shared" si="2"/>
        <v>SEVROLL Simple tor dolny 1,5 m oliwka</v>
      </c>
      <c r="C107" s="185" t="e">
        <f t="shared" si="3"/>
        <v>#N/A</v>
      </c>
      <c r="D107" s="407" t="s">
        <v>3097</v>
      </c>
      <c r="E107" s="407" t="s">
        <v>3776</v>
      </c>
      <c r="F107" s="407" t="s">
        <v>3777</v>
      </c>
      <c r="G107" s="407" t="s">
        <v>3778</v>
      </c>
      <c r="H107" s="460" t="e">
        <v>#N/A</v>
      </c>
      <c r="I107" s="460" t="e">
        <v>#N/A</v>
      </c>
      <c r="J107" s="460" t="e">
        <v>#N/A</v>
      </c>
      <c r="K107" s="460" t="e">
        <v>#N/A</v>
      </c>
      <c r="L107" s="459" t="e">
        <v>#N/A</v>
      </c>
      <c r="M107" s="309" t="s">
        <v>571</v>
      </c>
      <c r="N107" s="182">
        <v>126.8514</v>
      </c>
      <c r="O107" t="e">
        <v>#N/A</v>
      </c>
      <c r="P107" t="e">
        <v>#N/A</v>
      </c>
    </row>
    <row r="108" spans="1:16" ht="14.4" x14ac:dyDescent="0.3">
      <c r="A108" s="310">
        <v>273035</v>
      </c>
      <c r="B108" t="str">
        <f t="shared" si="2"/>
        <v>SEVROLL kątownik 10x18mm 3m srebrny</v>
      </c>
      <c r="C108" s="185">
        <f t="shared" si="3"/>
        <v>21.012</v>
      </c>
      <c r="D108" s="407" t="s">
        <v>3210</v>
      </c>
      <c r="E108" s="407" t="s">
        <v>3779</v>
      </c>
      <c r="F108" s="407" t="s">
        <v>3780</v>
      </c>
      <c r="G108" s="407" t="s">
        <v>3781</v>
      </c>
      <c r="H108" s="460">
        <v>158.50081</v>
      </c>
      <c r="I108" s="460">
        <v>5.69895</v>
      </c>
      <c r="J108" s="460">
        <v>21.012</v>
      </c>
      <c r="K108" s="460">
        <v>2193.4442399999998</v>
      </c>
      <c r="L108" s="459" t="s">
        <v>539</v>
      </c>
      <c r="M108" s="309" t="s">
        <v>571</v>
      </c>
      <c r="N108" s="182">
        <v>127.3935</v>
      </c>
      <c r="O108">
        <v>5.6319999999999997</v>
      </c>
      <c r="P108" t="s">
        <v>8924</v>
      </c>
    </row>
    <row r="109" spans="1:16" ht="14.4" x14ac:dyDescent="0.3">
      <c r="A109" s="310">
        <v>349726</v>
      </c>
      <c r="B109" t="str">
        <f t="shared" si="2"/>
        <v>SEVROLL Blue-C tor dolny 2m, srebrny</v>
      </c>
      <c r="C109" s="185">
        <f t="shared" si="3"/>
        <v>28.207630000000002</v>
      </c>
      <c r="D109" s="407" t="s">
        <v>3383</v>
      </c>
      <c r="E109" s="407" t="s">
        <v>3782</v>
      </c>
      <c r="F109" s="407" t="s">
        <v>3783</v>
      </c>
      <c r="G109" s="407" t="s">
        <v>3784</v>
      </c>
      <c r="H109" s="460">
        <v>191.15539000000001</v>
      </c>
      <c r="I109" s="460">
        <v>6.9480300000000002</v>
      </c>
      <c r="J109" s="460">
        <v>28.207630000000002</v>
      </c>
      <c r="K109" s="460">
        <v>2716.14725</v>
      </c>
      <c r="L109" s="459" t="s">
        <v>539</v>
      </c>
      <c r="M109" s="309" t="s">
        <v>571</v>
      </c>
      <c r="N109" s="182">
        <v>127.602</v>
      </c>
      <c r="O109">
        <v>6.1820000000000004</v>
      </c>
      <c r="P109" t="s">
        <v>8925</v>
      </c>
    </row>
    <row r="110" spans="1:16" ht="14.4" x14ac:dyDescent="0.3">
      <c r="A110" s="310">
        <v>349810</v>
      </c>
      <c r="B110" t="str">
        <f t="shared" si="2"/>
        <v>SEVROLL Blue-V tor dolny 1,5m srebrny</v>
      </c>
      <c r="C110" s="185">
        <f t="shared" si="3"/>
        <v>25.674769999999999</v>
      </c>
      <c r="D110" s="407" t="s">
        <v>3402</v>
      </c>
      <c r="E110" s="407" t="s">
        <v>3785</v>
      </c>
      <c r="F110" s="407" t="s">
        <v>3786</v>
      </c>
      <c r="G110" s="407" t="s">
        <v>3787</v>
      </c>
      <c r="H110" s="460">
        <v>166.81349</v>
      </c>
      <c r="I110" s="460">
        <v>6.0632700000000002</v>
      </c>
      <c r="J110" s="460">
        <v>25.674769999999999</v>
      </c>
      <c r="K110" s="460">
        <v>2370.2706699999999</v>
      </c>
      <c r="L110" s="459" t="s">
        <v>539</v>
      </c>
      <c r="M110" s="309" t="s">
        <v>571</v>
      </c>
      <c r="N110" s="182">
        <v>128.3526</v>
      </c>
      <c r="O110">
        <v>6.1159999999999997</v>
      </c>
      <c r="P110" t="s">
        <v>8926</v>
      </c>
    </row>
    <row r="111" spans="1:16" ht="14.4" x14ac:dyDescent="0.3">
      <c r="A111" s="310">
        <v>89103</v>
      </c>
      <c r="B111" t="str">
        <f t="shared" si="2"/>
        <v>SEVROLL Focus 18 mm rączka 2,7 m, srebrna</v>
      </c>
      <c r="C111" s="185">
        <f t="shared" si="3"/>
        <v>23.26613</v>
      </c>
      <c r="D111" s="407" t="s">
        <v>2628</v>
      </c>
      <c r="E111" s="407" t="s">
        <v>3788</v>
      </c>
      <c r="F111" s="407" t="s">
        <v>1252</v>
      </c>
      <c r="G111" s="407" t="s">
        <v>3789</v>
      </c>
      <c r="H111" s="460">
        <v>188.17447000000001</v>
      </c>
      <c r="I111" s="460">
        <v>6.7658800000000001</v>
      </c>
      <c r="J111" s="460">
        <v>23.26613</v>
      </c>
      <c r="K111" s="460">
        <v>2604.08887</v>
      </c>
      <c r="L111" s="459" t="s">
        <v>538</v>
      </c>
      <c r="M111" s="309" t="s">
        <v>571</v>
      </c>
      <c r="N111" s="182">
        <v>130.66</v>
      </c>
      <c r="O111">
        <v>6.27</v>
      </c>
      <c r="P111" t="s">
        <v>8927</v>
      </c>
    </row>
    <row r="112" spans="1:16" ht="14.4" x14ac:dyDescent="0.3">
      <c r="A112" s="310">
        <v>223393</v>
      </c>
      <c r="B112" t="str">
        <f t="shared" si="2"/>
        <v>SEVROLL kątownik K2 2,35 m czarny szczotkowany</v>
      </c>
      <c r="C112" s="185">
        <f t="shared" si="3"/>
        <v>23.26613</v>
      </c>
      <c r="D112" s="407" t="s">
        <v>3046</v>
      </c>
      <c r="E112" s="407" t="s">
        <v>3790</v>
      </c>
      <c r="F112" s="407" t="s">
        <v>3791</v>
      </c>
      <c r="G112" s="407" t="s">
        <v>3792</v>
      </c>
      <c r="H112" s="460">
        <v>188.17447000000001</v>
      </c>
      <c r="I112" s="460">
        <v>6.7658800000000001</v>
      </c>
      <c r="J112" s="460">
        <v>23.26613</v>
      </c>
      <c r="K112" s="460">
        <v>2604.08887</v>
      </c>
      <c r="L112" s="459" t="s">
        <v>538</v>
      </c>
      <c r="M112" s="309" t="s">
        <v>571</v>
      </c>
      <c r="N112" s="182">
        <v>130.66</v>
      </c>
      <c r="O112">
        <v>6.0279999999999996</v>
      </c>
      <c r="P112" t="s">
        <v>8928</v>
      </c>
    </row>
    <row r="113" spans="1:16" ht="14.4" x14ac:dyDescent="0.3">
      <c r="A113" s="310">
        <v>223330</v>
      </c>
      <c r="B113" t="str">
        <f t="shared" si="2"/>
        <v>SEVROLL kątownik K2 2,35 m  oliwka ciemna szczotkowana</v>
      </c>
      <c r="C113" s="185">
        <f t="shared" si="3"/>
        <v>23.26613</v>
      </c>
      <c r="D113" s="407" t="s">
        <v>3038</v>
      </c>
      <c r="E113" s="407" t="s">
        <v>3793</v>
      </c>
      <c r="F113" s="407" t="s">
        <v>3794</v>
      </c>
      <c r="G113" s="407" t="s">
        <v>3795</v>
      </c>
      <c r="H113" s="460">
        <v>188.17447000000001</v>
      </c>
      <c r="I113" s="460">
        <v>6.7658800000000001</v>
      </c>
      <c r="J113" s="460">
        <v>23.26613</v>
      </c>
      <c r="K113" s="460">
        <v>2604.08887</v>
      </c>
      <c r="L113" s="459" t="s">
        <v>539</v>
      </c>
      <c r="M113" s="309" t="s">
        <v>571</v>
      </c>
      <c r="N113" s="182">
        <v>130.66</v>
      </c>
      <c r="O113">
        <v>6.0279999999999996</v>
      </c>
      <c r="P113" t="s">
        <v>8929</v>
      </c>
    </row>
    <row r="114" spans="1:16" ht="14.4" x14ac:dyDescent="0.3">
      <c r="A114" s="310">
        <v>360760</v>
      </c>
      <c r="B114" t="str">
        <f t="shared" si="2"/>
        <v>SEVROLL profil "U" do płyty laminowanej 18mm 3m biały połysk</v>
      </c>
      <c r="C114" s="185">
        <f t="shared" si="3"/>
        <v>27.009599999999999</v>
      </c>
      <c r="D114" s="407" t="s">
        <v>3438</v>
      </c>
      <c r="E114" s="407" t="s">
        <v>3796</v>
      </c>
      <c r="F114" s="407" t="s">
        <v>3797</v>
      </c>
      <c r="G114" s="407" t="s">
        <v>3798</v>
      </c>
      <c r="H114" s="460">
        <v>172.25201999999999</v>
      </c>
      <c r="I114" s="460">
        <v>6.1933800000000003</v>
      </c>
      <c r="J114" s="460">
        <v>27.009599999999999</v>
      </c>
      <c r="K114" s="460">
        <v>2383.7428100000002</v>
      </c>
      <c r="L114" s="459" t="s">
        <v>539</v>
      </c>
      <c r="M114" s="309" t="s">
        <v>571</v>
      </c>
      <c r="N114" s="182">
        <v>131.9666</v>
      </c>
      <c r="O114">
        <v>6.5339999999999998</v>
      </c>
      <c r="P114" t="s">
        <v>8930</v>
      </c>
    </row>
    <row r="115" spans="1:16" ht="14.4" x14ac:dyDescent="0.3">
      <c r="A115" s="310">
        <v>228201</v>
      </c>
      <c r="B115" t="str">
        <f t="shared" si="2"/>
        <v>SEVROLL Beta 16 rączka 2,70 m srebrny</v>
      </c>
      <c r="C115" s="185">
        <f t="shared" si="3"/>
        <v>29.4984</v>
      </c>
      <c r="D115" s="407" t="s">
        <v>3148</v>
      </c>
      <c r="E115" s="407" t="s">
        <v>3799</v>
      </c>
      <c r="F115" s="407" t="s">
        <v>1189</v>
      </c>
      <c r="G115" s="407" t="s">
        <v>3800</v>
      </c>
      <c r="H115" s="460">
        <v>218.57187999999999</v>
      </c>
      <c r="I115" s="460">
        <v>7.8588300000000002</v>
      </c>
      <c r="J115" s="460">
        <v>29.4984</v>
      </c>
      <c r="K115" s="460">
        <v>3024.74946</v>
      </c>
      <c r="L115" s="459" t="s">
        <v>539</v>
      </c>
      <c r="M115" s="309" t="s">
        <v>571</v>
      </c>
      <c r="N115" s="182">
        <v>133.2732</v>
      </c>
      <c r="O115">
        <v>6.9960000000000004</v>
      </c>
      <c r="P115" t="s">
        <v>8931</v>
      </c>
    </row>
    <row r="116" spans="1:16" ht="14.4" x14ac:dyDescent="0.3">
      <c r="A116" s="310">
        <v>245814</v>
      </c>
      <c r="B116" t="str">
        <f t="shared" si="2"/>
        <v>SEVROLL 045690Focus II 16 mm rączka 2,7 m, srebrna</v>
      </c>
      <c r="C116" s="185">
        <f t="shared" si="3"/>
        <v>28.545750000000002</v>
      </c>
      <c r="D116" s="407" t="s">
        <v>3183</v>
      </c>
      <c r="E116" s="407" t="s">
        <v>3801</v>
      </c>
      <c r="F116" s="407" t="s">
        <v>1059</v>
      </c>
      <c r="G116" s="407" t="s">
        <v>3802</v>
      </c>
      <c r="H116" s="460">
        <v>230.87560999999999</v>
      </c>
      <c r="I116" s="460">
        <v>8.3012099999999993</v>
      </c>
      <c r="J116" s="460">
        <v>28.545750000000002</v>
      </c>
      <c r="K116" s="460">
        <v>3195.0168899999999</v>
      </c>
      <c r="L116" s="459" t="s">
        <v>539</v>
      </c>
      <c r="M116" s="309" t="s">
        <v>571</v>
      </c>
      <c r="N116" s="182">
        <v>133.2732</v>
      </c>
      <c r="O116">
        <v>7.3920000000000003</v>
      </c>
      <c r="P116" t="s">
        <v>8932</v>
      </c>
    </row>
    <row r="117" spans="1:16" ht="14.4" x14ac:dyDescent="0.3">
      <c r="A117" s="310">
        <v>345413</v>
      </c>
      <c r="B117" t="str">
        <f t="shared" si="2"/>
        <v>SEVROLL maska do toru Elegant II 3 m biały połysk</v>
      </c>
      <c r="C117" s="185">
        <f t="shared" si="3"/>
        <v>21.542400000000001</v>
      </c>
      <c r="D117" s="407" t="s">
        <v>3364</v>
      </c>
      <c r="E117" s="407" t="s">
        <v>3803</v>
      </c>
      <c r="F117" s="407" t="s">
        <v>3804</v>
      </c>
      <c r="G117" s="407" t="s">
        <v>3805</v>
      </c>
      <c r="H117" s="460">
        <v>163.56704999999999</v>
      </c>
      <c r="I117" s="460">
        <v>5.8863200000000004</v>
      </c>
      <c r="J117" s="460">
        <v>21.542400000000001</v>
      </c>
      <c r="K117" s="460">
        <v>2263.5540099999998</v>
      </c>
      <c r="L117" s="459" t="s">
        <v>538</v>
      </c>
      <c r="M117" s="309" t="s">
        <v>571</v>
      </c>
      <c r="N117" s="182">
        <v>133.2732</v>
      </c>
      <c r="O117">
        <v>5.7640000000000002</v>
      </c>
      <c r="P117" t="s">
        <v>8933</v>
      </c>
    </row>
    <row r="118" spans="1:16" ht="14.4" x14ac:dyDescent="0.3">
      <c r="A118" s="310">
        <v>349812</v>
      </c>
      <c r="B118" t="str">
        <f t="shared" si="2"/>
        <v>SEVROLL Blue-V tor dolny 1,5m jasny brąz</v>
      </c>
      <c r="C118" s="185">
        <f t="shared" si="3"/>
        <v>28.695329999999998</v>
      </c>
      <c r="D118" s="407" t="s">
        <v>3404</v>
      </c>
      <c r="E118" s="407" t="s">
        <v>3806</v>
      </c>
      <c r="F118" s="407" t="s">
        <v>3807</v>
      </c>
      <c r="G118" s="407" t="s">
        <v>3808</v>
      </c>
      <c r="H118" s="460">
        <v>208.33788000000001</v>
      </c>
      <c r="I118" s="460">
        <v>7.5725800000000003</v>
      </c>
      <c r="J118" s="460">
        <v>28.695329999999998</v>
      </c>
      <c r="K118" s="460">
        <v>2960.2950700000001</v>
      </c>
      <c r="L118" s="459" t="s">
        <v>539</v>
      </c>
      <c r="M118" s="309" t="s">
        <v>571</v>
      </c>
      <c r="N118" s="182">
        <v>133.60679999999999</v>
      </c>
      <c r="O118">
        <v>6.8419999999999996</v>
      </c>
      <c r="P118" t="s">
        <v>8934</v>
      </c>
    </row>
    <row r="119" spans="1:16" ht="14.4" x14ac:dyDescent="0.3">
      <c r="A119" s="310">
        <v>191701</v>
      </c>
      <c r="B119" t="str">
        <f t="shared" si="2"/>
        <v>SEVROLL kątownik K2 Decor 2,35 m jasny brąz szczotkowany</v>
      </c>
      <c r="C119" s="185">
        <f t="shared" si="3"/>
        <v>23.26613</v>
      </c>
      <c r="D119" s="407" t="s">
        <v>2938</v>
      </c>
      <c r="E119" s="407" t="s">
        <v>3809</v>
      </c>
      <c r="F119" s="407" t="s">
        <v>1196</v>
      </c>
      <c r="G119" s="407" t="s">
        <v>3810</v>
      </c>
      <c r="H119" s="460">
        <v>188.17447000000001</v>
      </c>
      <c r="I119" s="460">
        <v>6.7658800000000001</v>
      </c>
      <c r="J119" s="460">
        <v>23.26613</v>
      </c>
      <c r="K119" s="460">
        <v>2604.08887</v>
      </c>
      <c r="L119" s="459" t="s">
        <v>538</v>
      </c>
      <c r="M119" s="309" t="s">
        <v>571</v>
      </c>
      <c r="N119" s="182">
        <v>137.19300000000001</v>
      </c>
      <c r="O119">
        <v>6.0279999999999996</v>
      </c>
      <c r="P119" t="s">
        <v>8935</v>
      </c>
    </row>
    <row r="120" spans="1:16" ht="14.4" x14ac:dyDescent="0.3">
      <c r="A120" s="310">
        <v>130612</v>
      </c>
      <c r="B120" t="str">
        <f t="shared" si="2"/>
        <v>SEVROLL listwa łącząca T04 3m srebrny</v>
      </c>
      <c r="C120" s="185">
        <f t="shared" si="3"/>
        <v>24.697890000000001</v>
      </c>
      <c r="D120" s="407" t="s">
        <v>2835</v>
      </c>
      <c r="E120" s="407" t="s">
        <v>3811</v>
      </c>
      <c r="F120" s="407" t="s">
        <v>3812</v>
      </c>
      <c r="G120" s="407" t="s">
        <v>3813</v>
      </c>
      <c r="H120" s="460">
        <v>199.75444999999999</v>
      </c>
      <c r="I120" s="460">
        <v>7.1822400000000002</v>
      </c>
      <c r="J120" s="460">
        <v>24.697890000000001</v>
      </c>
      <c r="K120" s="460">
        <v>2764.34033</v>
      </c>
      <c r="L120" s="459" t="s">
        <v>539</v>
      </c>
      <c r="M120" s="309" t="s">
        <v>571</v>
      </c>
      <c r="N120" s="182">
        <v>138.49959999999999</v>
      </c>
      <c r="O120">
        <v>6.38</v>
      </c>
      <c r="P120" t="s">
        <v>8936</v>
      </c>
    </row>
    <row r="121" spans="1:16" ht="14.4" x14ac:dyDescent="0.3">
      <c r="A121" s="310">
        <v>349859</v>
      </c>
      <c r="B121" t="str">
        <f t="shared" si="2"/>
        <v>SEVROLL Blue-C tor dolny 2m jasny brąz</v>
      </c>
      <c r="C121" s="185" t="e">
        <f t="shared" si="3"/>
        <v>#N/A</v>
      </c>
      <c r="D121" s="407" t="s">
        <v>3415</v>
      </c>
      <c r="E121" s="407" t="s">
        <v>3814</v>
      </c>
      <c r="F121" s="407" t="s">
        <v>3815</v>
      </c>
      <c r="G121" s="407" t="s">
        <v>3816</v>
      </c>
      <c r="H121" s="460" t="e">
        <v>#N/A</v>
      </c>
      <c r="I121" s="460" t="e">
        <v>#N/A</v>
      </c>
      <c r="J121" s="460" t="e">
        <v>#N/A</v>
      </c>
      <c r="K121" s="460" t="e">
        <v>#N/A</v>
      </c>
      <c r="L121" s="459" t="e">
        <v>#N/A</v>
      </c>
      <c r="M121" s="309" t="s">
        <v>571</v>
      </c>
      <c r="N121" s="182">
        <v>139.61160000000001</v>
      </c>
      <c r="O121">
        <v>6.9080000000000004</v>
      </c>
      <c r="P121" t="s">
        <v>8937</v>
      </c>
    </row>
    <row r="122" spans="1:16" ht="14.4" x14ac:dyDescent="0.3">
      <c r="A122" s="310">
        <v>213977</v>
      </c>
      <c r="B122" t="str">
        <f t="shared" si="2"/>
        <v>SEVROLL Beta 18 rączka 2,70m srebrny</v>
      </c>
      <c r="C122" s="185">
        <f t="shared" si="3"/>
        <v>29.4984</v>
      </c>
      <c r="D122" s="407" t="s">
        <v>3003</v>
      </c>
      <c r="E122" s="407" t="s">
        <v>3817</v>
      </c>
      <c r="F122" s="407" t="s">
        <v>3818</v>
      </c>
      <c r="G122" s="407" t="s">
        <v>3819</v>
      </c>
      <c r="H122" s="460">
        <v>212.78190000000001</v>
      </c>
      <c r="I122" s="460">
        <v>7.6506400000000001</v>
      </c>
      <c r="J122" s="460">
        <v>29.4984</v>
      </c>
      <c r="K122" s="460">
        <v>2944.62372</v>
      </c>
      <c r="L122" s="459" t="s">
        <v>538</v>
      </c>
      <c r="M122" s="309" t="s">
        <v>571</v>
      </c>
      <c r="N122" s="182">
        <v>139.80619999999999</v>
      </c>
      <c r="O122">
        <v>6.9960000000000004</v>
      </c>
      <c r="P122" t="s">
        <v>8938</v>
      </c>
    </row>
    <row r="123" spans="1:16" ht="14.4" x14ac:dyDescent="0.3">
      <c r="A123" s="310">
        <v>89058</v>
      </c>
      <c r="B123" t="str">
        <f t="shared" si="2"/>
        <v>SEVROLL 00071 úhelník K2 Decor 3m oliva</v>
      </c>
      <c r="C123" s="185">
        <f t="shared" si="3"/>
        <v>26.04017</v>
      </c>
      <c r="D123" s="407" t="s">
        <v>2699</v>
      </c>
      <c r="E123" s="407" t="s">
        <v>3820</v>
      </c>
      <c r="F123" s="407" t="s">
        <v>3821</v>
      </c>
      <c r="G123" s="407" t="s">
        <v>2699</v>
      </c>
      <c r="H123" s="460">
        <v>210.61066</v>
      </c>
      <c r="I123" s="460">
        <v>7.5725800000000003</v>
      </c>
      <c r="J123" s="460">
        <v>26.04017</v>
      </c>
      <c r="K123" s="460">
        <v>2914.5762300000001</v>
      </c>
      <c r="L123" s="459" t="s">
        <v>538</v>
      </c>
      <c r="M123" s="309" t="s">
        <v>571</v>
      </c>
      <c r="N123" s="182">
        <v>139.80619999999999</v>
      </c>
      <c r="O123">
        <v>6.5780000000000003</v>
      </c>
      <c r="P123" t="s">
        <v>8939</v>
      </c>
    </row>
    <row r="124" spans="1:16" ht="14.4" x14ac:dyDescent="0.3">
      <c r="A124" s="310">
        <v>89056</v>
      </c>
      <c r="B124" t="str">
        <f t="shared" si="2"/>
        <v>SEVROLL 00080 úhelník K2 Decor 3m stříbrná</v>
      </c>
      <c r="C124" s="185">
        <f t="shared" si="3"/>
        <v>21.266999999999999</v>
      </c>
      <c r="D124" s="407" t="s">
        <v>2698</v>
      </c>
      <c r="E124" s="407" t="s">
        <v>3822</v>
      </c>
      <c r="F124" s="407" t="s">
        <v>3823</v>
      </c>
      <c r="G124" s="407" t="s">
        <v>2698</v>
      </c>
      <c r="H124" s="460">
        <v>169.35702000000001</v>
      </c>
      <c r="I124" s="460">
        <v>6.0892900000000001</v>
      </c>
      <c r="J124" s="460">
        <v>21.266999999999999</v>
      </c>
      <c r="K124" s="460">
        <v>2343.6801399999999</v>
      </c>
      <c r="L124" s="459" t="s">
        <v>538</v>
      </c>
      <c r="M124" s="309" t="s">
        <v>571</v>
      </c>
      <c r="N124" s="182">
        <v>139.80619999999999</v>
      </c>
      <c r="O124">
        <v>5.6980000000000004</v>
      </c>
      <c r="P124" t="s">
        <v>8940</v>
      </c>
    </row>
    <row r="125" spans="1:16" ht="14.4" x14ac:dyDescent="0.3">
      <c r="A125" s="310">
        <v>245815</v>
      </c>
      <c r="B125" t="str">
        <f t="shared" si="2"/>
        <v>SEVROLL Focus II 18mm rączka 2,7m srebrny</v>
      </c>
      <c r="C125" s="185">
        <f t="shared" si="3"/>
        <v>28.545750000000002</v>
      </c>
      <c r="D125" s="407" t="s">
        <v>3184</v>
      </c>
      <c r="E125" s="407" t="s">
        <v>3824</v>
      </c>
      <c r="F125" s="407" t="s">
        <v>3825</v>
      </c>
      <c r="G125" s="407" t="s">
        <v>3826</v>
      </c>
      <c r="H125" s="460">
        <v>230.87560999999999</v>
      </c>
      <c r="I125" s="460">
        <v>8.3012099999999993</v>
      </c>
      <c r="J125" s="460">
        <v>28.545750000000002</v>
      </c>
      <c r="K125" s="460">
        <v>3195.0168899999999</v>
      </c>
      <c r="L125" s="459" t="s">
        <v>538</v>
      </c>
      <c r="M125" s="309" t="s">
        <v>571</v>
      </c>
      <c r="N125" s="182">
        <v>141.11279999999999</v>
      </c>
      <c r="O125">
        <v>7.3920000000000003</v>
      </c>
      <c r="P125" t="s">
        <v>8941</v>
      </c>
    </row>
    <row r="126" spans="1:16" ht="14.4" x14ac:dyDescent="0.3">
      <c r="A126" s="310">
        <v>89152</v>
      </c>
      <c r="B126" t="str">
        <f t="shared" si="2"/>
        <v>SEVROLL 01120 Micra tor górny / dolny 3 m, srebrny anodowany</v>
      </c>
      <c r="C126" s="185">
        <f t="shared" si="3"/>
        <v>20.6448</v>
      </c>
      <c r="D126" s="407" t="s">
        <v>2651</v>
      </c>
      <c r="E126" s="407" t="s">
        <v>3827</v>
      </c>
      <c r="F126" s="407" t="s">
        <v>1224</v>
      </c>
      <c r="G126" s="407" t="s">
        <v>3828</v>
      </c>
      <c r="H126" s="460">
        <v>165.01455000000001</v>
      </c>
      <c r="I126" s="460">
        <v>5.9331500000000004</v>
      </c>
      <c r="J126" s="460">
        <v>20.6448</v>
      </c>
      <c r="K126" s="460">
        <v>2283.58554</v>
      </c>
      <c r="L126" s="459" t="s">
        <v>538</v>
      </c>
      <c r="M126" s="309" t="s">
        <v>571</v>
      </c>
      <c r="N126" s="182">
        <v>141.11279999999999</v>
      </c>
      <c r="O126">
        <v>5.5659999999999998</v>
      </c>
      <c r="P126" t="s">
        <v>8942</v>
      </c>
    </row>
    <row r="127" spans="1:16" ht="14.4" x14ac:dyDescent="0.3">
      <c r="A127" s="310">
        <v>89277</v>
      </c>
      <c r="B127" t="str">
        <f t="shared" si="2"/>
        <v>SEVROLL profil "U" Decor do płyty laminowanej 16mm 3m srebrny</v>
      </c>
      <c r="C127" s="185" t="e">
        <f t="shared" si="3"/>
        <v>#N/A</v>
      </c>
      <c r="D127" s="407" t="s">
        <v>2687</v>
      </c>
      <c r="E127" s="407" t="s">
        <v>3829</v>
      </c>
      <c r="F127" s="407" t="s">
        <v>3830</v>
      </c>
      <c r="G127" s="407" t="s">
        <v>3831</v>
      </c>
      <c r="H127" s="460" t="e">
        <v>#N/A</v>
      </c>
      <c r="I127" s="460" t="e">
        <v>#N/A</v>
      </c>
      <c r="J127" s="460" t="e">
        <v>#N/A</v>
      </c>
      <c r="K127" s="460" t="e">
        <v>#N/A</v>
      </c>
      <c r="L127" s="459" t="e">
        <v>#N/A</v>
      </c>
      <c r="M127" s="309" t="s">
        <v>571</v>
      </c>
      <c r="N127" s="182">
        <v>141.76609999999999</v>
      </c>
      <c r="O127" t="e">
        <v>#N/A</v>
      </c>
      <c r="P127" t="e">
        <v>#N/A</v>
      </c>
    </row>
    <row r="128" spans="1:16" ht="14.4" x14ac:dyDescent="0.3">
      <c r="A128" s="310">
        <v>134300</v>
      </c>
      <c r="B128" t="str">
        <f t="shared" si="2"/>
        <v>SEVROLL Szpros S20 3m srebrny</v>
      </c>
      <c r="C128" s="185">
        <f t="shared" si="3"/>
        <v>21.725999999999999</v>
      </c>
      <c r="D128" s="407" t="s">
        <v>2839</v>
      </c>
      <c r="E128" s="407" t="s">
        <v>3832</v>
      </c>
      <c r="F128" s="407" t="s">
        <v>1217</v>
      </c>
      <c r="G128" s="407" t="s">
        <v>3833</v>
      </c>
      <c r="H128" s="460">
        <v>172.97577000000001</v>
      </c>
      <c r="I128" s="460">
        <v>6.2194000000000003</v>
      </c>
      <c r="J128" s="460">
        <v>21.725999999999999</v>
      </c>
      <c r="K128" s="460">
        <v>2393.7587699999999</v>
      </c>
      <c r="L128" s="459" t="s">
        <v>538</v>
      </c>
      <c r="M128" s="309" t="s">
        <v>571</v>
      </c>
      <c r="N128" s="182">
        <v>142.4194</v>
      </c>
      <c r="O128">
        <v>5.83</v>
      </c>
      <c r="P128" t="s">
        <v>8943</v>
      </c>
    </row>
    <row r="129" spans="1:16" ht="14.4" x14ac:dyDescent="0.3">
      <c r="A129" s="313">
        <v>252423</v>
      </c>
      <c r="B129" t="str">
        <f t="shared" si="2"/>
        <v>SEVROLL Hide N tor dolny 1,7 m, srebrny</v>
      </c>
      <c r="C129" s="185">
        <f t="shared" si="3"/>
        <v>24.60145</v>
      </c>
      <c r="D129" s="407" t="s">
        <v>3190</v>
      </c>
      <c r="E129" s="407" t="s">
        <v>3834</v>
      </c>
      <c r="F129" s="407" t="s">
        <v>3835</v>
      </c>
      <c r="G129" s="407" t="s">
        <v>3836</v>
      </c>
      <c r="H129" s="460">
        <v>191.10332</v>
      </c>
      <c r="I129" s="460">
        <v>7.2082600000000001</v>
      </c>
      <c r="J129" s="460">
        <v>24.60145</v>
      </c>
      <c r="K129" s="460">
        <v>2719.9571500000002</v>
      </c>
      <c r="L129" s="459" t="s">
        <v>539</v>
      </c>
      <c r="M129" s="314" t="s">
        <v>571</v>
      </c>
      <c r="N129" s="182">
        <v>144.51274000000001</v>
      </c>
      <c r="O129">
        <v>6.7539999999999996</v>
      </c>
      <c r="P129" t="s">
        <v>8944</v>
      </c>
    </row>
    <row r="130" spans="1:16" ht="14.4" x14ac:dyDescent="0.3">
      <c r="A130" s="313">
        <v>308671</v>
      </c>
      <c r="B130" t="str">
        <f t="shared" si="2"/>
        <v>SEVROLL Hide M tor dolny 2,35m srebrny</v>
      </c>
      <c r="C130" s="185" t="e">
        <f t="shared" si="3"/>
        <v>#N/A</v>
      </c>
      <c r="D130" s="407" t="s">
        <v>3313</v>
      </c>
      <c r="E130" s="407" t="s">
        <v>3837</v>
      </c>
      <c r="F130" s="407" t="s">
        <v>3838</v>
      </c>
      <c r="G130" s="407" t="s">
        <v>3839</v>
      </c>
      <c r="H130" s="460" t="e">
        <v>#N/A</v>
      </c>
      <c r="I130" s="460" t="e">
        <v>#N/A</v>
      </c>
      <c r="J130" s="460" t="e">
        <v>#N/A</v>
      </c>
      <c r="K130" s="460" t="e">
        <v>#N/A</v>
      </c>
      <c r="L130" s="459" t="e">
        <v>#N/A</v>
      </c>
      <c r="M130" s="314" t="s">
        <v>571</v>
      </c>
      <c r="N130" s="182">
        <v>145.1438</v>
      </c>
      <c r="O130">
        <v>6.4240000000000004</v>
      </c>
      <c r="P130" t="s">
        <v>8945</v>
      </c>
    </row>
    <row r="131" spans="1:16" ht="14.4" x14ac:dyDescent="0.3">
      <c r="A131" s="310">
        <v>89093</v>
      </c>
      <c r="B131" t="str">
        <f t="shared" si="2"/>
        <v>SEVROLL Focus 16mm rączka 2,7m jasny brąz</v>
      </c>
      <c r="C131" s="185">
        <f t="shared" si="3"/>
        <v>29.08267</v>
      </c>
      <c r="D131" s="407" t="s">
        <v>2675</v>
      </c>
      <c r="E131" s="407" t="s">
        <v>3840</v>
      </c>
      <c r="F131" s="407" t="s">
        <v>2675</v>
      </c>
      <c r="G131" s="407" t="s">
        <v>3841</v>
      </c>
      <c r="H131" s="460">
        <v>235.21811</v>
      </c>
      <c r="I131" s="460">
        <v>8.4573499999999999</v>
      </c>
      <c r="J131" s="460">
        <v>29.08267</v>
      </c>
      <c r="K131" s="460">
        <v>3255.1110800000001</v>
      </c>
      <c r="L131" s="459" t="s">
        <v>539</v>
      </c>
      <c r="M131" s="309" t="s">
        <v>571</v>
      </c>
      <c r="N131" s="182">
        <v>146.99250000000001</v>
      </c>
      <c r="O131">
        <v>7.4359999999999999</v>
      </c>
      <c r="P131" t="s">
        <v>8946</v>
      </c>
    </row>
    <row r="132" spans="1:16" ht="14.4" x14ac:dyDescent="0.3">
      <c r="A132" s="310">
        <v>163123</v>
      </c>
      <c r="B132" t="str">
        <f t="shared" ref="B132:B195" si="4">IF($A$2=1,D132,IF($A$2=2,F132,IF($A$2=3,G132,IF($A$2=4,E132,IF($A$2&gt;4,P132,"zadat jazyk")))))</f>
        <v>SEVROLL 02865 Doubler II maskownica 2,35m srebrna</v>
      </c>
      <c r="C132" s="185">
        <f t="shared" ref="C132:C195" si="5">IF($A$2=1,H132,IF($A$2=2,I132,IF($A$2=3,J132,IF($A$2=4,K132,IF($A$2&gt;4,O132,"zadat jazyk")))))</f>
        <v>22.593</v>
      </c>
      <c r="D132" s="407" t="s">
        <v>2894</v>
      </c>
      <c r="E132" s="407" t="s">
        <v>3842</v>
      </c>
      <c r="F132" s="407" t="s">
        <v>1257</v>
      </c>
      <c r="G132" s="407" t="s">
        <v>3843</v>
      </c>
      <c r="H132" s="460">
        <v>180.21324999999999</v>
      </c>
      <c r="I132" s="460">
        <v>6.4796300000000002</v>
      </c>
      <c r="J132" s="460">
        <v>22.593</v>
      </c>
      <c r="K132" s="460">
        <v>2493.9160400000001</v>
      </c>
      <c r="L132" s="459" t="s">
        <v>538</v>
      </c>
      <c r="M132" s="309" t="s">
        <v>571</v>
      </c>
      <c r="N132" s="182">
        <v>148.29910000000001</v>
      </c>
      <c r="O132">
        <v>6.0720000000000001</v>
      </c>
      <c r="P132" t="s">
        <v>8947</v>
      </c>
    </row>
    <row r="133" spans="1:16" ht="14.4" x14ac:dyDescent="0.3">
      <c r="A133" s="310">
        <v>89016</v>
      </c>
      <c r="B133" t="str">
        <f t="shared" si="4"/>
        <v>SEVROLL 00036 profil "U" Decor 18mm 3m stříbrná</v>
      </c>
      <c r="C133" s="185">
        <f t="shared" si="5"/>
        <v>24.518930000000001</v>
      </c>
      <c r="D133" s="407" t="s">
        <v>2705</v>
      </c>
      <c r="E133" s="407" t="s">
        <v>3844</v>
      </c>
      <c r="F133" s="407" t="s">
        <v>3845</v>
      </c>
      <c r="G133" s="407" t="s">
        <v>2705</v>
      </c>
      <c r="H133" s="460">
        <v>198.30694</v>
      </c>
      <c r="I133" s="460">
        <v>7.1301899999999998</v>
      </c>
      <c r="J133" s="460">
        <v>24.518930000000001</v>
      </c>
      <c r="K133" s="460">
        <v>2744.3092099999999</v>
      </c>
      <c r="L133" s="459" t="s">
        <v>538</v>
      </c>
      <c r="M133" s="309" t="s">
        <v>571</v>
      </c>
      <c r="N133" s="182">
        <v>148.95240000000001</v>
      </c>
      <c r="O133">
        <v>6.3360000000000003</v>
      </c>
      <c r="P133" t="s">
        <v>8948</v>
      </c>
    </row>
    <row r="134" spans="1:16" ht="14.4" x14ac:dyDescent="0.3">
      <c r="A134" s="310">
        <v>229441</v>
      </c>
      <c r="B134" t="str">
        <f t="shared" si="4"/>
        <v>SEVROLL wózek dolny WD 10C HI-TEC - 2szt</v>
      </c>
      <c r="C134" s="185">
        <f t="shared" si="5"/>
        <v>26.3874</v>
      </c>
      <c r="D134" s="407" t="s">
        <v>3156</v>
      </c>
      <c r="E134" s="407" t="s">
        <v>3846</v>
      </c>
      <c r="F134" s="407" t="s">
        <v>3847</v>
      </c>
      <c r="G134" s="407" t="s">
        <v>3848</v>
      </c>
      <c r="H134" s="460">
        <v>196.60954000000001</v>
      </c>
      <c r="I134" s="460">
        <v>6.6617899999999999</v>
      </c>
      <c r="J134" s="460">
        <v>26.3874</v>
      </c>
      <c r="K134" s="460">
        <v>2624.35581</v>
      </c>
      <c r="L134" s="459" t="s">
        <v>538</v>
      </c>
      <c r="M134" s="309" t="s">
        <v>572</v>
      </c>
      <c r="N134" s="182">
        <v>149.60570000000001</v>
      </c>
      <c r="O134">
        <v>6.2480000000000002</v>
      </c>
      <c r="P134" t="s">
        <v>8949</v>
      </c>
    </row>
    <row r="135" spans="1:16" ht="14.4" x14ac:dyDescent="0.3">
      <c r="A135" s="310">
        <v>162316</v>
      </c>
      <c r="B135" t="str">
        <f t="shared" si="4"/>
        <v>SEVROLL First tor górny / dolny 1,8m jasny brąz</v>
      </c>
      <c r="C135" s="185">
        <f t="shared" si="5"/>
        <v>32.609400000000001</v>
      </c>
      <c r="D135" s="407" t="s">
        <v>2881</v>
      </c>
      <c r="E135" s="407" t="s">
        <v>3849</v>
      </c>
      <c r="F135" s="407" t="s">
        <v>3850</v>
      </c>
      <c r="G135" s="407" t="s">
        <v>3851</v>
      </c>
      <c r="H135" s="460">
        <v>243.90307999999999</v>
      </c>
      <c r="I135" s="460">
        <v>8.7592099999999995</v>
      </c>
      <c r="J135" s="460">
        <v>32.609400000000001</v>
      </c>
      <c r="K135" s="460">
        <v>3375.29988</v>
      </c>
      <c r="L135" s="459" t="s">
        <v>539</v>
      </c>
      <c r="M135" s="309" t="s">
        <v>571</v>
      </c>
      <c r="N135" s="182">
        <v>150.25899999999999</v>
      </c>
      <c r="O135">
        <v>7.4359999999999999</v>
      </c>
      <c r="P135" t="s">
        <v>8950</v>
      </c>
    </row>
    <row r="136" spans="1:16" ht="14.4" x14ac:dyDescent="0.3">
      <c r="A136" s="310">
        <v>89019</v>
      </c>
      <c r="B136" t="str">
        <f t="shared" si="4"/>
        <v>SEVROLL First tor górny / dolny 1,8m srebrny</v>
      </c>
      <c r="C136" s="185">
        <f t="shared" si="5"/>
        <v>29.631</v>
      </c>
      <c r="D136" s="407" t="s">
        <v>2724</v>
      </c>
      <c r="E136" s="407" t="s">
        <v>3852</v>
      </c>
      <c r="F136" s="407" t="s">
        <v>3853</v>
      </c>
      <c r="G136" s="407" t="s">
        <v>3854</v>
      </c>
      <c r="H136" s="460">
        <v>220.74315000000001</v>
      </c>
      <c r="I136" s="460">
        <v>7.93689</v>
      </c>
      <c r="J136" s="460">
        <v>29.631</v>
      </c>
      <c r="K136" s="460">
        <v>3054.79655</v>
      </c>
      <c r="L136" s="459" t="s">
        <v>539</v>
      </c>
      <c r="M136" s="309" t="s">
        <v>571</v>
      </c>
      <c r="N136" s="182">
        <v>150.25899999999999</v>
      </c>
      <c r="O136">
        <v>7.4359999999999999</v>
      </c>
      <c r="P136" t="s">
        <v>8951</v>
      </c>
    </row>
    <row r="137" spans="1:16" ht="14.4" x14ac:dyDescent="0.3">
      <c r="A137" s="310">
        <v>224017</v>
      </c>
      <c r="B137" t="str">
        <f t="shared" si="4"/>
        <v>SEVROLL Simple tor dolny 2 m srebrny</v>
      </c>
      <c r="C137" s="185">
        <f t="shared" si="5"/>
        <v>27.562619999999999</v>
      </c>
      <c r="D137" s="407" t="s">
        <v>3088</v>
      </c>
      <c r="E137" s="407" t="s">
        <v>3855</v>
      </c>
      <c r="F137" s="407" t="s">
        <v>3856</v>
      </c>
      <c r="G137" s="407" t="s">
        <v>3857</v>
      </c>
      <c r="H137" s="460">
        <v>211.20165</v>
      </c>
      <c r="I137" s="460">
        <v>7.6766699999999997</v>
      </c>
      <c r="J137" s="460">
        <v>27.562619999999999</v>
      </c>
      <c r="K137" s="460">
        <v>3000.98659</v>
      </c>
      <c r="L137" s="459" t="s">
        <v>539</v>
      </c>
      <c r="M137" s="309" t="s">
        <v>571</v>
      </c>
      <c r="N137" s="182">
        <v>153.1224</v>
      </c>
      <c r="O137">
        <v>7.4359999999999999</v>
      </c>
      <c r="P137" t="s">
        <v>8952</v>
      </c>
    </row>
    <row r="138" spans="1:16" ht="14.4" x14ac:dyDescent="0.3">
      <c r="A138" s="310">
        <v>98092</v>
      </c>
      <c r="B138" t="str">
        <f t="shared" si="4"/>
        <v>SEVROLL Comfort wózek górny 18mm - 2szt</v>
      </c>
      <c r="C138" s="185">
        <f t="shared" si="5"/>
        <v>25.245000000000001</v>
      </c>
      <c r="D138" s="407" t="s">
        <v>2787</v>
      </c>
      <c r="E138" s="407" t="s">
        <v>3858</v>
      </c>
      <c r="F138" s="407" t="s">
        <v>3859</v>
      </c>
      <c r="G138" s="407" t="s">
        <v>3860</v>
      </c>
      <c r="H138" s="460">
        <v>212.73766000000001</v>
      </c>
      <c r="I138" s="460">
        <v>7.2082600000000001</v>
      </c>
      <c r="J138" s="460">
        <v>25.245000000000001</v>
      </c>
      <c r="K138" s="460">
        <v>2839.63526</v>
      </c>
      <c r="L138" s="459" t="s">
        <v>538</v>
      </c>
      <c r="M138" s="309" t="s">
        <v>572</v>
      </c>
      <c r="N138" s="182">
        <v>155.4854</v>
      </c>
      <c r="O138">
        <v>6.7759999999999998</v>
      </c>
      <c r="P138" t="s">
        <v>8953</v>
      </c>
    </row>
    <row r="139" spans="1:16" ht="14.4" x14ac:dyDescent="0.3">
      <c r="A139" s="310">
        <v>163131</v>
      </c>
      <c r="B139" t="str">
        <f t="shared" si="4"/>
        <v>SEVROLL Doubler II maskownica 2,35m jasny brąz</v>
      </c>
      <c r="C139" s="185">
        <f t="shared" si="5"/>
        <v>27.113990000000001</v>
      </c>
      <c r="D139" s="407" t="s">
        <v>2898</v>
      </c>
      <c r="E139" s="407" t="s">
        <v>3861</v>
      </c>
      <c r="F139" s="407" t="s">
        <v>2898</v>
      </c>
      <c r="G139" s="407" t="s">
        <v>3862</v>
      </c>
      <c r="H139" s="460">
        <v>219.29562999999999</v>
      </c>
      <c r="I139" s="460">
        <v>7.8848500000000001</v>
      </c>
      <c r="J139" s="460">
        <v>27.113990000000001</v>
      </c>
      <c r="K139" s="460">
        <v>3034.7650199999998</v>
      </c>
      <c r="L139" s="459" t="s">
        <v>539</v>
      </c>
      <c r="M139" s="309" t="s">
        <v>571</v>
      </c>
      <c r="N139" s="182">
        <v>155.4854</v>
      </c>
      <c r="O139">
        <v>6.6660000000000004</v>
      </c>
      <c r="P139" t="s">
        <v>8954</v>
      </c>
    </row>
    <row r="140" spans="1:16" ht="14.4" x14ac:dyDescent="0.3">
      <c r="A140" s="310">
        <v>98048</v>
      </c>
      <c r="B140" t="str">
        <f t="shared" si="4"/>
        <v>SEVROLL Future wózek górny 10mm L+P</v>
      </c>
      <c r="C140" s="185">
        <f t="shared" si="5"/>
        <v>25.245000000000001</v>
      </c>
      <c r="D140" s="407" t="s">
        <v>2761</v>
      </c>
      <c r="E140" s="407" t="s">
        <v>3863</v>
      </c>
      <c r="F140" s="407" t="s">
        <v>3864</v>
      </c>
      <c r="G140" s="407" t="s">
        <v>3865</v>
      </c>
      <c r="H140" s="460">
        <v>204.28959</v>
      </c>
      <c r="I140" s="460">
        <v>6.9220100000000002</v>
      </c>
      <c r="J140" s="460">
        <v>25.245000000000001</v>
      </c>
      <c r="K140" s="460">
        <v>2726.8697200000001</v>
      </c>
      <c r="L140" s="459" t="s">
        <v>538</v>
      </c>
      <c r="M140" s="309" t="s">
        <v>572</v>
      </c>
      <c r="N140" s="182">
        <v>155.4854</v>
      </c>
      <c r="O140">
        <v>6.49</v>
      </c>
      <c r="P140" t="s">
        <v>8955</v>
      </c>
    </row>
    <row r="141" spans="1:16" ht="14.4" x14ac:dyDescent="0.3">
      <c r="A141" s="310">
        <v>89251</v>
      </c>
      <c r="B141" t="str">
        <f t="shared" si="4"/>
        <v>SEVROLL - listwa pozioma górna 1,7 m złota</v>
      </c>
      <c r="C141" s="185">
        <f t="shared" si="5"/>
        <v>50.755200000000002</v>
      </c>
      <c r="D141" s="407" t="s">
        <v>2677</v>
      </c>
      <c r="E141" s="407" t="s">
        <v>3866</v>
      </c>
      <c r="F141" s="407" t="s">
        <v>3867</v>
      </c>
      <c r="G141" s="407" t="s">
        <v>3868</v>
      </c>
      <c r="H141" s="460">
        <v>267.78674999999998</v>
      </c>
      <c r="I141" s="460">
        <v>9.6283600000000007</v>
      </c>
      <c r="J141" s="460">
        <v>50.755200000000002</v>
      </c>
      <c r="K141" s="460">
        <v>3705.8187600000001</v>
      </c>
      <c r="L141" s="459" t="s">
        <v>539</v>
      </c>
      <c r="M141" s="309" t="s">
        <v>571</v>
      </c>
      <c r="N141" s="182">
        <v>157.4453</v>
      </c>
      <c r="O141">
        <v>8.14</v>
      </c>
      <c r="P141" t="s">
        <v>8956</v>
      </c>
    </row>
    <row r="142" spans="1:16" ht="14.4" x14ac:dyDescent="0.3">
      <c r="A142" s="310">
        <v>349862</v>
      </c>
      <c r="B142" t="str">
        <f t="shared" si="4"/>
        <v>SEVROLL Blue-C tor dolny 2,5m srebrny</v>
      </c>
      <c r="C142" s="185" t="e">
        <f t="shared" si="5"/>
        <v>#N/A</v>
      </c>
      <c r="D142" s="407" t="s">
        <v>3416</v>
      </c>
      <c r="E142" s="407" t="s">
        <v>3869</v>
      </c>
      <c r="F142" s="407" t="s">
        <v>3870</v>
      </c>
      <c r="G142" s="407" t="s">
        <v>3871</v>
      </c>
      <c r="H142" s="460" t="e">
        <v>#N/A</v>
      </c>
      <c r="I142" s="460" t="e">
        <v>#N/A</v>
      </c>
      <c r="J142" s="460" t="e">
        <v>#N/A</v>
      </c>
      <c r="K142" s="460" t="e">
        <v>#N/A</v>
      </c>
      <c r="L142" s="459" t="e">
        <v>#N/A</v>
      </c>
      <c r="M142" s="309" t="s">
        <v>571</v>
      </c>
      <c r="N142" s="182">
        <v>157.626</v>
      </c>
      <c r="O142">
        <v>7.6120000000000001</v>
      </c>
      <c r="P142" t="s">
        <v>8957</v>
      </c>
    </row>
    <row r="143" spans="1:16" ht="14.4" x14ac:dyDescent="0.3">
      <c r="A143" s="310">
        <v>102833</v>
      </c>
      <c r="B143" t="str">
        <f t="shared" si="4"/>
        <v>SEVROLL Maxim listwa łącząca H18 1,8 m srebrna</v>
      </c>
      <c r="C143" s="185" t="e">
        <f t="shared" si="5"/>
        <v>#N/A</v>
      </c>
      <c r="D143" s="407" t="s">
        <v>2808</v>
      </c>
      <c r="E143" s="407" t="s">
        <v>3872</v>
      </c>
      <c r="F143" s="407" t="s">
        <v>3873</v>
      </c>
      <c r="G143" s="407" t="s">
        <v>3874</v>
      </c>
      <c r="H143" s="460" t="e">
        <v>#N/A</v>
      </c>
      <c r="I143" s="460" t="e">
        <v>#N/A</v>
      </c>
      <c r="J143" s="460" t="e">
        <v>#N/A</v>
      </c>
      <c r="K143" s="460" t="e">
        <v>#N/A</v>
      </c>
      <c r="L143" s="459" t="e">
        <v>#N/A</v>
      </c>
      <c r="M143" s="309" t="s">
        <v>571</v>
      </c>
      <c r="N143" s="182">
        <v>158.75190000000001</v>
      </c>
      <c r="O143" t="e">
        <v>#N/A</v>
      </c>
      <c r="P143" t="e">
        <v>#N/A</v>
      </c>
    </row>
    <row r="144" spans="1:16" ht="14.4" x14ac:dyDescent="0.3">
      <c r="A144" s="310">
        <v>135154</v>
      </c>
      <c r="B144" t="str">
        <f t="shared" si="4"/>
        <v>SEVROLL 02292 Szpros S20 3m jasny brąz</v>
      </c>
      <c r="C144" s="185">
        <f t="shared" si="5"/>
        <v>26.219149999999999</v>
      </c>
      <c r="D144" s="407" t="s">
        <v>2851</v>
      </c>
      <c r="E144" s="407" t="s">
        <v>3875</v>
      </c>
      <c r="F144" s="407" t="s">
        <v>1218</v>
      </c>
      <c r="G144" s="407" t="s">
        <v>3876</v>
      </c>
      <c r="H144" s="460">
        <v>212.05815000000001</v>
      </c>
      <c r="I144" s="460">
        <v>7.6246200000000002</v>
      </c>
      <c r="J144" s="460">
        <v>26.219149999999999</v>
      </c>
      <c r="K144" s="460">
        <v>2934.6077500000001</v>
      </c>
      <c r="L144" s="459" t="s">
        <v>538</v>
      </c>
      <c r="M144" s="309" t="s">
        <v>571</v>
      </c>
      <c r="N144" s="182">
        <v>158.75190000000001</v>
      </c>
      <c r="O144">
        <v>6.4459999999999997</v>
      </c>
      <c r="P144" t="s">
        <v>8958</v>
      </c>
    </row>
    <row r="145" spans="1:16" ht="14.4" x14ac:dyDescent="0.3">
      <c r="A145" s="310">
        <v>84395</v>
      </c>
      <c r="B145" t="str">
        <f t="shared" si="4"/>
        <v>SEVROLL profil "U" do płyty laminowanej 16mm 3m jasny brąz</v>
      </c>
      <c r="C145" s="185">
        <f t="shared" si="5"/>
        <v>25.950690000000002</v>
      </c>
      <c r="D145" s="407" t="s">
        <v>2748</v>
      </c>
      <c r="E145" s="407" t="s">
        <v>3877</v>
      </c>
      <c r="F145" s="407" t="s">
        <v>3878</v>
      </c>
      <c r="G145" s="407" t="s">
        <v>3879</v>
      </c>
      <c r="H145" s="460">
        <v>209.88691</v>
      </c>
      <c r="I145" s="460">
        <v>7.5465499999999999</v>
      </c>
      <c r="J145" s="460">
        <v>25.950690000000002</v>
      </c>
      <c r="K145" s="460">
        <v>2904.5606699999998</v>
      </c>
      <c r="L145" s="459" t="s">
        <v>537</v>
      </c>
      <c r="M145" s="309" t="s">
        <v>571</v>
      </c>
      <c r="N145" s="182">
        <v>158.75190000000001</v>
      </c>
      <c r="O145">
        <v>6.7539999999999996</v>
      </c>
      <c r="P145" t="s">
        <v>8959</v>
      </c>
    </row>
    <row r="146" spans="1:16" ht="14.4" x14ac:dyDescent="0.3">
      <c r="A146" s="310">
        <v>345412</v>
      </c>
      <c r="B146" t="str">
        <f t="shared" si="4"/>
        <v>SEVROLL maska do toru Elegant II 3 m czarny szczotkowany</v>
      </c>
      <c r="C146" s="185">
        <f t="shared" si="5"/>
        <v>28.098320000000001</v>
      </c>
      <c r="D146" s="407" t="s">
        <v>3363</v>
      </c>
      <c r="E146" s="407" t="s">
        <v>3880</v>
      </c>
      <c r="F146" s="407" t="s">
        <v>3881</v>
      </c>
      <c r="G146" s="407" t="s">
        <v>3882</v>
      </c>
      <c r="H146" s="460">
        <v>227.25684999999999</v>
      </c>
      <c r="I146" s="460">
        <v>8.1710999999999991</v>
      </c>
      <c r="J146" s="460">
        <v>28.098320000000001</v>
      </c>
      <c r="K146" s="460">
        <v>3144.9382599999999</v>
      </c>
      <c r="L146" s="459" t="s">
        <v>538</v>
      </c>
      <c r="M146" s="309" t="s">
        <v>571</v>
      </c>
      <c r="N146" s="182">
        <v>159.40520000000001</v>
      </c>
      <c r="O146">
        <v>7.26</v>
      </c>
      <c r="P146" t="s">
        <v>8960</v>
      </c>
    </row>
    <row r="147" spans="1:16" ht="14.4" x14ac:dyDescent="0.3">
      <c r="A147" s="310">
        <v>345410</v>
      </c>
      <c r="B147" t="str">
        <f t="shared" si="4"/>
        <v>SEVROLL maska do toru Elegant II 3 m jasny brąz szczotkowany</v>
      </c>
      <c r="C147" s="185">
        <f t="shared" si="5"/>
        <v>28.098320000000001</v>
      </c>
      <c r="D147" s="407" t="s">
        <v>3361</v>
      </c>
      <c r="E147" s="407" t="s">
        <v>3883</v>
      </c>
      <c r="F147" s="407" t="s">
        <v>3361</v>
      </c>
      <c r="G147" s="407" t="s">
        <v>3884</v>
      </c>
      <c r="H147" s="460">
        <v>227.25684999999999</v>
      </c>
      <c r="I147" s="460">
        <v>8.1710999999999991</v>
      </c>
      <c r="J147" s="460">
        <v>28.098320000000001</v>
      </c>
      <c r="K147" s="460">
        <v>3144.9382599999999</v>
      </c>
      <c r="L147" s="459" t="s">
        <v>538</v>
      </c>
      <c r="M147" s="309" t="s">
        <v>571</v>
      </c>
      <c r="N147" s="182">
        <v>159.40520000000001</v>
      </c>
      <c r="O147">
        <v>7.26</v>
      </c>
      <c r="P147" t="s">
        <v>8961</v>
      </c>
    </row>
    <row r="148" spans="1:16" ht="14.4" x14ac:dyDescent="0.3">
      <c r="A148" s="310">
        <v>345411</v>
      </c>
      <c r="B148" t="str">
        <f t="shared" si="4"/>
        <v>SEVROLL zaślepka do toru Elegant II 3m koniak szczotkowany</v>
      </c>
      <c r="C148" s="185">
        <f t="shared" si="5"/>
        <v>28.098320000000001</v>
      </c>
      <c r="D148" s="407" t="s">
        <v>3362</v>
      </c>
      <c r="E148" s="407" t="s">
        <v>3885</v>
      </c>
      <c r="F148" s="407" t="s">
        <v>3362</v>
      </c>
      <c r="G148" s="407" t="s">
        <v>3886</v>
      </c>
      <c r="H148" s="460">
        <v>227.25684999999999</v>
      </c>
      <c r="I148" s="460">
        <v>8.1710999999999991</v>
      </c>
      <c r="J148" s="460">
        <v>28.098320000000001</v>
      </c>
      <c r="K148" s="460">
        <v>3144.9382599999999</v>
      </c>
      <c r="L148" s="459" t="s">
        <v>539</v>
      </c>
      <c r="M148" s="309" t="s">
        <v>571</v>
      </c>
      <c r="N148" s="182">
        <v>159.40520000000001</v>
      </c>
      <c r="O148">
        <v>7.26</v>
      </c>
      <c r="P148" t="s">
        <v>8962</v>
      </c>
    </row>
    <row r="149" spans="1:16" ht="14.4" x14ac:dyDescent="0.3">
      <c r="A149" s="310">
        <v>213978</v>
      </c>
      <c r="B149" t="str">
        <f t="shared" si="4"/>
        <v>SEVROLL Beta 18 rączka 2,70 m oliwka</v>
      </c>
      <c r="C149" s="185">
        <f t="shared" si="5"/>
        <v>32.986800000000002</v>
      </c>
      <c r="D149" s="407" t="s">
        <v>3004</v>
      </c>
      <c r="E149" s="407" t="s">
        <v>3887</v>
      </c>
      <c r="F149" s="407" t="s">
        <v>1188</v>
      </c>
      <c r="G149" s="407" t="s">
        <v>3888</v>
      </c>
      <c r="H149" s="460">
        <v>266.33926000000002</v>
      </c>
      <c r="I149" s="460">
        <v>9.5763200000000008</v>
      </c>
      <c r="J149" s="460">
        <v>32.986800000000002</v>
      </c>
      <c r="K149" s="460">
        <v>3685.7872400000001</v>
      </c>
      <c r="L149" s="459" t="s">
        <v>539</v>
      </c>
      <c r="M149" s="309" t="s">
        <v>571</v>
      </c>
      <c r="N149" s="182">
        <v>161.36510000000001</v>
      </c>
      <c r="O149">
        <v>8.0960000000000001</v>
      </c>
      <c r="P149" t="s">
        <v>8963</v>
      </c>
    </row>
    <row r="150" spans="1:16" ht="14.4" x14ac:dyDescent="0.3">
      <c r="A150" s="310">
        <v>180416</v>
      </c>
      <c r="B150" t="str">
        <f t="shared" si="4"/>
        <v>SEVROLL Maxim II maskownica do toru 2,5m srebrna</v>
      </c>
      <c r="C150" s="185" t="e">
        <f t="shared" si="5"/>
        <v>#N/A</v>
      </c>
      <c r="D150" s="407" t="s">
        <v>2918</v>
      </c>
      <c r="E150" s="407" t="s">
        <v>3889</v>
      </c>
      <c r="F150" s="407" t="s">
        <v>3890</v>
      </c>
      <c r="G150" s="407" t="s">
        <v>3891</v>
      </c>
      <c r="H150" s="460" t="e">
        <v>#N/A</v>
      </c>
      <c r="I150" s="460" t="e">
        <v>#N/A</v>
      </c>
      <c r="J150" s="460" t="e">
        <v>#N/A</v>
      </c>
      <c r="K150" s="460" t="e">
        <v>#N/A</v>
      </c>
      <c r="L150" s="459" t="e">
        <v>#N/A</v>
      </c>
      <c r="M150" s="309" t="s">
        <v>571</v>
      </c>
      <c r="N150" s="182">
        <v>161.36510000000001</v>
      </c>
      <c r="O150" t="e">
        <v>#N/A</v>
      </c>
      <c r="P150" t="e">
        <v>#N/A</v>
      </c>
    </row>
    <row r="151" spans="1:16" ht="14.4" x14ac:dyDescent="0.3">
      <c r="A151" s="313">
        <v>308683</v>
      </c>
      <c r="B151" t="str">
        <f t="shared" si="4"/>
        <v>SEVROLL maskownica Galaxy 1,5m srebrny</v>
      </c>
      <c r="C151" s="185" t="e">
        <f t="shared" si="5"/>
        <v>#N/A</v>
      </c>
      <c r="D151" s="407" t="s">
        <v>3315</v>
      </c>
      <c r="E151" s="407" t="s">
        <v>3892</v>
      </c>
      <c r="F151" s="407" t="s">
        <v>3893</v>
      </c>
      <c r="G151" s="407" t="s">
        <v>3894</v>
      </c>
      <c r="H151" s="460" t="e">
        <v>#N/A</v>
      </c>
      <c r="I151" s="460" t="e">
        <v>#N/A</v>
      </c>
      <c r="J151" s="460" t="e">
        <v>#N/A</v>
      </c>
      <c r="K151" s="460" t="e">
        <v>#N/A</v>
      </c>
      <c r="L151" s="459" t="e">
        <v>#N/A</v>
      </c>
      <c r="M151" s="314" t="s">
        <v>571</v>
      </c>
      <c r="N151" s="182">
        <v>161.55135999999999</v>
      </c>
      <c r="O151">
        <v>0</v>
      </c>
      <c r="P151" t="s">
        <v>8964</v>
      </c>
    </row>
    <row r="152" spans="1:16" ht="14.4" x14ac:dyDescent="0.3">
      <c r="A152" s="310">
        <v>89018</v>
      </c>
      <c r="B152" t="str">
        <f t="shared" si="4"/>
        <v>SEVROLL profil "U" Decor 18mm 3m jasny brąz</v>
      </c>
      <c r="C152" s="185">
        <f t="shared" si="5"/>
        <v>30.6934</v>
      </c>
      <c r="D152" s="407" t="s">
        <v>2706</v>
      </c>
      <c r="E152" s="407" t="s">
        <v>1110</v>
      </c>
      <c r="F152" s="407" t="s">
        <v>2706</v>
      </c>
      <c r="G152" s="407" t="s">
        <v>3895</v>
      </c>
      <c r="H152" s="460">
        <v>248.24555000000001</v>
      </c>
      <c r="I152" s="460">
        <v>8.9257500000000007</v>
      </c>
      <c r="J152" s="460">
        <v>30.6934</v>
      </c>
      <c r="K152" s="460">
        <v>3435.3940899999998</v>
      </c>
      <c r="L152" s="459" t="s">
        <v>539</v>
      </c>
      <c r="M152" s="309" t="s">
        <v>571</v>
      </c>
      <c r="N152" s="182">
        <v>162.67169999999999</v>
      </c>
      <c r="O152">
        <v>7.26</v>
      </c>
      <c r="P152" t="s">
        <v>8965</v>
      </c>
    </row>
    <row r="153" spans="1:16" ht="14.4" x14ac:dyDescent="0.3">
      <c r="A153" s="310">
        <v>212759</v>
      </c>
      <c r="B153" t="str">
        <f t="shared" si="4"/>
        <v>SEVROLL Secret Line II profil ramkowy 2,7 m srebrny</v>
      </c>
      <c r="C153" s="185">
        <f t="shared" si="5"/>
        <v>26.948399999999999</v>
      </c>
      <c r="D153" s="407" t="s">
        <v>2991</v>
      </c>
      <c r="E153" s="407" t="s">
        <v>3896</v>
      </c>
      <c r="F153" s="407" t="s">
        <v>3897</v>
      </c>
      <c r="G153" s="407" t="s">
        <v>3898</v>
      </c>
      <c r="H153" s="460">
        <v>214.95316</v>
      </c>
      <c r="I153" s="460">
        <v>7.7287100000000004</v>
      </c>
      <c r="J153" s="460">
        <v>26.948399999999999</v>
      </c>
      <c r="K153" s="460">
        <v>2974.67083</v>
      </c>
      <c r="L153" s="459" t="s">
        <v>539</v>
      </c>
      <c r="M153" s="309" t="s">
        <v>571</v>
      </c>
      <c r="N153" s="182">
        <v>162.67169999999999</v>
      </c>
      <c r="O153">
        <v>7.2380000000000004</v>
      </c>
      <c r="P153" t="s">
        <v>8966</v>
      </c>
    </row>
    <row r="154" spans="1:16" ht="14.4" x14ac:dyDescent="0.3">
      <c r="A154" s="311">
        <v>196633</v>
      </c>
      <c r="B154" t="e">
        <f t="shared" si="4"/>
        <v>#N/A</v>
      </c>
      <c r="C154" s="185" t="e">
        <f t="shared" si="5"/>
        <v>#N/A</v>
      </c>
      <c r="D154" s="407" t="e">
        <v>#N/A</v>
      </c>
      <c r="E154" s="407" t="e">
        <v>#N/A</v>
      </c>
      <c r="F154" s="407" t="e">
        <v>#N/A</v>
      </c>
      <c r="G154" s="407" t="e">
        <v>#N/A</v>
      </c>
      <c r="H154" s="460" t="e">
        <v>#N/A</v>
      </c>
      <c r="I154" s="460" t="e">
        <v>#N/A</v>
      </c>
      <c r="J154" s="460" t="e">
        <v>#N/A</v>
      </c>
      <c r="K154" s="460" t="e">
        <v>#N/A</v>
      </c>
      <c r="L154" s="459" t="e">
        <v>#N/A</v>
      </c>
      <c r="M154" s="312" t="s">
        <v>572</v>
      </c>
      <c r="N154" s="182">
        <v>163.047</v>
      </c>
      <c r="O154" t="e">
        <v>#N/A</v>
      </c>
      <c r="P154" t="e">
        <v>#N/A</v>
      </c>
    </row>
    <row r="155" spans="1:16" ht="14.4" x14ac:dyDescent="0.3">
      <c r="A155" s="310">
        <v>228202</v>
      </c>
      <c r="B155" t="str">
        <f t="shared" si="4"/>
        <v>SEVROLL Ergo 16 rączka 2,7 m srebrna</v>
      </c>
      <c r="C155" s="185" t="e">
        <f t="shared" si="5"/>
        <v>#N/A</v>
      </c>
      <c r="D155" s="407" t="s">
        <v>3149</v>
      </c>
      <c r="E155" s="407" t="s">
        <v>3899</v>
      </c>
      <c r="F155" s="407" t="s">
        <v>1177</v>
      </c>
      <c r="G155" s="407" t="s">
        <v>3900</v>
      </c>
      <c r="H155" s="460" t="e">
        <v>#N/A</v>
      </c>
      <c r="I155" s="460" t="e">
        <v>#N/A</v>
      </c>
      <c r="J155" s="460" t="e">
        <v>#N/A</v>
      </c>
      <c r="K155" s="460" t="e">
        <v>#N/A</v>
      </c>
      <c r="L155" s="459" t="e">
        <v>#N/A</v>
      </c>
      <c r="M155" s="309" t="s">
        <v>571</v>
      </c>
      <c r="N155" s="182">
        <v>163.32499999999999</v>
      </c>
      <c r="O155">
        <v>6.9960000000000004</v>
      </c>
      <c r="P155" t="s">
        <v>8967</v>
      </c>
    </row>
    <row r="156" spans="1:16" ht="14.4" x14ac:dyDescent="0.3">
      <c r="A156" s="310">
        <v>143983</v>
      </c>
      <c r="B156" t="str">
        <f t="shared" si="4"/>
        <v>SEVROLL 02777 Ergo rączka 2,7m srebrna</v>
      </c>
      <c r="C156" s="185">
        <f t="shared" si="5"/>
        <v>33.579320000000003</v>
      </c>
      <c r="D156" s="407" t="s">
        <v>2877</v>
      </c>
      <c r="E156" s="407" t="s">
        <v>3901</v>
      </c>
      <c r="F156" s="407" t="s">
        <v>3902</v>
      </c>
      <c r="G156" s="407" t="s">
        <v>3903</v>
      </c>
      <c r="H156" s="460">
        <v>215.76692</v>
      </c>
      <c r="I156" s="460">
        <v>7.8588300000000002</v>
      </c>
      <c r="J156" s="460">
        <v>33.579320000000003</v>
      </c>
      <c r="K156" s="460">
        <v>2864.4975899999999</v>
      </c>
      <c r="L156" s="459" t="s">
        <v>538</v>
      </c>
      <c r="M156" s="309" t="s">
        <v>571</v>
      </c>
      <c r="N156" s="182">
        <v>163.32499999999999</v>
      </c>
      <c r="O156">
        <v>6.9960000000000004</v>
      </c>
      <c r="P156" t="s">
        <v>8968</v>
      </c>
    </row>
    <row r="157" spans="1:16" ht="14.4" x14ac:dyDescent="0.3">
      <c r="A157" s="310">
        <v>245813</v>
      </c>
      <c r="B157" t="e">
        <f t="shared" si="4"/>
        <v>#N/A</v>
      </c>
      <c r="C157" s="185" t="e">
        <f t="shared" si="5"/>
        <v>#N/A</v>
      </c>
      <c r="D157" s="407" t="e">
        <v>#N/A</v>
      </c>
      <c r="E157" s="407" t="e">
        <v>#N/A</v>
      </c>
      <c r="F157" s="407" t="e">
        <v>#N/A</v>
      </c>
      <c r="G157" s="407" t="e">
        <v>#N/A</v>
      </c>
      <c r="H157" s="460" t="e">
        <v>#N/A</v>
      </c>
      <c r="I157" s="460" t="e">
        <v>#N/A</v>
      </c>
      <c r="J157" s="460" t="e">
        <v>#N/A</v>
      </c>
      <c r="K157" s="460" t="e">
        <v>#N/A</v>
      </c>
      <c r="L157" s="459" t="e">
        <v>#N/A</v>
      </c>
      <c r="M157" s="309" t="s">
        <v>571</v>
      </c>
      <c r="N157" s="182">
        <v>163.32499999999999</v>
      </c>
      <c r="O157" t="e">
        <v>#N/A</v>
      </c>
      <c r="P157" t="e">
        <v>#N/A</v>
      </c>
    </row>
    <row r="158" spans="1:16" ht="14.4" x14ac:dyDescent="0.3">
      <c r="A158" s="310">
        <v>284598</v>
      </c>
      <c r="B158" t="str">
        <f t="shared" si="4"/>
        <v>SEVROLL Focus II 18 mm rączka 2,7 m, złota</v>
      </c>
      <c r="C158" s="185">
        <f t="shared" si="5"/>
        <v>36.509929999999997</v>
      </c>
      <c r="D158" s="407" t="s">
        <v>3258</v>
      </c>
      <c r="E158" s="407" t="s">
        <v>3904</v>
      </c>
      <c r="F158" s="407" t="s">
        <v>3258</v>
      </c>
      <c r="G158" s="407" t="s">
        <v>3905</v>
      </c>
      <c r="H158" s="460">
        <v>295.28917999999999</v>
      </c>
      <c r="I158" s="460">
        <v>10.61722</v>
      </c>
      <c r="J158" s="460">
        <v>36.509929999999997</v>
      </c>
      <c r="K158" s="460">
        <v>4086.4163100000001</v>
      </c>
      <c r="L158" s="459" t="s">
        <v>539</v>
      </c>
      <c r="M158" s="309" t="s">
        <v>571</v>
      </c>
      <c r="N158" s="182">
        <v>163.32499999999999</v>
      </c>
      <c r="O158">
        <v>8.9760000000000009</v>
      </c>
      <c r="P158" t="s">
        <v>8969</v>
      </c>
    </row>
    <row r="159" spans="1:16" ht="14.4" x14ac:dyDescent="0.3">
      <c r="A159" s="310">
        <v>228219</v>
      </c>
      <c r="B159" t="str">
        <f t="shared" si="4"/>
        <v>SEVROLL Factor 16 rączka srebrny 2,70 m</v>
      </c>
      <c r="C159" s="185" t="e">
        <f t="shared" si="5"/>
        <v>#N/A</v>
      </c>
      <c r="D159" s="407" t="s">
        <v>3906</v>
      </c>
      <c r="E159" s="407" t="s">
        <v>3907</v>
      </c>
      <c r="F159" s="407" t="s">
        <v>3908</v>
      </c>
      <c r="G159" s="407" t="s">
        <v>3909</v>
      </c>
      <c r="H159" s="460" t="e">
        <v>#N/A</v>
      </c>
      <c r="I159" s="460" t="e">
        <v>#N/A</v>
      </c>
      <c r="J159" s="460" t="e">
        <v>#N/A</v>
      </c>
      <c r="K159" s="460" t="e">
        <v>#N/A</v>
      </c>
      <c r="L159" s="459" t="e">
        <v>#N/A</v>
      </c>
      <c r="M159" s="309" t="s">
        <v>571</v>
      </c>
      <c r="N159" s="182">
        <v>165.61154999999999</v>
      </c>
      <c r="O159" t="e">
        <v>#N/A</v>
      </c>
      <c r="P159" t="e">
        <v>#N/A</v>
      </c>
    </row>
    <row r="160" spans="1:16" ht="14.4" x14ac:dyDescent="0.3">
      <c r="A160" s="313">
        <v>252425</v>
      </c>
      <c r="B160" t="str">
        <f t="shared" si="4"/>
        <v>SEVROLL wspornik ścienny do toru Single</v>
      </c>
      <c r="C160" s="185" t="e">
        <f t="shared" si="5"/>
        <v>#N/A</v>
      </c>
      <c r="D160" s="407" t="s">
        <v>3192</v>
      </c>
      <c r="E160" s="407" t="s">
        <v>3910</v>
      </c>
      <c r="F160" s="407" t="s">
        <v>1097</v>
      </c>
      <c r="G160" s="407" t="s">
        <v>3911</v>
      </c>
      <c r="H160" s="460" t="e">
        <v>#N/A</v>
      </c>
      <c r="I160" s="460" t="e">
        <v>#N/A</v>
      </c>
      <c r="J160" s="460" t="e">
        <v>#N/A</v>
      </c>
      <c r="K160" s="460" t="e">
        <v>#N/A</v>
      </c>
      <c r="L160" s="459" t="e">
        <v>#N/A</v>
      </c>
      <c r="M160" s="314" t="s">
        <v>574</v>
      </c>
      <c r="N160" s="182">
        <v>166.59984</v>
      </c>
      <c r="O160">
        <v>6.8419999999999996</v>
      </c>
      <c r="P160" t="s">
        <v>8970</v>
      </c>
    </row>
    <row r="161" spans="1:16" ht="14.4" x14ac:dyDescent="0.3">
      <c r="A161" s="310">
        <v>224147</v>
      </c>
      <c r="B161" t="str">
        <f t="shared" si="4"/>
        <v>SEVROLL tor dolny Simple/Blue 2m (do płyty laminowanej 10mm) srebrny</v>
      </c>
      <c r="C161" s="185">
        <f t="shared" si="5"/>
        <v>30.410119999999999</v>
      </c>
      <c r="D161" s="407" t="s">
        <v>3113</v>
      </c>
      <c r="E161" s="407" t="s">
        <v>3912</v>
      </c>
      <c r="F161" s="407" t="s">
        <v>3913</v>
      </c>
      <c r="G161" s="407" t="s">
        <v>3914</v>
      </c>
      <c r="H161" s="460">
        <v>220.50882999999999</v>
      </c>
      <c r="I161" s="460">
        <v>8.0149600000000003</v>
      </c>
      <c r="J161" s="460">
        <v>30.410119999999999</v>
      </c>
      <c r="K161" s="460">
        <v>3133.2333600000002</v>
      </c>
      <c r="L161" s="459" t="s">
        <v>538</v>
      </c>
      <c r="M161" s="309" t="s">
        <v>571</v>
      </c>
      <c r="N161" s="182">
        <v>167.38380000000001</v>
      </c>
      <c r="O161">
        <v>7.524</v>
      </c>
      <c r="P161" t="s">
        <v>8971</v>
      </c>
    </row>
    <row r="162" spans="1:16" ht="14.4" x14ac:dyDescent="0.3">
      <c r="A162" s="310">
        <v>224125</v>
      </c>
      <c r="B162" t="str">
        <f t="shared" si="4"/>
        <v>SEVROLL Simple tor dolny 2 m oliwka</v>
      </c>
      <c r="C162" s="185" t="e">
        <f t="shared" si="5"/>
        <v>#N/A</v>
      </c>
      <c r="D162" s="407" t="s">
        <v>3098</v>
      </c>
      <c r="E162" s="407" t="s">
        <v>3915</v>
      </c>
      <c r="F162" s="407" t="s">
        <v>3916</v>
      </c>
      <c r="G162" s="407" t="s">
        <v>3917</v>
      </c>
      <c r="H162" s="460" t="e">
        <v>#N/A</v>
      </c>
      <c r="I162" s="460" t="e">
        <v>#N/A</v>
      </c>
      <c r="J162" s="460" t="e">
        <v>#N/A</v>
      </c>
      <c r="K162" s="460" t="e">
        <v>#N/A</v>
      </c>
      <c r="L162" s="459" t="e">
        <v>#N/A</v>
      </c>
      <c r="M162" s="309" t="s">
        <v>571</v>
      </c>
      <c r="N162" s="182">
        <v>167.38380000000001</v>
      </c>
      <c r="O162" t="e">
        <v>#N/A</v>
      </c>
      <c r="P162" t="e">
        <v>#N/A</v>
      </c>
    </row>
    <row r="163" spans="1:16" ht="14.4" x14ac:dyDescent="0.3">
      <c r="A163" s="310">
        <v>349476</v>
      </c>
      <c r="B163" t="str">
        <f t="shared" si="4"/>
        <v>SEVROLL Blue-V tor dolny 2m srebrny</v>
      </c>
      <c r="C163" s="185">
        <f t="shared" si="5"/>
        <v>33.713859999999997</v>
      </c>
      <c r="D163" s="407" t="s">
        <v>3382</v>
      </c>
      <c r="E163" s="407" t="s">
        <v>3918</v>
      </c>
      <c r="F163" s="407" t="s">
        <v>3919</v>
      </c>
      <c r="G163" s="407" t="s">
        <v>3920</v>
      </c>
      <c r="H163" s="460">
        <v>221.94069999999999</v>
      </c>
      <c r="I163" s="460">
        <v>8.0670099999999998</v>
      </c>
      <c r="J163" s="460">
        <v>33.713859999999997</v>
      </c>
      <c r="K163" s="460">
        <v>3153.5790999999999</v>
      </c>
      <c r="L163" s="459" t="s">
        <v>538</v>
      </c>
      <c r="M163" s="309" t="s">
        <v>571</v>
      </c>
      <c r="N163" s="182">
        <v>168.88499999999999</v>
      </c>
      <c r="O163">
        <v>8.0299999999999994</v>
      </c>
      <c r="P163" t="s">
        <v>8972</v>
      </c>
    </row>
    <row r="164" spans="1:16" ht="14.4" x14ac:dyDescent="0.3">
      <c r="A164" s="310">
        <v>284540</v>
      </c>
      <c r="B164" t="str">
        <f t="shared" si="4"/>
        <v>SEVROLL Maxim wózek górny 18mm asymetryczny - 2szt</v>
      </c>
      <c r="C164" s="185">
        <f t="shared" si="5"/>
        <v>24.2668</v>
      </c>
      <c r="D164" s="407" t="s">
        <v>3253</v>
      </c>
      <c r="E164" s="407" t="s">
        <v>3921</v>
      </c>
      <c r="F164" s="407" t="s">
        <v>3922</v>
      </c>
      <c r="G164" s="407" t="s">
        <v>3923</v>
      </c>
      <c r="H164" s="460">
        <v>199.57113000000001</v>
      </c>
      <c r="I164" s="460">
        <v>7.1822600000000003</v>
      </c>
      <c r="J164" s="460">
        <v>24.2668</v>
      </c>
      <c r="K164" s="460">
        <v>2849.8865099999998</v>
      </c>
      <c r="L164" s="459" t="s">
        <v>540</v>
      </c>
      <c r="M164" s="309" t="s">
        <v>572</v>
      </c>
      <c r="N164" s="182">
        <v>170.51130000000001</v>
      </c>
      <c r="O164">
        <v>6.4459999999999997</v>
      </c>
      <c r="P164" t="s">
        <v>8973</v>
      </c>
    </row>
    <row r="165" spans="1:16" ht="14.4" x14ac:dyDescent="0.3">
      <c r="A165" s="313">
        <v>96401</v>
      </c>
      <c r="B165" t="str">
        <f t="shared" si="4"/>
        <v>SEVROLL MDF profil wkładka 2,8m</v>
      </c>
      <c r="C165" s="185" t="e">
        <f t="shared" si="5"/>
        <v>#N/A</v>
      </c>
      <c r="D165" s="407" t="s">
        <v>2756</v>
      </c>
      <c r="E165" s="407" t="s">
        <v>3924</v>
      </c>
      <c r="F165" s="407" t="s">
        <v>3925</v>
      </c>
      <c r="G165" s="407" t="s">
        <v>3926</v>
      </c>
      <c r="H165" s="460" t="e">
        <v>#N/A</v>
      </c>
      <c r="I165" s="460" t="e">
        <v>#N/A</v>
      </c>
      <c r="J165" s="460" t="e">
        <v>#N/A</v>
      </c>
      <c r="K165" s="460" t="e">
        <v>#N/A</v>
      </c>
      <c r="L165" s="459" t="e">
        <v>#N/A</v>
      </c>
      <c r="M165" s="314" t="s">
        <v>571</v>
      </c>
      <c r="N165" s="182">
        <v>171.01725999999999</v>
      </c>
      <c r="O165">
        <v>0</v>
      </c>
      <c r="P165" t="s">
        <v>8974</v>
      </c>
    </row>
    <row r="166" spans="1:16" ht="14.4" x14ac:dyDescent="0.3">
      <c r="A166" s="310">
        <v>245816</v>
      </c>
      <c r="B166" t="str">
        <f t="shared" si="4"/>
        <v>SEVROLL Focus II 18mm rączka 2,7m jasny brąz</v>
      </c>
      <c r="C166" s="185">
        <f t="shared" si="5"/>
        <v>36.509929999999997</v>
      </c>
      <c r="D166" s="407" t="s">
        <v>3185</v>
      </c>
      <c r="E166" s="407" t="s">
        <v>3927</v>
      </c>
      <c r="F166" s="407" t="s">
        <v>3185</v>
      </c>
      <c r="G166" s="407" t="s">
        <v>3928</v>
      </c>
      <c r="H166" s="460">
        <v>295.28917999999999</v>
      </c>
      <c r="I166" s="460">
        <v>10.61722</v>
      </c>
      <c r="J166" s="460">
        <v>36.509929999999997</v>
      </c>
      <c r="K166" s="460">
        <v>4086.4163100000001</v>
      </c>
      <c r="L166" s="459" t="s">
        <v>538</v>
      </c>
      <c r="M166" s="309" t="s">
        <v>571</v>
      </c>
      <c r="N166" s="182">
        <v>171.81790000000001</v>
      </c>
      <c r="O166">
        <v>8.9760000000000009</v>
      </c>
      <c r="P166" t="s">
        <v>8975</v>
      </c>
    </row>
    <row r="167" spans="1:16" ht="14.4" x14ac:dyDescent="0.3">
      <c r="A167" s="310">
        <v>349863</v>
      </c>
      <c r="B167" t="str">
        <f t="shared" si="4"/>
        <v>SEVROLL Blue-C tor dolny 2,5m jasny brąz</v>
      </c>
      <c r="C167" s="185" t="e">
        <f t="shared" si="5"/>
        <v>#N/A</v>
      </c>
      <c r="D167" s="407" t="s">
        <v>3417</v>
      </c>
      <c r="E167" s="407" t="s">
        <v>3929</v>
      </c>
      <c r="F167" s="407" t="s">
        <v>3930</v>
      </c>
      <c r="G167" s="407" t="s">
        <v>3931</v>
      </c>
      <c r="H167" s="460" t="e">
        <v>#N/A</v>
      </c>
      <c r="I167" s="460" t="e">
        <v>#N/A</v>
      </c>
      <c r="J167" s="460" t="e">
        <v>#N/A</v>
      </c>
      <c r="K167" s="460" t="e">
        <v>#N/A</v>
      </c>
      <c r="L167" s="459" t="e">
        <v>#N/A</v>
      </c>
      <c r="M167" s="309" t="s">
        <v>571</v>
      </c>
      <c r="N167" s="182">
        <v>171.88740000000001</v>
      </c>
      <c r="O167">
        <v>8.4920000000000009</v>
      </c>
      <c r="P167" t="s">
        <v>8976</v>
      </c>
    </row>
    <row r="168" spans="1:16" ht="14.4" x14ac:dyDescent="0.3">
      <c r="A168" s="310">
        <v>197745</v>
      </c>
      <c r="B168" t="str">
        <f t="shared" si="4"/>
        <v>SEVROLL Optima tor dolny 2m surowy</v>
      </c>
      <c r="C168" s="185">
        <f t="shared" si="5"/>
        <v>28.63524</v>
      </c>
      <c r="D168" s="407" t="s">
        <v>2946</v>
      </c>
      <c r="E168" s="407" t="s">
        <v>3932</v>
      </c>
      <c r="F168" s="407" t="s">
        <v>3933</v>
      </c>
      <c r="G168" s="407" t="s">
        <v>3934</v>
      </c>
      <c r="H168" s="460">
        <v>231.59934999999999</v>
      </c>
      <c r="I168" s="460">
        <v>8.3272300000000001</v>
      </c>
      <c r="J168" s="460">
        <v>28.63524</v>
      </c>
      <c r="K168" s="460">
        <v>3205.0324500000002</v>
      </c>
      <c r="L168" s="459" t="s">
        <v>539</v>
      </c>
      <c r="M168" s="309" t="s">
        <v>571</v>
      </c>
      <c r="N168" s="182">
        <v>173.12450000000001</v>
      </c>
      <c r="O168">
        <v>7.4139999999999997</v>
      </c>
      <c r="P168" t="s">
        <v>8977</v>
      </c>
    </row>
    <row r="169" spans="1:16" ht="14.4" x14ac:dyDescent="0.3">
      <c r="A169" s="313">
        <v>308694</v>
      </c>
      <c r="B169" t="str">
        <f t="shared" si="4"/>
        <v>SEVROLL tor górny Galaxy B 50kg do ściany 1,5m</v>
      </c>
      <c r="C169" s="185">
        <f t="shared" si="5"/>
        <v>33.484079999999999</v>
      </c>
      <c r="D169" s="407" t="s">
        <v>3318</v>
      </c>
      <c r="E169" s="407" t="s">
        <v>3935</v>
      </c>
      <c r="F169" s="407" t="s">
        <v>1087</v>
      </c>
      <c r="G169" s="407" t="s">
        <v>3936</v>
      </c>
      <c r="H169" s="460">
        <v>260.09368000000001</v>
      </c>
      <c r="I169" s="460">
        <v>9.8105200000000004</v>
      </c>
      <c r="J169" s="460">
        <v>33.484079999999999</v>
      </c>
      <c r="K169" s="460">
        <v>3701.89113</v>
      </c>
      <c r="L169" s="459" t="s">
        <v>539</v>
      </c>
      <c r="M169" s="314" t="s">
        <v>571</v>
      </c>
      <c r="N169" s="182">
        <v>174.80362</v>
      </c>
      <c r="O169">
        <v>9.1959999999999997</v>
      </c>
      <c r="P169" t="s">
        <v>8978</v>
      </c>
    </row>
    <row r="170" spans="1:16" ht="14.4" x14ac:dyDescent="0.3">
      <c r="A170" s="310">
        <v>278060</v>
      </c>
      <c r="B170" t="str">
        <f t="shared" si="4"/>
        <v>SEVROLL Pax záslepka do rączki (4 szt) srebrny</v>
      </c>
      <c r="C170" s="185">
        <f t="shared" si="5"/>
        <v>26.683199999999999</v>
      </c>
      <c r="D170" s="407" t="s">
        <v>3227</v>
      </c>
      <c r="E170" s="407" t="s">
        <v>3937</v>
      </c>
      <c r="F170" s="407" t="s">
        <v>3938</v>
      </c>
      <c r="G170" s="407" t="s">
        <v>3939</v>
      </c>
      <c r="H170" s="460">
        <v>205.82560000000001</v>
      </c>
      <c r="I170" s="460">
        <v>6.9740599999999997</v>
      </c>
      <c r="J170" s="460">
        <v>26.683199999999999</v>
      </c>
      <c r="K170" s="460">
        <v>2747.3726000000001</v>
      </c>
      <c r="L170" s="459" t="s">
        <v>538</v>
      </c>
      <c r="M170" s="309" t="s">
        <v>573</v>
      </c>
      <c r="N170" s="182">
        <v>175.08439999999999</v>
      </c>
      <c r="O170">
        <v>7.1719999999999997</v>
      </c>
      <c r="P170" t="s">
        <v>8979</v>
      </c>
    </row>
    <row r="171" spans="1:16" ht="14.4" x14ac:dyDescent="0.3">
      <c r="A171" s="310">
        <v>288126</v>
      </c>
      <c r="B171" t="str">
        <f t="shared" si="4"/>
        <v>SEVROLL Pax uchwyt przyklejany srebrny</v>
      </c>
      <c r="C171" s="185">
        <f t="shared" si="5"/>
        <v>24.255600000000001</v>
      </c>
      <c r="D171" s="407" t="s">
        <v>3273</v>
      </c>
      <c r="E171" s="407" t="s">
        <v>3940</v>
      </c>
      <c r="F171" s="407" t="s">
        <v>3941</v>
      </c>
      <c r="G171" s="407" t="s">
        <v>3942</v>
      </c>
      <c r="H171" s="460">
        <v>171.52828</v>
      </c>
      <c r="I171" s="460">
        <v>6.1673600000000004</v>
      </c>
      <c r="J171" s="460">
        <v>24.255600000000001</v>
      </c>
      <c r="K171" s="460">
        <v>2373.7272499999999</v>
      </c>
      <c r="L171" s="459" t="s">
        <v>538</v>
      </c>
      <c r="M171" s="309" t="s">
        <v>571</v>
      </c>
      <c r="N171" s="182">
        <v>175.73769999999999</v>
      </c>
      <c r="O171">
        <v>6.5119999999999996</v>
      </c>
      <c r="P171" t="s">
        <v>8980</v>
      </c>
    </row>
    <row r="172" spans="1:16" ht="14.4" x14ac:dyDescent="0.3">
      <c r="A172" s="310">
        <v>360719</v>
      </c>
      <c r="B172" t="str">
        <f t="shared" si="4"/>
        <v>SEVROLL Pax uchwyt przyklejany przeźroczysty</v>
      </c>
      <c r="C172" s="185" t="e">
        <f t="shared" si="5"/>
        <v>#N/A</v>
      </c>
      <c r="D172" s="407" t="s">
        <v>3437</v>
      </c>
      <c r="E172" s="407" t="s">
        <v>3943</v>
      </c>
      <c r="F172" s="407" t="s">
        <v>3944</v>
      </c>
      <c r="G172" s="407" t="s">
        <v>3945</v>
      </c>
      <c r="H172" s="460" t="e">
        <v>#N/A</v>
      </c>
      <c r="I172" s="460" t="e">
        <v>#N/A</v>
      </c>
      <c r="J172" s="460" t="e">
        <v>#N/A</v>
      </c>
      <c r="K172" s="460" t="e">
        <v>#N/A</v>
      </c>
      <c r="L172" s="459" t="e">
        <v>#N/A</v>
      </c>
      <c r="M172" s="309" t="s">
        <v>571</v>
      </c>
      <c r="N172" s="182">
        <v>175.73769999999999</v>
      </c>
      <c r="O172">
        <v>6.5119999999999996</v>
      </c>
      <c r="P172" t="s">
        <v>8981</v>
      </c>
    </row>
    <row r="173" spans="1:16" ht="14.4" x14ac:dyDescent="0.3">
      <c r="A173" s="310">
        <v>284976</v>
      </c>
      <c r="B173" t="str">
        <f t="shared" si="4"/>
        <v>SEVROLL Maxim II maskownica 2,5m, jasny brąz</v>
      </c>
      <c r="C173" s="185" t="e">
        <f t="shared" si="5"/>
        <v>#N/A</v>
      </c>
      <c r="D173" s="407" t="s">
        <v>3270</v>
      </c>
      <c r="E173" s="407" t="s">
        <v>3946</v>
      </c>
      <c r="F173" s="407" t="s">
        <v>3270</v>
      </c>
      <c r="G173" s="407" t="s">
        <v>3947</v>
      </c>
      <c r="H173" s="460" t="e">
        <v>#N/A</v>
      </c>
      <c r="I173" s="460" t="e">
        <v>#N/A</v>
      </c>
      <c r="J173" s="460" t="e">
        <v>#N/A</v>
      </c>
      <c r="K173" s="460" t="e">
        <v>#N/A</v>
      </c>
      <c r="L173" s="459" t="e">
        <v>#N/A</v>
      </c>
      <c r="M173" s="309" t="s">
        <v>571</v>
      </c>
      <c r="N173" s="182">
        <v>176.39099999999999</v>
      </c>
      <c r="O173" t="e">
        <v>#N/A</v>
      </c>
      <c r="P173" t="e">
        <v>#N/A</v>
      </c>
    </row>
    <row r="174" spans="1:16" ht="14.4" x14ac:dyDescent="0.3">
      <c r="A174" s="310">
        <v>84410</v>
      </c>
      <c r="B174" t="str">
        <f t="shared" si="4"/>
        <v>SEVROLL Gemini II tor dolny 1,7m srebrny</v>
      </c>
      <c r="C174" s="185">
        <f t="shared" si="5"/>
        <v>32.4831</v>
      </c>
      <c r="D174" s="407" t="s">
        <v>2753</v>
      </c>
      <c r="E174" s="407" t="s">
        <v>3948</v>
      </c>
      <c r="F174" s="407" t="s">
        <v>3949</v>
      </c>
      <c r="G174" s="407" t="s">
        <v>3950</v>
      </c>
      <c r="H174" s="460">
        <v>262.72050999999999</v>
      </c>
      <c r="I174" s="460">
        <v>9.4461999999999993</v>
      </c>
      <c r="J174" s="460">
        <v>32.4831</v>
      </c>
      <c r="K174" s="460">
        <v>3114.8907599999998</v>
      </c>
      <c r="L174" s="459" t="s">
        <v>538</v>
      </c>
      <c r="M174" s="309" t="s">
        <v>571</v>
      </c>
      <c r="N174" s="182">
        <v>179.0042</v>
      </c>
      <c r="O174">
        <v>7.9859999999999998</v>
      </c>
      <c r="P174" t="s">
        <v>8982</v>
      </c>
    </row>
    <row r="175" spans="1:16" ht="14.4" x14ac:dyDescent="0.3">
      <c r="A175" s="310">
        <v>234761</v>
      </c>
      <c r="B175" t="str">
        <f t="shared" si="4"/>
        <v>SEVROLL Łącznik H08/16 srebrny-3m</v>
      </c>
      <c r="C175" s="185" t="e">
        <f t="shared" si="5"/>
        <v>#N/A</v>
      </c>
      <c r="D175" s="407" t="s">
        <v>3169</v>
      </c>
      <c r="E175" s="407" t="s">
        <v>3951</v>
      </c>
      <c r="F175" s="407" t="s">
        <v>3952</v>
      </c>
      <c r="G175" s="407" t="s">
        <v>3953</v>
      </c>
      <c r="H175" s="460" t="e">
        <v>#N/A</v>
      </c>
      <c r="I175" s="460" t="e">
        <v>#N/A</v>
      </c>
      <c r="J175" s="460" t="e">
        <v>#N/A</v>
      </c>
      <c r="K175" s="460" t="e">
        <v>#N/A</v>
      </c>
      <c r="L175" s="459" t="e">
        <v>#N/A</v>
      </c>
      <c r="M175" s="309" t="s">
        <v>571</v>
      </c>
      <c r="N175" s="182">
        <v>179.0042</v>
      </c>
      <c r="O175" t="e">
        <v>#N/A</v>
      </c>
      <c r="P175" t="e">
        <v>#N/A</v>
      </c>
    </row>
    <row r="176" spans="1:16" ht="14.4" x14ac:dyDescent="0.3">
      <c r="A176" s="310">
        <v>346117</v>
      </c>
      <c r="B176" t="str">
        <f t="shared" si="4"/>
        <v>SEVROLL maska do toru Elegant II 4,05 m biały połysk</v>
      </c>
      <c r="C176" s="185">
        <f t="shared" si="5"/>
        <v>29.07</v>
      </c>
      <c r="D176" s="407" t="s">
        <v>3370</v>
      </c>
      <c r="E176" s="407" t="s">
        <v>3954</v>
      </c>
      <c r="F176" s="407" t="s">
        <v>3955</v>
      </c>
      <c r="G176" s="407" t="s">
        <v>3956</v>
      </c>
      <c r="H176" s="460">
        <v>220.74315000000001</v>
      </c>
      <c r="I176" s="460">
        <v>7.93689</v>
      </c>
      <c r="J176" s="460">
        <v>29.07</v>
      </c>
      <c r="K176" s="460">
        <v>3054.79655</v>
      </c>
      <c r="L176" s="459" t="s">
        <v>538</v>
      </c>
      <c r="M176" s="309" t="s">
        <v>571</v>
      </c>
      <c r="N176" s="182">
        <v>179.6575</v>
      </c>
      <c r="O176">
        <v>7.7880000000000003</v>
      </c>
      <c r="P176" t="s">
        <v>8983</v>
      </c>
    </row>
    <row r="177" spans="1:16" ht="14.4" x14ac:dyDescent="0.3">
      <c r="A177" s="310">
        <v>229439</v>
      </c>
      <c r="B177" t="str">
        <f t="shared" si="4"/>
        <v>SEVROLL Maxim wózek górny 18mm - 2szt</v>
      </c>
      <c r="C177" s="185">
        <f t="shared" si="5"/>
        <v>24.2668</v>
      </c>
      <c r="D177" s="407" t="s">
        <v>3154</v>
      </c>
      <c r="E177" s="407" t="s">
        <v>3957</v>
      </c>
      <c r="F177" s="407" t="s">
        <v>3958</v>
      </c>
      <c r="G177" s="407" t="s">
        <v>3959</v>
      </c>
      <c r="H177" s="460">
        <v>199.57113000000001</v>
      </c>
      <c r="I177" s="460">
        <v>7.1822600000000003</v>
      </c>
      <c r="J177" s="460">
        <v>24.2668</v>
      </c>
      <c r="K177" s="460">
        <v>2849.8865099999998</v>
      </c>
      <c r="L177" s="459" t="s">
        <v>540</v>
      </c>
      <c r="M177" s="309" t="s">
        <v>572</v>
      </c>
      <c r="N177" s="182">
        <v>179.6575</v>
      </c>
      <c r="O177">
        <v>6.4459999999999997</v>
      </c>
      <c r="P177" t="s">
        <v>8984</v>
      </c>
    </row>
    <row r="178" spans="1:16" ht="14.4" x14ac:dyDescent="0.3">
      <c r="A178" s="310">
        <v>229443</v>
      </c>
      <c r="B178" t="str">
        <f t="shared" si="4"/>
        <v>SEVROLL Maxim wózek górny 18mm - 2 szt.</v>
      </c>
      <c r="C178" s="185" t="e">
        <f t="shared" si="5"/>
        <v>#N/A</v>
      </c>
      <c r="D178" s="407" t="s">
        <v>3158</v>
      </c>
      <c r="E178" s="407" t="s">
        <v>3960</v>
      </c>
      <c r="F178" s="407" t="s">
        <v>3961</v>
      </c>
      <c r="G178" s="407" t="s">
        <v>3962</v>
      </c>
      <c r="H178" s="460" t="e">
        <v>#N/A</v>
      </c>
      <c r="I178" s="460" t="e">
        <v>#N/A</v>
      </c>
      <c r="J178" s="460" t="e">
        <v>#N/A</v>
      </c>
      <c r="K178" s="460" t="e">
        <v>#N/A</v>
      </c>
      <c r="L178" s="459" t="e">
        <v>#N/A</v>
      </c>
      <c r="M178" s="309" t="s">
        <v>572</v>
      </c>
      <c r="N178" s="182">
        <v>179.6575</v>
      </c>
      <c r="O178">
        <v>6.4459999999999997</v>
      </c>
      <c r="P178" t="s">
        <v>8985</v>
      </c>
    </row>
    <row r="179" spans="1:16" ht="14.4" x14ac:dyDescent="0.3">
      <c r="A179" s="310">
        <v>135506</v>
      </c>
      <c r="B179" t="str">
        <f t="shared" si="4"/>
        <v>SEVROLL Factor 16 II rączka 2,7m srebrny</v>
      </c>
      <c r="C179" s="185" t="e">
        <f t="shared" si="5"/>
        <v>#N/A</v>
      </c>
      <c r="D179" s="407" t="s">
        <v>2864</v>
      </c>
      <c r="E179" s="407" t="s">
        <v>3963</v>
      </c>
      <c r="F179" s="407" t="s">
        <v>3964</v>
      </c>
      <c r="G179" s="407" t="s">
        <v>3965</v>
      </c>
      <c r="H179" s="460" t="e">
        <v>#N/A</v>
      </c>
      <c r="I179" s="460" t="e">
        <v>#N/A</v>
      </c>
      <c r="J179" s="460" t="e">
        <v>#N/A</v>
      </c>
      <c r="K179" s="460" t="e">
        <v>#N/A</v>
      </c>
      <c r="L179" s="459" t="e">
        <v>#N/A</v>
      </c>
      <c r="M179" s="309" t="s">
        <v>571</v>
      </c>
      <c r="N179" s="182">
        <v>180.9641</v>
      </c>
      <c r="O179">
        <v>9.4320000000000004</v>
      </c>
      <c r="P179" t="s">
        <v>8986</v>
      </c>
    </row>
    <row r="180" spans="1:16" ht="14.4" x14ac:dyDescent="0.3">
      <c r="A180" s="310">
        <v>238033</v>
      </c>
      <c r="B180" t="str">
        <f t="shared" si="4"/>
        <v>SEVROLL Maxim listwa łącząca H18 1,8m jasny brąz</v>
      </c>
      <c r="C180" s="185" t="e">
        <f t="shared" si="5"/>
        <v>#N/A</v>
      </c>
      <c r="D180" s="407" t="s">
        <v>3177</v>
      </c>
      <c r="E180" s="407" t="s">
        <v>3966</v>
      </c>
      <c r="F180" s="407" t="s">
        <v>1126</v>
      </c>
      <c r="G180" s="407" t="s">
        <v>3967</v>
      </c>
      <c r="H180" s="460" t="e">
        <v>#N/A</v>
      </c>
      <c r="I180" s="460" t="e">
        <v>#N/A</v>
      </c>
      <c r="J180" s="460" t="e">
        <v>#N/A</v>
      </c>
      <c r="K180" s="460" t="e">
        <v>#N/A</v>
      </c>
      <c r="L180" s="459" t="e">
        <v>#N/A</v>
      </c>
      <c r="M180" s="309" t="s">
        <v>571</v>
      </c>
      <c r="N180" s="182">
        <v>182.92400000000001</v>
      </c>
      <c r="O180" t="e">
        <v>#N/A</v>
      </c>
      <c r="P180" t="e">
        <v>#N/A</v>
      </c>
    </row>
    <row r="181" spans="1:16" ht="14.4" x14ac:dyDescent="0.3">
      <c r="A181" s="310">
        <v>223331</v>
      </c>
      <c r="B181" t="str">
        <f t="shared" si="4"/>
        <v>SEVROLL kątownik K2 3 m  oliwka ciemna szczotkowana</v>
      </c>
      <c r="C181" s="185">
        <f t="shared" si="5"/>
        <v>31.558800000000002</v>
      </c>
      <c r="D181" s="407" t="s">
        <v>3039</v>
      </c>
      <c r="E181" s="407" t="s">
        <v>3968</v>
      </c>
      <c r="F181" s="407" t="s">
        <v>1092</v>
      </c>
      <c r="G181" s="407" t="s">
        <v>3969</v>
      </c>
      <c r="H181" s="460">
        <v>240.28432000000001</v>
      </c>
      <c r="I181" s="460">
        <v>8.6395</v>
      </c>
      <c r="J181" s="460">
        <v>31.558800000000002</v>
      </c>
      <c r="K181" s="460">
        <v>3325.2212399999999</v>
      </c>
      <c r="L181" s="459" t="s">
        <v>539</v>
      </c>
      <c r="M181" s="309" t="s">
        <v>571</v>
      </c>
      <c r="N181" s="182">
        <v>183.57730000000001</v>
      </c>
      <c r="O181">
        <v>7.968</v>
      </c>
      <c r="P181" t="s">
        <v>8987</v>
      </c>
    </row>
    <row r="182" spans="1:16" ht="14.4" x14ac:dyDescent="0.3">
      <c r="A182" s="310">
        <v>212760</v>
      </c>
      <c r="B182" t="str">
        <f t="shared" si="4"/>
        <v>SEVROLL Slim Line II profil ramowy 2,7 m srebrny</v>
      </c>
      <c r="C182" s="185">
        <f t="shared" si="5"/>
        <v>30.498000000000001</v>
      </c>
      <c r="D182" s="407" t="s">
        <v>2992</v>
      </c>
      <c r="E182" s="407" t="s">
        <v>3970</v>
      </c>
      <c r="F182" s="407" t="s">
        <v>3971</v>
      </c>
      <c r="G182" s="407" t="s">
        <v>3972</v>
      </c>
      <c r="H182" s="460">
        <v>242.45559</v>
      </c>
      <c r="I182" s="460">
        <v>8.7175700000000003</v>
      </c>
      <c r="J182" s="460">
        <v>30.498000000000001</v>
      </c>
      <c r="K182" s="460">
        <v>3355.2683499999998</v>
      </c>
      <c r="L182" s="459" t="s">
        <v>539</v>
      </c>
      <c r="M182" s="309" t="s">
        <v>571</v>
      </c>
      <c r="N182" s="182">
        <v>184.23060000000001</v>
      </c>
      <c r="O182">
        <v>8.1839999999999993</v>
      </c>
      <c r="P182" t="s">
        <v>8988</v>
      </c>
    </row>
    <row r="183" spans="1:16" ht="14.4" x14ac:dyDescent="0.3">
      <c r="A183" s="310">
        <v>234762</v>
      </c>
      <c r="B183" t="str">
        <f t="shared" si="4"/>
        <v>SEVROLL Łącznik H08/16 oliwka-3m</v>
      </c>
      <c r="C183" s="185" t="e">
        <f t="shared" si="5"/>
        <v>#N/A</v>
      </c>
      <c r="D183" s="407" t="s">
        <v>3170</v>
      </c>
      <c r="E183" s="407" t="s">
        <v>3973</v>
      </c>
      <c r="F183" s="407" t="s">
        <v>3974</v>
      </c>
      <c r="G183" s="407" t="s">
        <v>3975</v>
      </c>
      <c r="H183" s="460" t="e">
        <v>#N/A</v>
      </c>
      <c r="I183" s="460" t="e">
        <v>#N/A</v>
      </c>
      <c r="J183" s="460" t="e">
        <v>#N/A</v>
      </c>
      <c r="K183" s="460" t="e">
        <v>#N/A</v>
      </c>
      <c r="L183" s="459" t="e">
        <v>#N/A</v>
      </c>
      <c r="M183" s="309" t="s">
        <v>571</v>
      </c>
      <c r="N183" s="182">
        <v>184.23060000000001</v>
      </c>
      <c r="O183">
        <v>0</v>
      </c>
      <c r="P183" t="s">
        <v>8989</v>
      </c>
    </row>
    <row r="184" spans="1:16" ht="14.4" x14ac:dyDescent="0.3">
      <c r="A184" s="310">
        <v>135151</v>
      </c>
      <c r="B184" t="str">
        <f t="shared" si="4"/>
        <v>SEVROLL listwa łącząca H08/18 3m jasny brąz</v>
      </c>
      <c r="C184" s="185">
        <f t="shared" si="5"/>
        <v>37.046849999999999</v>
      </c>
      <c r="D184" s="407" t="s">
        <v>2849</v>
      </c>
      <c r="E184" s="407" t="s">
        <v>3976</v>
      </c>
      <c r="F184" s="407" t="s">
        <v>3977</v>
      </c>
      <c r="G184" s="407" t="s">
        <v>3978</v>
      </c>
      <c r="H184" s="460">
        <v>299.63164999999998</v>
      </c>
      <c r="I184" s="460">
        <v>10.77336</v>
      </c>
      <c r="J184" s="460">
        <v>37.046849999999999</v>
      </c>
      <c r="K184" s="460">
        <v>4146.5108899999996</v>
      </c>
      <c r="L184" s="459" t="s">
        <v>539</v>
      </c>
      <c r="M184" s="309" t="s">
        <v>571</v>
      </c>
      <c r="N184" s="182">
        <v>184.23060000000001</v>
      </c>
      <c r="O184">
        <v>9.1080000000000005</v>
      </c>
      <c r="P184" t="s">
        <v>8990</v>
      </c>
    </row>
    <row r="185" spans="1:16" ht="14.4" x14ac:dyDescent="0.3">
      <c r="A185" s="310">
        <v>349809</v>
      </c>
      <c r="B185" t="str">
        <f t="shared" si="4"/>
        <v>SEVROLL Blue-V tor dolny 2 m, jasny brąz</v>
      </c>
      <c r="C185" s="185">
        <f t="shared" si="5"/>
        <v>37.583959999999998</v>
      </c>
      <c r="D185" s="407" t="s">
        <v>3401</v>
      </c>
      <c r="E185" s="407" t="s">
        <v>3979</v>
      </c>
      <c r="F185" s="407" t="s">
        <v>3980</v>
      </c>
      <c r="G185" s="407" t="s">
        <v>3981</v>
      </c>
      <c r="H185" s="460">
        <v>277.78384999999997</v>
      </c>
      <c r="I185" s="460">
        <v>10.096769999999999</v>
      </c>
      <c r="J185" s="460">
        <v>37.583959999999998</v>
      </c>
      <c r="K185" s="460">
        <v>3947.06023</v>
      </c>
      <c r="L185" s="459" t="s">
        <v>538</v>
      </c>
      <c r="M185" s="309" t="s">
        <v>571</v>
      </c>
      <c r="N185" s="182">
        <v>185.3982</v>
      </c>
      <c r="O185">
        <v>9.0640000000000001</v>
      </c>
      <c r="P185" t="s">
        <v>8991</v>
      </c>
    </row>
    <row r="186" spans="1:16" ht="14.4" x14ac:dyDescent="0.3">
      <c r="A186" s="310">
        <v>89013</v>
      </c>
      <c r="B186" t="str">
        <f t="shared" si="4"/>
        <v>SEVROLL 01373 spojovací lišta T Decor 3m stříbrná</v>
      </c>
      <c r="C186" s="185">
        <f t="shared" si="5"/>
        <v>34.210799999999999</v>
      </c>
      <c r="D186" s="407" t="s">
        <v>2703</v>
      </c>
      <c r="E186" s="407" t="s">
        <v>3982</v>
      </c>
      <c r="F186" s="407" t="s">
        <v>3983</v>
      </c>
      <c r="G186" s="407" t="s">
        <v>2703</v>
      </c>
      <c r="H186" s="460">
        <v>259.10178000000002</v>
      </c>
      <c r="I186" s="460">
        <v>9.3160900000000009</v>
      </c>
      <c r="J186" s="460">
        <v>34.210799999999999</v>
      </c>
      <c r="K186" s="460">
        <v>3585.62997</v>
      </c>
      <c r="L186" s="459" t="s">
        <v>538</v>
      </c>
      <c r="M186" s="309" t="s">
        <v>571</v>
      </c>
      <c r="N186" s="182">
        <v>185.53720000000001</v>
      </c>
      <c r="O186">
        <v>8.734</v>
      </c>
      <c r="P186" t="s">
        <v>8992</v>
      </c>
    </row>
    <row r="187" spans="1:16" ht="14.4" x14ac:dyDescent="0.3">
      <c r="A187" s="310">
        <v>349864</v>
      </c>
      <c r="B187" t="str">
        <f t="shared" si="4"/>
        <v>SEVROLL Blue-C tor dolny 3m srebrny</v>
      </c>
      <c r="C187" s="185">
        <f t="shared" si="5"/>
        <v>40.997819999999997</v>
      </c>
      <c r="D187" s="407" t="s">
        <v>3418</v>
      </c>
      <c r="E187" s="407" t="s">
        <v>3984</v>
      </c>
      <c r="F187" s="407" t="s">
        <v>3985</v>
      </c>
      <c r="G187" s="407" t="s">
        <v>3986</v>
      </c>
      <c r="H187" s="460">
        <v>276.35198000000003</v>
      </c>
      <c r="I187" s="460">
        <v>10.04472</v>
      </c>
      <c r="J187" s="460">
        <v>40.997819999999997</v>
      </c>
      <c r="K187" s="460">
        <v>3926.7144899999998</v>
      </c>
      <c r="L187" s="459" t="s">
        <v>540</v>
      </c>
      <c r="M187" s="309" t="s">
        <v>571</v>
      </c>
      <c r="N187" s="182">
        <v>186.14879999999999</v>
      </c>
      <c r="O187">
        <v>8.9320000000000004</v>
      </c>
      <c r="P187" t="s">
        <v>8993</v>
      </c>
    </row>
    <row r="188" spans="1:16" ht="14.4" x14ac:dyDescent="0.3">
      <c r="A188" s="310">
        <v>229442</v>
      </c>
      <c r="B188" t="str">
        <f t="shared" si="4"/>
        <v>SEVROLL Master wózek górny 10mm - 2szt</v>
      </c>
      <c r="C188" s="185">
        <f t="shared" si="5"/>
        <v>25.3689</v>
      </c>
      <c r="D188" s="407" t="s">
        <v>3157</v>
      </c>
      <c r="E188" s="407" t="s">
        <v>3987</v>
      </c>
      <c r="F188" s="407" t="s">
        <v>3988</v>
      </c>
      <c r="G188" s="407" t="s">
        <v>3989</v>
      </c>
      <c r="H188" s="460">
        <v>224.25773000000001</v>
      </c>
      <c r="I188" s="460">
        <v>7.5986000000000002</v>
      </c>
      <c r="J188" s="460">
        <v>25.3689</v>
      </c>
      <c r="K188" s="460">
        <v>2993.4061299999998</v>
      </c>
      <c r="L188" s="459" t="s">
        <v>538</v>
      </c>
      <c r="M188" s="309" t="s">
        <v>572</v>
      </c>
      <c r="N188" s="182">
        <v>186.84379999999999</v>
      </c>
      <c r="O188">
        <v>6.7539999999999996</v>
      </c>
      <c r="P188" t="s">
        <v>8994</v>
      </c>
    </row>
    <row r="189" spans="1:16" ht="14.4" x14ac:dyDescent="0.3">
      <c r="A189" s="310">
        <v>143984</v>
      </c>
      <c r="B189" t="str">
        <f t="shared" si="4"/>
        <v>SEVROLL 02776 Ergo rączka 2,7m jasny brąz</v>
      </c>
      <c r="C189" s="185">
        <f t="shared" si="5"/>
        <v>41.357080000000003</v>
      </c>
      <c r="D189" s="407" t="s">
        <v>2878</v>
      </c>
      <c r="E189" s="407" t="s">
        <v>3990</v>
      </c>
      <c r="F189" s="407" t="s">
        <v>3991</v>
      </c>
      <c r="G189" s="407" t="s">
        <v>3992</v>
      </c>
      <c r="H189" s="460">
        <v>287.92738000000003</v>
      </c>
      <c r="I189" s="460">
        <v>10.487109999999999</v>
      </c>
      <c r="J189" s="460">
        <v>41.357080000000003</v>
      </c>
      <c r="K189" s="460">
        <v>3585.62997</v>
      </c>
      <c r="L189" s="459" t="s">
        <v>538</v>
      </c>
      <c r="M189" s="309" t="s">
        <v>571</v>
      </c>
      <c r="N189" s="182">
        <v>188.15039999999999</v>
      </c>
      <c r="O189">
        <v>8.8659999999999997</v>
      </c>
      <c r="P189" t="s">
        <v>8995</v>
      </c>
    </row>
    <row r="190" spans="1:16" ht="14.4" x14ac:dyDescent="0.3">
      <c r="A190" s="310">
        <v>135149</v>
      </c>
      <c r="B190" t="str">
        <f t="shared" si="4"/>
        <v>SEVROLL 01710 listwa łącząca H04/18 3m srebrna</v>
      </c>
      <c r="C190" s="185">
        <f t="shared" si="5"/>
        <v>29.712599999999998</v>
      </c>
      <c r="D190" s="407" t="s">
        <v>3993</v>
      </c>
      <c r="E190" s="407" t="s">
        <v>3994</v>
      </c>
      <c r="F190" s="407" t="s">
        <v>3995</v>
      </c>
      <c r="G190" s="407" t="s">
        <v>3996</v>
      </c>
      <c r="H190" s="460">
        <v>237.38934</v>
      </c>
      <c r="I190" s="460">
        <v>8.5354100000000006</v>
      </c>
      <c r="J190" s="460">
        <v>29.712599999999998</v>
      </c>
      <c r="K190" s="460">
        <v>3285.1581900000001</v>
      </c>
      <c r="L190" s="459" t="s">
        <v>538</v>
      </c>
      <c r="M190" s="309" t="s">
        <v>571</v>
      </c>
      <c r="N190" s="182">
        <v>188.15039999999999</v>
      </c>
      <c r="O190">
        <v>7.9859999999999998</v>
      </c>
      <c r="P190" t="s">
        <v>8996</v>
      </c>
    </row>
    <row r="191" spans="1:16" ht="14.4" x14ac:dyDescent="0.3">
      <c r="A191" s="310">
        <v>135152</v>
      </c>
      <c r="B191" t="str">
        <f t="shared" si="4"/>
        <v>SEVROLL listwa łącząca H08/18 3m srebrna</v>
      </c>
      <c r="C191" s="185">
        <f t="shared" si="5"/>
        <v>39.694769999999998</v>
      </c>
      <c r="D191" s="407" t="s">
        <v>2850</v>
      </c>
      <c r="E191" s="407" t="s">
        <v>3997</v>
      </c>
      <c r="F191" s="407" t="s">
        <v>1208</v>
      </c>
      <c r="G191" s="407" t="s">
        <v>3998</v>
      </c>
      <c r="H191" s="460">
        <v>245.35057</v>
      </c>
      <c r="I191" s="460">
        <v>8.8216599999999996</v>
      </c>
      <c r="J191" s="460">
        <v>39.694769999999998</v>
      </c>
      <c r="K191" s="460">
        <v>3395.3314300000002</v>
      </c>
      <c r="L191" s="459" t="s">
        <v>538</v>
      </c>
      <c r="M191" s="309" t="s">
        <v>571</v>
      </c>
      <c r="N191" s="182">
        <v>188.15039999999999</v>
      </c>
      <c r="O191">
        <v>8.2720000000000002</v>
      </c>
      <c r="P191" t="s">
        <v>8997</v>
      </c>
    </row>
    <row r="192" spans="1:16" ht="14.4" x14ac:dyDescent="0.3">
      <c r="A192" s="310">
        <v>163125</v>
      </c>
      <c r="B192" t="str">
        <f t="shared" si="4"/>
        <v>SEVROLL Doubler II maskownica 3m srebrny</v>
      </c>
      <c r="C192" s="185">
        <f t="shared" si="5"/>
        <v>28.845600000000001</v>
      </c>
      <c r="D192" s="407" t="s">
        <v>2895</v>
      </c>
      <c r="E192" s="407" t="s">
        <v>3999</v>
      </c>
      <c r="F192" s="407" t="s">
        <v>4000</v>
      </c>
      <c r="G192" s="407" t="s">
        <v>4001</v>
      </c>
      <c r="H192" s="460">
        <v>229.42812000000001</v>
      </c>
      <c r="I192" s="460">
        <v>8.2491599999999998</v>
      </c>
      <c r="J192" s="460">
        <v>28.845600000000001</v>
      </c>
      <c r="K192" s="460">
        <v>3174.9853699999999</v>
      </c>
      <c r="L192" s="459" t="s">
        <v>538</v>
      </c>
      <c r="M192" s="309" t="s">
        <v>571</v>
      </c>
      <c r="N192" s="182">
        <v>189.45699999999999</v>
      </c>
      <c r="O192">
        <v>7.7439999999999998</v>
      </c>
      <c r="P192" t="s">
        <v>8998</v>
      </c>
    </row>
    <row r="193" spans="1:16" ht="14.4" x14ac:dyDescent="0.3">
      <c r="A193" s="310">
        <v>135136</v>
      </c>
      <c r="B193" t="str">
        <f t="shared" si="4"/>
        <v>SEVROLL Factor 18 II rączka 2,7m srebrny</v>
      </c>
      <c r="C193" s="185">
        <f t="shared" si="5"/>
        <v>45.462009999999999</v>
      </c>
      <c r="D193" s="407" t="s">
        <v>2848</v>
      </c>
      <c r="E193" s="407" t="s">
        <v>4002</v>
      </c>
      <c r="F193" s="407" t="s">
        <v>4003</v>
      </c>
      <c r="G193" s="407" t="s">
        <v>4004</v>
      </c>
      <c r="H193" s="460">
        <v>289.49919</v>
      </c>
      <c r="I193" s="460">
        <v>10.409039999999999</v>
      </c>
      <c r="J193" s="460">
        <v>45.462009999999999</v>
      </c>
      <c r="K193" s="460">
        <v>4006.2905700000001</v>
      </c>
      <c r="L193" s="459" t="s">
        <v>538</v>
      </c>
      <c r="M193" s="309" t="s">
        <v>571</v>
      </c>
      <c r="N193" s="182">
        <v>190.1103</v>
      </c>
      <c r="O193">
        <v>9.7460000000000004</v>
      </c>
      <c r="P193" t="s">
        <v>8999</v>
      </c>
    </row>
    <row r="194" spans="1:16" ht="14.4" x14ac:dyDescent="0.3">
      <c r="A194" s="310">
        <v>224018</v>
      </c>
      <c r="B194" t="str">
        <f t="shared" si="4"/>
        <v>SEVROLL Simple tor dolny 2,5 m srebrny</v>
      </c>
      <c r="C194" s="185">
        <f t="shared" si="5"/>
        <v>34.437539999999998</v>
      </c>
      <c r="D194" s="407" t="s">
        <v>3089</v>
      </c>
      <c r="E194" s="407" t="s">
        <v>4005</v>
      </c>
      <c r="F194" s="407" t="s">
        <v>4006</v>
      </c>
      <c r="G194" s="407" t="s">
        <v>4007</v>
      </c>
      <c r="H194" s="460">
        <v>262.03323</v>
      </c>
      <c r="I194" s="460">
        <v>9.5242699999999996</v>
      </c>
      <c r="J194" s="460">
        <v>34.437539999999998</v>
      </c>
      <c r="K194" s="460">
        <v>3723.25776</v>
      </c>
      <c r="L194" s="459" t="s">
        <v>540</v>
      </c>
      <c r="M194" s="309" t="s">
        <v>571</v>
      </c>
      <c r="N194" s="182">
        <v>190.6524</v>
      </c>
      <c r="O194">
        <v>9.218</v>
      </c>
      <c r="P194" t="s">
        <v>9000</v>
      </c>
    </row>
    <row r="195" spans="1:16" ht="14.4" x14ac:dyDescent="0.3">
      <c r="A195" s="310">
        <v>223394</v>
      </c>
      <c r="B195" t="str">
        <f t="shared" si="4"/>
        <v>SEVROLL kątownik K2 3 m czarny szczotkowany</v>
      </c>
      <c r="C195" s="185">
        <f t="shared" si="5"/>
        <v>31.558800000000002</v>
      </c>
      <c r="D195" s="407" t="s">
        <v>3047</v>
      </c>
      <c r="E195" s="407" t="s">
        <v>4008</v>
      </c>
      <c r="F195" s="407" t="s">
        <v>1198</v>
      </c>
      <c r="G195" s="407" t="s">
        <v>4009</v>
      </c>
      <c r="H195" s="460">
        <v>240.28432000000001</v>
      </c>
      <c r="I195" s="460">
        <v>8.6395</v>
      </c>
      <c r="J195" s="460">
        <v>31.558800000000002</v>
      </c>
      <c r="K195" s="460">
        <v>3325.2212399999999</v>
      </c>
      <c r="L195" s="459" t="s">
        <v>538</v>
      </c>
      <c r="M195" s="309" t="s">
        <v>571</v>
      </c>
      <c r="N195" s="182">
        <v>192.7235</v>
      </c>
      <c r="O195">
        <v>7.968</v>
      </c>
      <c r="P195" t="s">
        <v>9001</v>
      </c>
    </row>
    <row r="196" spans="1:16" ht="14.4" x14ac:dyDescent="0.3">
      <c r="A196" s="310">
        <v>191702</v>
      </c>
      <c r="B196" t="str">
        <f t="shared" ref="B196:B259" si="6">IF($A$2=1,D196,IF($A$2=2,F196,IF($A$2=3,G196,IF($A$2=4,E196,IF($A$2&gt;4,P196,"zadat jazyk")))))</f>
        <v>SEVROLL kątownik K2 Decor 3 m jasny brąz szczotkowany</v>
      </c>
      <c r="C196" s="185">
        <f t="shared" ref="C196:C259" si="7">IF($A$2=1,H196,IF($A$2=2,I196,IF($A$2=3,J196,IF($A$2=4,K196,IF($A$2&gt;4,O196,"zadat jazyk")))))</f>
        <v>31.558800000000002</v>
      </c>
      <c r="D196" s="407" t="s">
        <v>2939</v>
      </c>
      <c r="E196" s="407" t="s">
        <v>4010</v>
      </c>
      <c r="F196" s="407" t="s">
        <v>1195</v>
      </c>
      <c r="G196" s="407" t="s">
        <v>4011</v>
      </c>
      <c r="H196" s="460">
        <v>240.28432000000001</v>
      </c>
      <c r="I196" s="460">
        <v>8.6395</v>
      </c>
      <c r="J196" s="460">
        <v>31.558800000000002</v>
      </c>
      <c r="K196" s="460">
        <v>3325.2212399999999</v>
      </c>
      <c r="L196" s="459" t="s">
        <v>539</v>
      </c>
      <c r="M196" s="309" t="s">
        <v>571</v>
      </c>
      <c r="N196" s="182">
        <v>192.7235</v>
      </c>
      <c r="O196">
        <v>7.968</v>
      </c>
      <c r="P196" t="s">
        <v>9002</v>
      </c>
    </row>
    <row r="197" spans="1:16" ht="14.4" x14ac:dyDescent="0.3">
      <c r="A197" s="313">
        <v>213609</v>
      </c>
      <c r="B197" t="str">
        <f t="shared" si="6"/>
        <v>SEVROLL Hide M tor dolny 3m srebrny</v>
      </c>
      <c r="C197" s="185">
        <f t="shared" si="7"/>
        <v>29.8307</v>
      </c>
      <c r="D197" s="407" t="s">
        <v>3000</v>
      </c>
      <c r="E197" s="407" t="s">
        <v>4012</v>
      </c>
      <c r="F197" s="407" t="s">
        <v>1244</v>
      </c>
      <c r="G197" s="407" t="s">
        <v>4013</v>
      </c>
      <c r="H197" s="460">
        <v>231.80763999999999</v>
      </c>
      <c r="I197" s="460">
        <v>8.7435899999999993</v>
      </c>
      <c r="J197" s="460">
        <v>29.8307</v>
      </c>
      <c r="K197" s="460">
        <v>3299.2979500000001</v>
      </c>
      <c r="L197" s="459" t="s">
        <v>538</v>
      </c>
      <c r="M197" s="314" t="s">
        <v>571</v>
      </c>
      <c r="N197" s="182">
        <v>194.99753999999999</v>
      </c>
      <c r="O197">
        <v>8.2059999999999995</v>
      </c>
      <c r="P197" t="s">
        <v>9003</v>
      </c>
    </row>
    <row r="198" spans="1:16" ht="14.4" x14ac:dyDescent="0.3">
      <c r="A198" s="311">
        <v>167749</v>
      </c>
      <c r="B198" t="e">
        <f t="shared" si="6"/>
        <v>#N/A</v>
      </c>
      <c r="C198" s="185" t="e">
        <f t="shared" si="7"/>
        <v>#N/A</v>
      </c>
      <c r="D198" s="407" t="e">
        <v>#N/A</v>
      </c>
      <c r="E198" s="407" t="e">
        <v>#N/A</v>
      </c>
      <c r="F198" s="407" t="e">
        <v>#N/A</v>
      </c>
      <c r="G198" s="407" t="e">
        <v>#N/A</v>
      </c>
      <c r="H198" s="460" t="e">
        <v>#N/A</v>
      </c>
      <c r="I198" s="460" t="e">
        <v>#N/A</v>
      </c>
      <c r="J198" s="460" t="e">
        <v>#N/A</v>
      </c>
      <c r="K198" s="460" t="e">
        <v>#N/A</v>
      </c>
      <c r="L198" s="459" t="e">
        <v>#N/A</v>
      </c>
      <c r="M198" s="312" t="s">
        <v>571</v>
      </c>
      <c r="N198" s="182">
        <v>195.5</v>
      </c>
      <c r="O198" t="e">
        <v>#N/A</v>
      </c>
      <c r="P198" t="e">
        <v>#N/A</v>
      </c>
    </row>
    <row r="199" spans="1:16" ht="14.4" x14ac:dyDescent="0.3">
      <c r="A199" s="313">
        <v>189177</v>
      </c>
      <c r="B199" t="str">
        <f t="shared" si="6"/>
        <v>SEVROLL Hide N tor dolny 2,35 m srebrny</v>
      </c>
      <c r="C199" s="185">
        <f t="shared" si="7"/>
        <v>34.00788</v>
      </c>
      <c r="D199" s="407" t="s">
        <v>2924</v>
      </c>
      <c r="E199" s="407" t="s">
        <v>4014</v>
      </c>
      <c r="F199" s="407" t="s">
        <v>4015</v>
      </c>
      <c r="G199" s="407" t="s">
        <v>4016</v>
      </c>
      <c r="H199" s="460">
        <v>264.23309</v>
      </c>
      <c r="I199" s="460">
        <v>9.9679599999999997</v>
      </c>
      <c r="J199" s="460">
        <v>34.00788</v>
      </c>
      <c r="K199" s="460">
        <v>3760.8069999999998</v>
      </c>
      <c r="L199" s="459" t="s">
        <v>539</v>
      </c>
      <c r="M199" s="314" t="s">
        <v>571</v>
      </c>
      <c r="N199" s="182">
        <v>198.15284</v>
      </c>
      <c r="O199">
        <v>9.24</v>
      </c>
      <c r="P199" t="s">
        <v>9004</v>
      </c>
    </row>
    <row r="200" spans="1:16" ht="14.4" x14ac:dyDescent="0.3">
      <c r="A200" s="310">
        <v>224148</v>
      </c>
      <c r="B200" t="str">
        <f t="shared" si="6"/>
        <v>SEVROLL tor górny Simple/Blue 2,5 m (do płyty laminowanej 10 mm) srebrny</v>
      </c>
      <c r="C200" s="185" t="e">
        <f t="shared" si="7"/>
        <v>#N/A</v>
      </c>
      <c r="D200" s="407" t="s">
        <v>3114</v>
      </c>
      <c r="E200" s="407" t="s">
        <v>4017</v>
      </c>
      <c r="F200" s="407" t="s">
        <v>4018</v>
      </c>
      <c r="G200" s="407" t="s">
        <v>4019</v>
      </c>
      <c r="H200" s="460" t="e">
        <v>#N/A</v>
      </c>
      <c r="I200" s="460" t="e">
        <v>#N/A</v>
      </c>
      <c r="J200" s="460" t="e">
        <v>#N/A</v>
      </c>
      <c r="K200" s="460" t="e">
        <v>#N/A</v>
      </c>
      <c r="L200" s="459" t="e">
        <v>#N/A</v>
      </c>
      <c r="M200" s="309" t="s">
        <v>571</v>
      </c>
      <c r="N200" s="182">
        <v>198.1584</v>
      </c>
      <c r="O200">
        <v>9.3719999999999999</v>
      </c>
      <c r="P200" t="s">
        <v>9005</v>
      </c>
    </row>
    <row r="201" spans="1:16" ht="14.4" x14ac:dyDescent="0.3">
      <c r="A201" s="310">
        <v>224152</v>
      </c>
      <c r="B201" t="str">
        <f t="shared" si="6"/>
        <v>SEVROLL maskownica dolna Simple/Blue 1,5m (do płyty laminowanej 10mm) srebrny</v>
      </c>
      <c r="C201" s="185">
        <f t="shared" si="7"/>
        <v>34.248750000000001</v>
      </c>
      <c r="D201" s="407" t="s">
        <v>3118</v>
      </c>
      <c r="E201" s="407" t="s">
        <v>4020</v>
      </c>
      <c r="F201" s="407" t="s">
        <v>4021</v>
      </c>
      <c r="G201" s="407" t="s">
        <v>4022</v>
      </c>
      <c r="H201" s="460">
        <v>276.35198000000003</v>
      </c>
      <c r="I201" s="460">
        <v>10.04472</v>
      </c>
      <c r="J201" s="460">
        <v>34.248750000000001</v>
      </c>
      <c r="K201" s="460">
        <v>3926.7144899999998</v>
      </c>
      <c r="L201" s="459" t="s">
        <v>538</v>
      </c>
      <c r="M201" s="309" t="s">
        <v>571</v>
      </c>
      <c r="N201" s="182">
        <v>198.1584</v>
      </c>
      <c r="O201">
        <v>8.9320000000000004</v>
      </c>
      <c r="P201" t="s">
        <v>9006</v>
      </c>
    </row>
    <row r="202" spans="1:16" ht="14.4" x14ac:dyDescent="0.3">
      <c r="A202" s="310">
        <v>163132</v>
      </c>
      <c r="B202" t="str">
        <f t="shared" si="6"/>
        <v>SEVROLL Doubler II maskownica 3m jasny brąz</v>
      </c>
      <c r="C202" s="185">
        <f t="shared" si="7"/>
        <v>34.630749999999999</v>
      </c>
      <c r="D202" s="407" t="s">
        <v>2899</v>
      </c>
      <c r="E202" s="407" t="s">
        <v>4023</v>
      </c>
      <c r="F202" s="407" t="s">
        <v>2899</v>
      </c>
      <c r="G202" s="407" t="s">
        <v>4024</v>
      </c>
      <c r="H202" s="460">
        <v>280.09048000000001</v>
      </c>
      <c r="I202" s="460">
        <v>10.07075</v>
      </c>
      <c r="J202" s="460">
        <v>34.630749999999999</v>
      </c>
      <c r="K202" s="460">
        <v>3876.0862200000001</v>
      </c>
      <c r="L202" s="459" t="s">
        <v>539</v>
      </c>
      <c r="M202" s="309" t="s">
        <v>571</v>
      </c>
      <c r="N202" s="182">
        <v>198.60319999999999</v>
      </c>
      <c r="O202">
        <v>8.5139999999999993</v>
      </c>
      <c r="P202" t="s">
        <v>9007</v>
      </c>
    </row>
    <row r="203" spans="1:16" ht="14.4" x14ac:dyDescent="0.3">
      <c r="A203" s="310">
        <v>349813</v>
      </c>
      <c r="B203" t="str">
        <f t="shared" si="6"/>
        <v>SEVROLL Blue-V tor dolny 2,5m srebrny</v>
      </c>
      <c r="C203" s="185">
        <f t="shared" si="7"/>
        <v>41.627099999999999</v>
      </c>
      <c r="D203" s="407" t="s">
        <v>3405</v>
      </c>
      <c r="E203" s="407" t="s">
        <v>4025</v>
      </c>
      <c r="F203" s="407" t="s">
        <v>4026</v>
      </c>
      <c r="G203" s="407" t="s">
        <v>4027</v>
      </c>
      <c r="H203" s="460">
        <v>277.78384999999997</v>
      </c>
      <c r="I203" s="460">
        <v>10.096769999999999</v>
      </c>
      <c r="J203" s="460">
        <v>41.627099999999999</v>
      </c>
      <c r="K203" s="460">
        <v>3947.06023</v>
      </c>
      <c r="L203" s="459" t="s">
        <v>539</v>
      </c>
      <c r="M203" s="309" t="s">
        <v>571</v>
      </c>
      <c r="N203" s="182">
        <v>198.90899999999999</v>
      </c>
      <c r="O203">
        <v>9.9220000000000006</v>
      </c>
      <c r="P203" t="s">
        <v>9008</v>
      </c>
    </row>
    <row r="204" spans="1:16" ht="14.4" x14ac:dyDescent="0.3">
      <c r="A204" s="310">
        <v>308635</v>
      </c>
      <c r="B204" t="str">
        <f t="shared" si="6"/>
        <v>SEVROLL tłumienie Mini SV-60 (40 - 60kg)</v>
      </c>
      <c r="C204" s="185">
        <f t="shared" si="7"/>
        <v>38.056199999999997</v>
      </c>
      <c r="D204" s="407" t="s">
        <v>3303</v>
      </c>
      <c r="E204" s="407" t="s">
        <v>4028</v>
      </c>
      <c r="F204" s="407" t="s">
        <v>4029</v>
      </c>
      <c r="G204" s="407" t="s">
        <v>4030</v>
      </c>
      <c r="H204" s="460">
        <v>282.62619999999998</v>
      </c>
      <c r="I204" s="460">
        <v>9.5763200000000008</v>
      </c>
      <c r="J204" s="460">
        <v>38.056199999999997</v>
      </c>
      <c r="K204" s="460">
        <v>3772.5116400000002</v>
      </c>
      <c r="L204" s="459" t="s">
        <v>539</v>
      </c>
      <c r="M204" s="309" t="s">
        <v>571</v>
      </c>
      <c r="N204" s="182">
        <v>199.25649999999999</v>
      </c>
      <c r="O204">
        <v>8.9540000000000006</v>
      </c>
      <c r="P204" t="s">
        <v>9009</v>
      </c>
    </row>
    <row r="205" spans="1:16" ht="14.4" x14ac:dyDescent="0.3">
      <c r="A205" s="310">
        <v>228213</v>
      </c>
      <c r="B205" t="str">
        <f t="shared" si="6"/>
        <v>SEVROLL Fiesta 16 rączka 2,7 m srebrna</v>
      </c>
      <c r="C205" s="185" t="e">
        <f t="shared" si="7"/>
        <v>#N/A</v>
      </c>
      <c r="D205" s="407" t="s">
        <v>3150</v>
      </c>
      <c r="E205" s="407" t="s">
        <v>4031</v>
      </c>
      <c r="F205" s="407" t="s">
        <v>4032</v>
      </c>
      <c r="G205" s="407" t="s">
        <v>4033</v>
      </c>
      <c r="H205" s="460" t="e">
        <v>#N/A</v>
      </c>
      <c r="I205" s="460" t="e">
        <v>#N/A</v>
      </c>
      <c r="J205" s="460" t="e">
        <v>#N/A</v>
      </c>
      <c r="K205" s="460" t="e">
        <v>#N/A</v>
      </c>
      <c r="L205" s="459" t="e">
        <v>#N/A</v>
      </c>
      <c r="M205" s="309" t="s">
        <v>571</v>
      </c>
      <c r="N205" s="182">
        <v>202.523</v>
      </c>
      <c r="O205" t="e">
        <v>#N/A</v>
      </c>
      <c r="P205" t="e">
        <v>#N/A</v>
      </c>
    </row>
    <row r="206" spans="1:16" ht="14.4" x14ac:dyDescent="0.3">
      <c r="A206" s="313">
        <v>223405</v>
      </c>
      <c r="B206" t="str">
        <f t="shared" si="6"/>
        <v>SEVROLL Hide M tor dolny 3 m oliwka</v>
      </c>
      <c r="C206" s="185">
        <f t="shared" si="7"/>
        <v>36.22298</v>
      </c>
      <c r="D206" s="407" t="s">
        <v>3048</v>
      </c>
      <c r="E206" s="407" t="s">
        <v>4034</v>
      </c>
      <c r="F206" s="407" t="s">
        <v>4035</v>
      </c>
      <c r="G206" s="407" t="s">
        <v>4036</v>
      </c>
      <c r="H206" s="460">
        <v>281.48068999999998</v>
      </c>
      <c r="I206" s="460">
        <v>10.61722</v>
      </c>
      <c r="J206" s="460">
        <v>36.22298</v>
      </c>
      <c r="K206" s="460">
        <v>4006.2905000000001</v>
      </c>
      <c r="L206" s="459" t="s">
        <v>539</v>
      </c>
      <c r="M206" s="314" t="s">
        <v>571</v>
      </c>
      <c r="N206" s="182">
        <v>203.20132000000001</v>
      </c>
      <c r="O206">
        <v>9.0419999999999998</v>
      </c>
      <c r="P206" t="s">
        <v>9010</v>
      </c>
    </row>
    <row r="207" spans="1:16" ht="14.4" x14ac:dyDescent="0.3">
      <c r="A207" s="310">
        <v>349865</v>
      </c>
      <c r="B207" t="str">
        <f t="shared" si="6"/>
        <v>SEVROLL Blue-C tor dolny 3m jasny brąz</v>
      </c>
      <c r="C207" s="185" t="e">
        <f t="shared" si="7"/>
        <v>#N/A</v>
      </c>
      <c r="D207" s="407" t="s">
        <v>3419</v>
      </c>
      <c r="E207" s="407" t="s">
        <v>4037</v>
      </c>
      <c r="F207" s="407" t="s">
        <v>4038</v>
      </c>
      <c r="G207" s="407" t="s">
        <v>4039</v>
      </c>
      <c r="H207" s="460" t="e">
        <v>#N/A</v>
      </c>
      <c r="I207" s="460" t="e">
        <v>#N/A</v>
      </c>
      <c r="J207" s="460" t="e">
        <v>#N/A</v>
      </c>
      <c r="K207" s="460" t="e">
        <v>#N/A</v>
      </c>
      <c r="L207" s="459" t="e">
        <v>#N/A</v>
      </c>
      <c r="M207" s="309" t="s">
        <v>571</v>
      </c>
      <c r="N207" s="182">
        <v>203.4126</v>
      </c>
      <c r="O207">
        <v>10.119999999999999</v>
      </c>
      <c r="P207" t="s">
        <v>9011</v>
      </c>
    </row>
    <row r="208" spans="1:16" ht="14.4" x14ac:dyDescent="0.3">
      <c r="A208" s="310">
        <v>346115</v>
      </c>
      <c r="B208" t="str">
        <f t="shared" si="6"/>
        <v>SEVROLL zaślepka do toru Elegant II 4,05m koniak szczotkowany</v>
      </c>
      <c r="C208" s="185">
        <f t="shared" si="7"/>
        <v>37.941690000000001</v>
      </c>
      <c r="D208" s="407" t="s">
        <v>3368</v>
      </c>
      <c r="E208" s="407" t="s">
        <v>4040</v>
      </c>
      <c r="F208" s="407" t="s">
        <v>3368</v>
      </c>
      <c r="G208" s="407" t="s">
        <v>4041</v>
      </c>
      <c r="H208" s="460">
        <v>306.86912999999998</v>
      </c>
      <c r="I208" s="460">
        <v>11.033580000000001</v>
      </c>
      <c r="J208" s="460">
        <v>37.941690000000001</v>
      </c>
      <c r="K208" s="460">
        <v>4246.6681500000004</v>
      </c>
      <c r="L208" s="459" t="s">
        <v>539</v>
      </c>
      <c r="M208" s="309" t="s">
        <v>571</v>
      </c>
      <c r="N208" s="182">
        <v>204.4829</v>
      </c>
      <c r="O208">
        <v>9.8119999999999994</v>
      </c>
      <c r="P208" t="s">
        <v>9012</v>
      </c>
    </row>
    <row r="209" spans="1:16" ht="14.4" x14ac:dyDescent="0.3">
      <c r="A209" s="310">
        <v>308687</v>
      </c>
      <c r="B209" t="str">
        <f t="shared" si="6"/>
        <v>SEVROLL Fala rączka 10mm 2,5m srebrny</v>
      </c>
      <c r="C209" s="185" t="e">
        <f t="shared" si="7"/>
        <v>#N/A</v>
      </c>
      <c r="D209" s="407" t="s">
        <v>3316</v>
      </c>
      <c r="E209" s="407" t="s">
        <v>4042</v>
      </c>
      <c r="F209" s="407" t="s">
        <v>1169</v>
      </c>
      <c r="G209" s="407" t="s">
        <v>4043</v>
      </c>
      <c r="H209" s="460" t="e">
        <v>#N/A</v>
      </c>
      <c r="I209" s="460" t="e">
        <v>#N/A</v>
      </c>
      <c r="J209" s="460" t="e">
        <v>#N/A</v>
      </c>
      <c r="K209" s="460" t="e">
        <v>#N/A</v>
      </c>
      <c r="L209" s="459" t="e">
        <v>#N/A</v>
      </c>
      <c r="M209" s="309" t="s">
        <v>571</v>
      </c>
      <c r="N209" s="182">
        <v>204.91380000000001</v>
      </c>
      <c r="O209">
        <v>8.6240000000000006</v>
      </c>
      <c r="P209" t="s">
        <v>9013</v>
      </c>
    </row>
    <row r="210" spans="1:16" ht="14.4" x14ac:dyDescent="0.3">
      <c r="A210" s="310">
        <v>308631</v>
      </c>
      <c r="B210" t="str">
        <f t="shared" si="6"/>
        <v>SEVROLL klin do płyty laminowanej grubość 2 mm (100 szt.)</v>
      </c>
      <c r="C210" s="185">
        <f t="shared" si="7"/>
        <v>30.24597</v>
      </c>
      <c r="D210" s="407" t="s">
        <v>3301</v>
      </c>
      <c r="E210" s="407" t="s">
        <v>4044</v>
      </c>
      <c r="F210" s="407" t="s">
        <v>4045</v>
      </c>
      <c r="G210" s="407" t="s">
        <v>4046</v>
      </c>
      <c r="H210" s="460">
        <v>244.62682000000001</v>
      </c>
      <c r="I210" s="460">
        <v>8.7956400000000006</v>
      </c>
      <c r="J210" s="460">
        <v>30.24597</v>
      </c>
      <c r="K210" s="460">
        <v>3385.3154599999998</v>
      </c>
      <c r="L210" s="459" t="s">
        <v>538</v>
      </c>
      <c r="M210" s="309" t="s">
        <v>573</v>
      </c>
      <c r="N210" s="182">
        <v>207.09610000000001</v>
      </c>
      <c r="O210">
        <v>7.8319999999999999</v>
      </c>
      <c r="P210" t="s">
        <v>9014</v>
      </c>
    </row>
    <row r="211" spans="1:16" ht="14.4" x14ac:dyDescent="0.3">
      <c r="A211" s="310">
        <v>308640</v>
      </c>
      <c r="B211" t="str">
        <f t="shared" si="6"/>
        <v>SEVROLL Szpros S18 z klejem 3m srebrny</v>
      </c>
      <c r="C211" s="185">
        <f t="shared" si="7"/>
        <v>39.552430000000001</v>
      </c>
      <c r="D211" s="407" t="s">
        <v>3304</v>
      </c>
      <c r="E211" s="407" t="s">
        <v>4047</v>
      </c>
      <c r="F211" s="407" t="s">
        <v>4048</v>
      </c>
      <c r="G211" s="407" t="s">
        <v>4049</v>
      </c>
      <c r="H211" s="460">
        <v>319.89659999999998</v>
      </c>
      <c r="I211" s="460">
        <v>11.501989999999999</v>
      </c>
      <c r="J211" s="460">
        <v>39.552430000000001</v>
      </c>
      <c r="K211" s="460">
        <v>4426.9511599999996</v>
      </c>
      <c r="L211" s="459" t="s">
        <v>539</v>
      </c>
      <c r="M211" s="309" t="s">
        <v>571</v>
      </c>
      <c r="N211" s="182">
        <v>207.09610000000001</v>
      </c>
      <c r="O211">
        <v>8.8879999999999999</v>
      </c>
      <c r="P211" t="s">
        <v>9015</v>
      </c>
    </row>
    <row r="212" spans="1:16" ht="14.4" x14ac:dyDescent="0.3">
      <c r="A212" s="310">
        <v>197746</v>
      </c>
      <c r="B212" t="str">
        <f t="shared" si="6"/>
        <v>SEVROLL Optima tor dolny 2,4m surowy</v>
      </c>
      <c r="C212" s="185" t="e">
        <f t="shared" si="7"/>
        <v>#N/A</v>
      </c>
      <c r="D212" s="407" t="s">
        <v>2947</v>
      </c>
      <c r="E212" s="407" t="s">
        <v>4050</v>
      </c>
      <c r="F212" s="407" t="s">
        <v>4051</v>
      </c>
      <c r="G212" s="407" t="s">
        <v>4052</v>
      </c>
      <c r="H212" s="460" t="e">
        <v>#N/A</v>
      </c>
      <c r="I212" s="460" t="e">
        <v>#N/A</v>
      </c>
      <c r="J212" s="460" t="e">
        <v>#N/A</v>
      </c>
      <c r="K212" s="460" t="e">
        <v>#N/A</v>
      </c>
      <c r="L212" s="459" t="e">
        <v>#N/A</v>
      </c>
      <c r="M212" s="309" t="s">
        <v>571</v>
      </c>
      <c r="N212" s="182">
        <v>207.09610000000001</v>
      </c>
      <c r="O212">
        <v>8.8879999999999999</v>
      </c>
      <c r="P212" t="s">
        <v>9016</v>
      </c>
    </row>
    <row r="213" spans="1:16" ht="14.4" x14ac:dyDescent="0.3">
      <c r="A213" s="310">
        <v>130994</v>
      </c>
      <c r="B213" t="str">
        <f t="shared" si="6"/>
        <v>SEVROLL 01711 Listwa łącząca H04/18 3m, jasny brąz</v>
      </c>
      <c r="C213" s="185">
        <f t="shared" si="7"/>
        <v>35.704569999999997</v>
      </c>
      <c r="D213" s="407" t="s">
        <v>4053</v>
      </c>
      <c r="E213" s="407" t="s">
        <v>4054</v>
      </c>
      <c r="F213" s="407" t="s">
        <v>4055</v>
      </c>
      <c r="G213" s="407" t="s">
        <v>4056</v>
      </c>
      <c r="H213" s="460">
        <v>288.77544999999998</v>
      </c>
      <c r="I213" s="460">
        <v>10.38302</v>
      </c>
      <c r="J213" s="460">
        <v>35.704569999999997</v>
      </c>
      <c r="K213" s="460">
        <v>3996.2750099999998</v>
      </c>
      <c r="L213" s="459" t="s">
        <v>538</v>
      </c>
      <c r="M213" s="309" t="s">
        <v>571</v>
      </c>
      <c r="N213" s="182">
        <v>207.09610000000001</v>
      </c>
      <c r="O213">
        <v>8.7780000000000005</v>
      </c>
      <c r="P213" t="s">
        <v>9017</v>
      </c>
    </row>
    <row r="214" spans="1:16" ht="14.4" x14ac:dyDescent="0.3">
      <c r="A214" s="310">
        <v>224155</v>
      </c>
      <c r="B214" t="str">
        <f t="shared" si="6"/>
        <v>SEVROLL maskownica dolna Simple/Blue 1,5 m (do płyty laminowanej 10 mm) oliwka</v>
      </c>
      <c r="C214" s="185" t="e">
        <f t="shared" si="7"/>
        <v>#N/A</v>
      </c>
      <c r="D214" s="407" t="s">
        <v>3121</v>
      </c>
      <c r="E214" s="407" t="s">
        <v>4057</v>
      </c>
      <c r="F214" s="407" t="s">
        <v>4058</v>
      </c>
      <c r="G214" s="407" t="s">
        <v>4059</v>
      </c>
      <c r="H214" s="460" t="e">
        <v>#N/A</v>
      </c>
      <c r="I214" s="460" t="e">
        <v>#N/A</v>
      </c>
      <c r="J214" s="460" t="e">
        <v>#N/A</v>
      </c>
      <c r="K214" s="460" t="e">
        <v>#N/A</v>
      </c>
      <c r="L214" s="459" t="e">
        <v>#N/A</v>
      </c>
      <c r="M214" s="309" t="s">
        <v>571</v>
      </c>
      <c r="N214" s="182">
        <v>207.16560000000001</v>
      </c>
      <c r="O214" t="e">
        <v>#N/A</v>
      </c>
      <c r="P214" t="e">
        <v>#N/A</v>
      </c>
    </row>
    <row r="215" spans="1:16" ht="14.4" x14ac:dyDescent="0.3">
      <c r="A215" s="310">
        <v>284529</v>
      </c>
      <c r="B215" t="str">
        <f t="shared" si="6"/>
        <v>SEVROLL Pax zaślepka do rączki (4 szt), biały połysk</v>
      </c>
      <c r="C215" s="185">
        <f t="shared" si="7"/>
        <v>34.68</v>
      </c>
      <c r="D215" s="407" t="s">
        <v>3251</v>
      </c>
      <c r="E215" s="407" t="s">
        <v>4060</v>
      </c>
      <c r="F215" s="407" t="s">
        <v>4061</v>
      </c>
      <c r="G215" s="407" t="s">
        <v>4062</v>
      </c>
      <c r="H215" s="460">
        <v>267.26607999999999</v>
      </c>
      <c r="I215" s="460">
        <v>9.0558599999999991</v>
      </c>
      <c r="J215" s="460">
        <v>34.68</v>
      </c>
      <c r="K215" s="460">
        <v>3567.4838199999999</v>
      </c>
      <c r="L215" s="459" t="s">
        <v>539</v>
      </c>
      <c r="M215" s="309" t="s">
        <v>573</v>
      </c>
      <c r="N215" s="182">
        <v>209.05600000000001</v>
      </c>
      <c r="O215">
        <v>9.3059999999999992</v>
      </c>
      <c r="P215" t="s">
        <v>9018</v>
      </c>
    </row>
    <row r="216" spans="1:16" ht="14.4" x14ac:dyDescent="0.3">
      <c r="A216" s="310">
        <v>132956</v>
      </c>
      <c r="B216" t="str">
        <f t="shared" si="6"/>
        <v>SEVROLL wózek dolny WD10 V Duo 60kg</v>
      </c>
      <c r="C216" s="185" t="e">
        <f t="shared" si="7"/>
        <v>#N/A</v>
      </c>
      <c r="D216" s="407" t="s">
        <v>2838</v>
      </c>
      <c r="E216" s="407" t="s">
        <v>4063</v>
      </c>
      <c r="F216" s="407" t="s">
        <v>4064</v>
      </c>
      <c r="G216" s="407" t="s">
        <v>4065</v>
      </c>
      <c r="H216" s="460" t="e">
        <v>#N/A</v>
      </c>
      <c r="I216" s="460" t="e">
        <v>#N/A</v>
      </c>
      <c r="J216" s="460" t="e">
        <v>#N/A</v>
      </c>
      <c r="K216" s="460" t="e">
        <v>#N/A</v>
      </c>
      <c r="L216" s="459" t="e">
        <v>#N/A</v>
      </c>
      <c r="M216" s="309" t="s">
        <v>571</v>
      </c>
      <c r="N216" s="182">
        <v>211.01589999999999</v>
      </c>
      <c r="O216">
        <v>0</v>
      </c>
      <c r="P216" t="s">
        <v>9019</v>
      </c>
    </row>
    <row r="217" spans="1:16" ht="14.4" x14ac:dyDescent="0.3">
      <c r="A217" s="310">
        <v>135505</v>
      </c>
      <c r="B217" t="str">
        <f t="shared" si="6"/>
        <v>SEVROLL Factor 16 II rączka 2,7m jasny brąz</v>
      </c>
      <c r="C217" s="185" t="e">
        <f t="shared" si="7"/>
        <v>#N/A</v>
      </c>
      <c r="D217" s="407" t="s">
        <v>2863</v>
      </c>
      <c r="E217" s="407" t="s">
        <v>4066</v>
      </c>
      <c r="F217" s="407" t="s">
        <v>2863</v>
      </c>
      <c r="G217" s="407" t="s">
        <v>4067</v>
      </c>
      <c r="H217" s="460" t="e">
        <v>#N/A</v>
      </c>
      <c r="I217" s="460" t="e">
        <v>#N/A</v>
      </c>
      <c r="J217" s="460" t="e">
        <v>#N/A</v>
      </c>
      <c r="K217" s="460" t="e">
        <v>#N/A</v>
      </c>
      <c r="L217" s="459" t="e">
        <v>#N/A</v>
      </c>
      <c r="M217" s="309" t="s">
        <v>571</v>
      </c>
      <c r="N217" s="182">
        <v>212.32249999999999</v>
      </c>
      <c r="O217">
        <v>11.651999999999999</v>
      </c>
      <c r="P217" t="s">
        <v>9020</v>
      </c>
    </row>
    <row r="218" spans="1:16" ht="14.4" x14ac:dyDescent="0.3">
      <c r="A218" s="310">
        <v>135504</v>
      </c>
      <c r="B218" t="str">
        <f t="shared" si="6"/>
        <v>SEVROLL Factor 18 II rączka 2,7m złoty</v>
      </c>
      <c r="C218" s="185" t="e">
        <f t="shared" si="7"/>
        <v>#N/A</v>
      </c>
      <c r="D218" s="407" t="s">
        <v>2862</v>
      </c>
      <c r="E218" s="407" t="s">
        <v>4068</v>
      </c>
      <c r="F218" s="407" t="s">
        <v>1060</v>
      </c>
      <c r="G218" s="407" t="s">
        <v>4069</v>
      </c>
      <c r="H218" s="460" t="e">
        <v>#N/A</v>
      </c>
      <c r="I218" s="460" t="e">
        <v>#N/A</v>
      </c>
      <c r="J218" s="460" t="e">
        <v>#N/A</v>
      </c>
      <c r="K218" s="460" t="e">
        <v>#N/A</v>
      </c>
      <c r="L218" s="459" t="e">
        <v>#N/A</v>
      </c>
      <c r="M218" s="309" t="s">
        <v>571</v>
      </c>
      <c r="N218" s="182">
        <v>212.32249999999999</v>
      </c>
      <c r="O218" t="e">
        <v>#N/A</v>
      </c>
      <c r="P218" t="e">
        <v>#N/A</v>
      </c>
    </row>
    <row r="219" spans="1:16" ht="14.4" x14ac:dyDescent="0.3">
      <c r="A219" s="310">
        <v>224010</v>
      </c>
      <c r="B219" t="str">
        <f t="shared" si="6"/>
        <v>SEVROLL Simple tor górny 1,5 m srebrny</v>
      </c>
      <c r="C219" s="185">
        <f t="shared" si="7"/>
        <v>41.814579999999999</v>
      </c>
      <c r="D219" s="407" t="s">
        <v>3082</v>
      </c>
      <c r="E219" s="407" t="s">
        <v>4070</v>
      </c>
      <c r="F219" s="407" t="s">
        <v>1051</v>
      </c>
      <c r="G219" s="407" t="s">
        <v>4071</v>
      </c>
      <c r="H219" s="460">
        <v>278.66025000000002</v>
      </c>
      <c r="I219" s="460">
        <v>12.359640000000001</v>
      </c>
      <c r="J219" s="460">
        <v>41.814579999999999</v>
      </c>
      <c r="K219" s="460">
        <v>4753.7065499999999</v>
      </c>
      <c r="L219" s="459" t="s">
        <v>540</v>
      </c>
      <c r="M219" s="309" t="s">
        <v>571</v>
      </c>
      <c r="N219" s="182">
        <v>212.41980000000001</v>
      </c>
      <c r="O219">
        <v>10.538</v>
      </c>
      <c r="P219" t="s">
        <v>9021</v>
      </c>
    </row>
    <row r="220" spans="1:16" ht="14.4" x14ac:dyDescent="0.3">
      <c r="A220" s="310">
        <v>308647</v>
      </c>
      <c r="B220" t="str">
        <f t="shared" si="6"/>
        <v>SEVROLL Gemini II tor dolny 1,7m jasny brąz</v>
      </c>
      <c r="C220" s="185">
        <f t="shared" si="7"/>
        <v>36.778399999999998</v>
      </c>
      <c r="D220" s="407" t="s">
        <v>3307</v>
      </c>
      <c r="E220" s="407" t="s">
        <v>4072</v>
      </c>
      <c r="F220" s="407" t="s">
        <v>4073</v>
      </c>
      <c r="G220" s="407" t="s">
        <v>4074</v>
      </c>
      <c r="H220" s="460">
        <v>297.46042</v>
      </c>
      <c r="I220" s="460">
        <v>10.69529</v>
      </c>
      <c r="J220" s="460">
        <v>36.778399999999998</v>
      </c>
      <c r="K220" s="460">
        <v>4116.4633899999999</v>
      </c>
      <c r="L220" s="459" t="s">
        <v>538</v>
      </c>
      <c r="M220" s="309" t="s">
        <v>571</v>
      </c>
      <c r="N220" s="182">
        <v>214.2824</v>
      </c>
      <c r="O220">
        <v>9.5920000000000005</v>
      </c>
      <c r="P220" t="s">
        <v>9022</v>
      </c>
    </row>
    <row r="221" spans="1:16" ht="14.4" x14ac:dyDescent="0.3">
      <c r="A221" s="310">
        <v>346116</v>
      </c>
      <c r="B221" t="str">
        <f t="shared" si="6"/>
        <v>SEVROLL maska do toru Elegant II 4,05 m czarny szczotkowany</v>
      </c>
      <c r="C221" s="185">
        <f t="shared" si="7"/>
        <v>37.941690000000001</v>
      </c>
      <c r="D221" s="407" t="s">
        <v>3369</v>
      </c>
      <c r="E221" s="407" t="s">
        <v>4075</v>
      </c>
      <c r="F221" s="407" t="s">
        <v>4076</v>
      </c>
      <c r="G221" s="407" t="s">
        <v>4077</v>
      </c>
      <c r="H221" s="460">
        <v>306.86912999999998</v>
      </c>
      <c r="I221" s="460">
        <v>11.033580000000001</v>
      </c>
      <c r="J221" s="460">
        <v>37.941690000000001</v>
      </c>
      <c r="K221" s="460">
        <v>4246.6681500000004</v>
      </c>
      <c r="L221" s="459" t="s">
        <v>538</v>
      </c>
      <c r="M221" s="309" t="s">
        <v>571</v>
      </c>
      <c r="N221" s="182">
        <v>214.9357</v>
      </c>
      <c r="O221">
        <v>9.8119999999999994</v>
      </c>
      <c r="P221" t="s">
        <v>9023</v>
      </c>
    </row>
    <row r="222" spans="1:16" ht="14.4" x14ac:dyDescent="0.3">
      <c r="A222" s="310">
        <v>346114</v>
      </c>
      <c r="B222" t="str">
        <f t="shared" si="6"/>
        <v>SEVROLL maska do toru Elegant II 4,05 m jasny brąz szczotkowany</v>
      </c>
      <c r="C222" s="185">
        <f t="shared" si="7"/>
        <v>37.941690000000001</v>
      </c>
      <c r="D222" s="407" t="s">
        <v>3367</v>
      </c>
      <c r="E222" s="407" t="s">
        <v>4078</v>
      </c>
      <c r="F222" s="407" t="s">
        <v>3367</v>
      </c>
      <c r="G222" s="407" t="s">
        <v>4079</v>
      </c>
      <c r="H222" s="460">
        <v>306.86912999999998</v>
      </c>
      <c r="I222" s="460">
        <v>11.033580000000001</v>
      </c>
      <c r="J222" s="460">
        <v>37.941690000000001</v>
      </c>
      <c r="K222" s="460">
        <v>4246.6681500000004</v>
      </c>
      <c r="L222" s="459" t="s">
        <v>539</v>
      </c>
      <c r="M222" s="309" t="s">
        <v>571</v>
      </c>
      <c r="N222" s="182">
        <v>214.9357</v>
      </c>
      <c r="O222">
        <v>9.8119999999999994</v>
      </c>
      <c r="P222" t="s">
        <v>9024</v>
      </c>
    </row>
    <row r="223" spans="1:16" ht="14.4" x14ac:dyDescent="0.3">
      <c r="A223" s="313">
        <v>279094</v>
      </c>
      <c r="B223" t="str">
        <f t="shared" si="6"/>
        <v>SEVROLL maskownica Galaxy 2m</v>
      </c>
      <c r="C223" s="185">
        <f t="shared" si="7"/>
        <v>39.507919999999999</v>
      </c>
      <c r="D223" s="407" t="s">
        <v>3242</v>
      </c>
      <c r="E223" s="407" t="s">
        <v>4080</v>
      </c>
      <c r="F223" s="407" t="s">
        <v>1233</v>
      </c>
      <c r="G223" s="407" t="s">
        <v>4081</v>
      </c>
      <c r="H223" s="460">
        <v>307.00713999999999</v>
      </c>
      <c r="I223" s="460">
        <v>11.58006</v>
      </c>
      <c r="J223" s="460">
        <v>39.507919999999999</v>
      </c>
      <c r="K223" s="460">
        <v>4369.6061300000001</v>
      </c>
      <c r="L223" s="459" t="s">
        <v>538</v>
      </c>
      <c r="M223" s="314" t="s">
        <v>571</v>
      </c>
      <c r="N223" s="182">
        <v>215.19146000000001</v>
      </c>
      <c r="O223">
        <v>10.846</v>
      </c>
      <c r="P223" t="s">
        <v>9025</v>
      </c>
    </row>
    <row r="224" spans="1:16" ht="14.4" x14ac:dyDescent="0.3">
      <c r="A224" s="310">
        <v>288125</v>
      </c>
      <c r="B224" t="str">
        <f t="shared" si="6"/>
        <v>SEVROLL Pax uchwyt przyklejany biały</v>
      </c>
      <c r="C224" s="185">
        <f t="shared" si="7"/>
        <v>31.518000000000001</v>
      </c>
      <c r="D224" s="407" t="s">
        <v>3272</v>
      </c>
      <c r="E224" s="407" t="s">
        <v>4082</v>
      </c>
      <c r="F224" s="407" t="s">
        <v>4083</v>
      </c>
      <c r="G224" s="407" t="s">
        <v>4084</v>
      </c>
      <c r="H224" s="460">
        <v>222.91437999999999</v>
      </c>
      <c r="I224" s="460">
        <v>8.0149600000000003</v>
      </c>
      <c r="J224" s="460">
        <v>31.518000000000001</v>
      </c>
      <c r="K224" s="460">
        <v>3084.84366</v>
      </c>
      <c r="L224" s="459" t="s">
        <v>538</v>
      </c>
      <c r="M224" s="309" t="s">
        <v>571</v>
      </c>
      <c r="N224" s="182">
        <v>215.589</v>
      </c>
      <c r="O224">
        <v>8.4700000000000006</v>
      </c>
      <c r="P224" t="s">
        <v>9026</v>
      </c>
    </row>
    <row r="225" spans="1:16" ht="14.4" x14ac:dyDescent="0.3">
      <c r="A225" s="310">
        <v>281979</v>
      </c>
      <c r="B225" t="e">
        <f t="shared" si="6"/>
        <v>#N/A</v>
      </c>
      <c r="C225" s="185" t="e">
        <f t="shared" si="7"/>
        <v>#N/A</v>
      </c>
      <c r="D225" s="407" t="e">
        <v>#N/A</v>
      </c>
      <c r="E225" s="407" t="e">
        <v>#N/A</v>
      </c>
      <c r="F225" s="407" t="e">
        <v>#N/A</v>
      </c>
      <c r="G225" s="407" t="e">
        <v>#N/A</v>
      </c>
      <c r="H225" s="460" t="e">
        <v>#N/A</v>
      </c>
      <c r="I225" s="460" t="e">
        <v>#N/A</v>
      </c>
      <c r="J225" s="460" t="e">
        <v>#N/A</v>
      </c>
      <c r="K225" s="460" t="e">
        <v>#N/A</v>
      </c>
      <c r="L225" s="459" t="e">
        <v>#N/A</v>
      </c>
      <c r="M225" s="309" t="s">
        <v>571</v>
      </c>
      <c r="N225" s="182">
        <v>217.5489</v>
      </c>
      <c r="O225" t="e">
        <v>#N/A</v>
      </c>
      <c r="P225" t="e">
        <v>#N/A</v>
      </c>
    </row>
    <row r="226" spans="1:16" ht="14.4" x14ac:dyDescent="0.3">
      <c r="A226" s="310">
        <v>349811</v>
      </c>
      <c r="B226" t="str">
        <f t="shared" si="6"/>
        <v>SEVROLL Blue-V tor dolny 2,5m jasny brąz</v>
      </c>
      <c r="C226" s="185">
        <f t="shared" si="7"/>
        <v>46.504049999999999</v>
      </c>
      <c r="D226" s="407" t="s">
        <v>3403</v>
      </c>
      <c r="E226" s="407" t="s">
        <v>4085</v>
      </c>
      <c r="F226" s="407" t="s">
        <v>4086</v>
      </c>
      <c r="G226" s="407" t="s">
        <v>4087</v>
      </c>
      <c r="H226" s="460">
        <v>346.51386000000002</v>
      </c>
      <c r="I226" s="460">
        <v>12.594939999999999</v>
      </c>
      <c r="J226" s="460">
        <v>46.504049999999999</v>
      </c>
      <c r="K226" s="460">
        <v>4923.6526999999996</v>
      </c>
      <c r="L226" s="459" t="s">
        <v>539</v>
      </c>
      <c r="M226" s="309" t="s">
        <v>571</v>
      </c>
      <c r="N226" s="182">
        <v>217.67400000000001</v>
      </c>
      <c r="O226">
        <v>11.22</v>
      </c>
      <c r="P226" t="s">
        <v>9027</v>
      </c>
    </row>
    <row r="227" spans="1:16" ht="14.4" x14ac:dyDescent="0.3">
      <c r="A227" s="310">
        <v>308690</v>
      </c>
      <c r="B227" t="str">
        <f t="shared" si="6"/>
        <v>SEVROLL Polo rączka 10mm 2,5m srebrny</v>
      </c>
      <c r="C227" s="185" t="e">
        <f t="shared" si="7"/>
        <v>#N/A</v>
      </c>
      <c r="D227" s="407" t="s">
        <v>3317</v>
      </c>
      <c r="E227" s="407" t="s">
        <v>4088</v>
      </c>
      <c r="F227" s="407" t="s">
        <v>1116</v>
      </c>
      <c r="G227" s="407" t="s">
        <v>4089</v>
      </c>
      <c r="H227" s="460" t="e">
        <v>#N/A</v>
      </c>
      <c r="I227" s="460" t="e">
        <v>#N/A</v>
      </c>
      <c r="J227" s="460" t="e">
        <v>#N/A</v>
      </c>
      <c r="K227" s="460" t="e">
        <v>#N/A</v>
      </c>
      <c r="L227" s="459" t="e">
        <v>#N/A</v>
      </c>
      <c r="M227" s="309" t="s">
        <v>571</v>
      </c>
      <c r="N227" s="182">
        <v>217.67400000000001</v>
      </c>
      <c r="O227" t="e">
        <v>#N/A</v>
      </c>
      <c r="P227" t="e">
        <v>#N/A</v>
      </c>
    </row>
    <row r="228" spans="1:16" ht="14.4" x14ac:dyDescent="0.3">
      <c r="A228" s="310">
        <v>308684</v>
      </c>
      <c r="B228" t="e">
        <f t="shared" si="6"/>
        <v>#N/A</v>
      </c>
      <c r="C228" s="185" t="e">
        <f t="shared" si="7"/>
        <v>#N/A</v>
      </c>
      <c r="D228" s="407" t="e">
        <v>#N/A</v>
      </c>
      <c r="E228" s="407" t="e">
        <v>#N/A</v>
      </c>
      <c r="F228" s="407" t="e">
        <v>#N/A</v>
      </c>
      <c r="G228" s="407" t="e">
        <v>#N/A</v>
      </c>
      <c r="H228" s="460" t="e">
        <v>#N/A</v>
      </c>
      <c r="I228" s="460" t="e">
        <v>#N/A</v>
      </c>
      <c r="J228" s="460" t="e">
        <v>#N/A</v>
      </c>
      <c r="K228" s="460" t="e">
        <v>#N/A</v>
      </c>
      <c r="L228" s="459" t="e">
        <v>#N/A</v>
      </c>
      <c r="M228" s="309" t="s">
        <v>571</v>
      </c>
      <c r="N228" s="182">
        <v>218.4246</v>
      </c>
      <c r="O228" t="e">
        <v>#N/A</v>
      </c>
      <c r="P228" t="e">
        <v>#N/A</v>
      </c>
    </row>
    <row r="229" spans="1:16" ht="14.4" x14ac:dyDescent="0.3">
      <c r="A229" s="310">
        <v>224127</v>
      </c>
      <c r="B229" t="str">
        <f t="shared" si="6"/>
        <v>SEVROLL Simple tor dolny 2,5 m oliwka</v>
      </c>
      <c r="C229" s="185" t="e">
        <f t="shared" si="7"/>
        <v>#N/A</v>
      </c>
      <c r="D229" s="407" t="s">
        <v>3099</v>
      </c>
      <c r="E229" s="407" t="s">
        <v>4090</v>
      </c>
      <c r="F229" s="407" t="s">
        <v>4091</v>
      </c>
      <c r="G229" s="407" t="s">
        <v>4092</v>
      </c>
      <c r="H229" s="460" t="e">
        <v>#N/A</v>
      </c>
      <c r="I229" s="460" t="e">
        <v>#N/A</v>
      </c>
      <c r="J229" s="460" t="e">
        <v>#N/A</v>
      </c>
      <c r="K229" s="460" t="e">
        <v>#N/A</v>
      </c>
      <c r="L229" s="459" t="e">
        <v>#N/A</v>
      </c>
      <c r="M229" s="309" t="s">
        <v>571</v>
      </c>
      <c r="N229" s="182">
        <v>219.92580000000001</v>
      </c>
      <c r="O229" t="e">
        <v>#N/A</v>
      </c>
      <c r="P229" t="e">
        <v>#N/A</v>
      </c>
    </row>
    <row r="230" spans="1:16" ht="14.4" x14ac:dyDescent="0.3">
      <c r="A230" s="310">
        <v>89188</v>
      </c>
      <c r="B230" t="str">
        <f t="shared" si="6"/>
        <v>SEVROLL listwa łącząca "T" 3m srebrna</v>
      </c>
      <c r="C230" s="185">
        <f t="shared" si="7"/>
        <v>33.609000000000002</v>
      </c>
      <c r="D230" s="407" t="s">
        <v>2656</v>
      </c>
      <c r="E230" s="407" t="s">
        <v>4093</v>
      </c>
      <c r="F230" s="407" t="s">
        <v>1209</v>
      </c>
      <c r="G230" s="407" t="s">
        <v>4094</v>
      </c>
      <c r="H230" s="460">
        <v>268.51049999999998</v>
      </c>
      <c r="I230" s="460">
        <v>9.6543799999999997</v>
      </c>
      <c r="J230" s="460">
        <v>33.609000000000002</v>
      </c>
      <c r="K230" s="460">
        <v>3715.8343500000001</v>
      </c>
      <c r="L230" s="459" t="s">
        <v>538</v>
      </c>
      <c r="M230" s="309" t="s">
        <v>571</v>
      </c>
      <c r="N230" s="182">
        <v>220.81540000000001</v>
      </c>
      <c r="O230">
        <v>9.02</v>
      </c>
      <c r="P230" t="s">
        <v>9028</v>
      </c>
    </row>
    <row r="231" spans="1:16" ht="14.4" x14ac:dyDescent="0.3">
      <c r="A231" s="310">
        <v>135503</v>
      </c>
      <c r="B231" t="str">
        <f t="shared" si="6"/>
        <v>SEVROLL Factor 18 II rączka 2,7m jasny brąz</v>
      </c>
      <c r="C231" s="185">
        <f t="shared" si="7"/>
        <v>43.48977</v>
      </c>
      <c r="D231" s="407" t="s">
        <v>2861</v>
      </c>
      <c r="E231" s="407" t="s">
        <v>4095</v>
      </c>
      <c r="F231" s="407" t="s">
        <v>2861</v>
      </c>
      <c r="G231" s="407" t="s">
        <v>4096</v>
      </c>
      <c r="H231" s="460">
        <v>351.74153000000001</v>
      </c>
      <c r="I231" s="460">
        <v>12.646979999999999</v>
      </c>
      <c r="J231" s="460">
        <v>43.48977</v>
      </c>
      <c r="K231" s="460">
        <v>4867.6428800000003</v>
      </c>
      <c r="L231" s="459" t="s">
        <v>538</v>
      </c>
      <c r="M231" s="309" t="s">
        <v>571</v>
      </c>
      <c r="N231" s="182">
        <v>223.10194999999999</v>
      </c>
      <c r="O231">
        <v>11.651999999999999</v>
      </c>
      <c r="P231" t="s">
        <v>9029</v>
      </c>
    </row>
    <row r="232" spans="1:16" ht="14.4" x14ac:dyDescent="0.3">
      <c r="A232" s="310">
        <v>224019</v>
      </c>
      <c r="B232" t="str">
        <f t="shared" si="6"/>
        <v>SEVROLL Simple tor dolny 3 m srebrny</v>
      </c>
      <c r="C232" s="185">
        <f t="shared" si="7"/>
        <v>41.375390000000003</v>
      </c>
      <c r="D232" s="407" t="s">
        <v>3090</v>
      </c>
      <c r="E232" s="407" t="s">
        <v>4097</v>
      </c>
      <c r="F232" s="407" t="s">
        <v>4098</v>
      </c>
      <c r="G232" s="407" t="s">
        <v>4099</v>
      </c>
      <c r="H232" s="460">
        <v>308.56916999999999</v>
      </c>
      <c r="I232" s="460">
        <v>11.21574</v>
      </c>
      <c r="J232" s="460">
        <v>41.375390000000003</v>
      </c>
      <c r="K232" s="460">
        <v>4384.4920899999997</v>
      </c>
      <c r="L232" s="459" t="s">
        <v>539</v>
      </c>
      <c r="M232" s="309" t="s">
        <v>571</v>
      </c>
      <c r="N232" s="182">
        <v>224.42939999999999</v>
      </c>
      <c r="O232">
        <v>10.846</v>
      </c>
      <c r="P232" t="s">
        <v>9030</v>
      </c>
    </row>
    <row r="233" spans="1:16" ht="14.4" x14ac:dyDescent="0.3">
      <c r="A233" s="310">
        <v>180326</v>
      </c>
      <c r="B233" t="str">
        <f t="shared" si="6"/>
        <v>SEVROLL 02815 Maxim II zaślepka do toru 3,5m srebrna</v>
      </c>
      <c r="C233" s="185" t="e">
        <f t="shared" si="7"/>
        <v>#N/A</v>
      </c>
      <c r="D233" s="407" t="s">
        <v>2913</v>
      </c>
      <c r="E233" s="407" t="s">
        <v>4100</v>
      </c>
      <c r="F233" s="407" t="s">
        <v>4101</v>
      </c>
      <c r="G233" s="407" t="s">
        <v>4102</v>
      </c>
      <c r="H233" s="460" t="e">
        <v>#N/A</v>
      </c>
      <c r="I233" s="460" t="e">
        <v>#N/A</v>
      </c>
      <c r="J233" s="460" t="e">
        <v>#N/A</v>
      </c>
      <c r="K233" s="460" t="e">
        <v>#N/A</v>
      </c>
      <c r="L233" s="459" t="e">
        <v>#N/A</v>
      </c>
      <c r="M233" s="309" t="s">
        <v>571</v>
      </c>
      <c r="N233" s="182">
        <v>225.38849999999999</v>
      </c>
      <c r="O233" t="e">
        <v>#N/A</v>
      </c>
      <c r="P233" t="e">
        <v>#N/A</v>
      </c>
    </row>
    <row r="234" spans="1:16" ht="14.4" x14ac:dyDescent="0.3">
      <c r="A234" s="310">
        <v>260076</v>
      </c>
      <c r="B234" t="str">
        <f t="shared" si="6"/>
        <v>SEVROLL kątownik 18x18mm 3m srebrny</v>
      </c>
      <c r="C234" s="185">
        <f t="shared" si="7"/>
        <v>35.812199999999997</v>
      </c>
      <c r="D234" s="407" t="s">
        <v>3199</v>
      </c>
      <c r="E234" s="407" t="s">
        <v>4103</v>
      </c>
      <c r="F234" s="407" t="s">
        <v>4104</v>
      </c>
      <c r="G234" s="407" t="s">
        <v>4105</v>
      </c>
      <c r="H234" s="460">
        <v>270.68173000000002</v>
      </c>
      <c r="I234" s="460">
        <v>9.73245</v>
      </c>
      <c r="J234" s="460">
        <v>35.812199999999997</v>
      </c>
      <c r="K234" s="460">
        <v>3745.88184</v>
      </c>
      <c r="L234" s="459" t="s">
        <v>539</v>
      </c>
      <c r="M234" s="309" t="s">
        <v>571</v>
      </c>
      <c r="N234" s="182">
        <v>227.3484</v>
      </c>
      <c r="O234">
        <v>9.6140000000000008</v>
      </c>
      <c r="P234" t="s">
        <v>9031</v>
      </c>
    </row>
    <row r="235" spans="1:16" ht="14.4" x14ac:dyDescent="0.3">
      <c r="A235" s="310">
        <v>270113</v>
      </c>
      <c r="B235" t="str">
        <f t="shared" si="6"/>
        <v>SEVROLL kątownik 22x22mm 3m srebrny</v>
      </c>
      <c r="C235" s="185">
        <f t="shared" si="7"/>
        <v>37.790999999999997</v>
      </c>
      <c r="D235" s="407" t="s">
        <v>3208</v>
      </c>
      <c r="E235" s="407" t="s">
        <v>4106</v>
      </c>
      <c r="F235" s="407" t="s">
        <v>4107</v>
      </c>
      <c r="G235" s="407" t="s">
        <v>4108</v>
      </c>
      <c r="H235" s="460">
        <v>285.15669000000003</v>
      </c>
      <c r="I235" s="460">
        <v>10.2529</v>
      </c>
      <c r="J235" s="460">
        <v>37.790999999999997</v>
      </c>
      <c r="K235" s="460">
        <v>3946.1963700000001</v>
      </c>
      <c r="L235" s="459" t="s">
        <v>539</v>
      </c>
      <c r="M235" s="309" t="s">
        <v>571</v>
      </c>
      <c r="N235" s="182">
        <v>228.0017</v>
      </c>
      <c r="O235">
        <v>10.141999999999999</v>
      </c>
      <c r="P235" t="s">
        <v>9032</v>
      </c>
    </row>
    <row r="236" spans="1:16" ht="14.4" x14ac:dyDescent="0.3">
      <c r="A236" s="310">
        <v>284599</v>
      </c>
      <c r="B236" t="str">
        <f t="shared" si="6"/>
        <v>SEVROLL Uno rączka 18 mm 2,70 m, srebrna</v>
      </c>
      <c r="C236" s="185">
        <f t="shared" si="7"/>
        <v>40.982089999999999</v>
      </c>
      <c r="D236" s="407" t="s">
        <v>3259</v>
      </c>
      <c r="E236" s="407" t="s">
        <v>4109</v>
      </c>
      <c r="F236" s="407" t="s">
        <v>4110</v>
      </c>
      <c r="G236" s="407" t="s">
        <v>4111</v>
      </c>
      <c r="H236" s="460">
        <v>327.89949999999999</v>
      </c>
      <c r="I236" s="460">
        <v>11.91835</v>
      </c>
      <c r="J236" s="460">
        <v>40.982089999999999</v>
      </c>
      <c r="K236" s="460">
        <v>4659.1587399999999</v>
      </c>
      <c r="L236" s="459" t="s">
        <v>539</v>
      </c>
      <c r="M236" s="309" t="s">
        <v>571</v>
      </c>
      <c r="N236" s="182">
        <v>230.4342</v>
      </c>
      <c r="O236">
        <v>11.154</v>
      </c>
      <c r="P236" t="s">
        <v>9033</v>
      </c>
    </row>
    <row r="237" spans="1:16" ht="14.4" x14ac:dyDescent="0.3">
      <c r="A237" s="310">
        <v>144243</v>
      </c>
      <c r="B237" t="e">
        <f t="shared" si="6"/>
        <v>#N/A</v>
      </c>
      <c r="C237" s="185" t="e">
        <f t="shared" si="7"/>
        <v>#N/A</v>
      </c>
      <c r="D237" s="407" t="e">
        <v>#N/A</v>
      </c>
      <c r="E237" s="407" t="e">
        <v>#N/A</v>
      </c>
      <c r="F237" s="407" t="e">
        <v>#N/A</v>
      </c>
      <c r="G237" s="407" t="e">
        <v>#N/A</v>
      </c>
      <c r="H237" s="460" t="e">
        <v>#N/A</v>
      </c>
      <c r="I237" s="460" t="e">
        <v>#N/A</v>
      </c>
      <c r="J237" s="460" t="e">
        <v>#N/A</v>
      </c>
      <c r="K237" s="460" t="e">
        <v>#N/A</v>
      </c>
      <c r="L237" s="459" t="e">
        <v>#N/A</v>
      </c>
      <c r="M237" s="309" t="s">
        <v>571</v>
      </c>
      <c r="N237" s="182">
        <v>231.26820000000001</v>
      </c>
      <c r="O237" t="e">
        <v>#N/A</v>
      </c>
      <c r="P237" t="e">
        <v>#N/A</v>
      </c>
    </row>
    <row r="238" spans="1:16" ht="14.4" x14ac:dyDescent="0.3">
      <c r="A238" s="310">
        <v>98033</v>
      </c>
      <c r="B238" t="e">
        <f t="shared" si="6"/>
        <v>#N/A</v>
      </c>
      <c r="C238" s="185" t="e">
        <f t="shared" si="7"/>
        <v>#N/A</v>
      </c>
      <c r="D238" s="407" t="e">
        <v>#N/A</v>
      </c>
      <c r="E238" s="407" t="e">
        <v>#N/A</v>
      </c>
      <c r="F238" s="407" t="e">
        <v>#N/A</v>
      </c>
      <c r="G238" s="407" t="e">
        <v>#N/A</v>
      </c>
      <c r="H238" s="460" t="e">
        <v>#N/A</v>
      </c>
      <c r="I238" s="460" t="e">
        <v>#N/A</v>
      </c>
      <c r="J238" s="460" t="e">
        <v>#N/A</v>
      </c>
      <c r="K238" s="460" t="e">
        <v>#N/A</v>
      </c>
      <c r="L238" s="459" t="e">
        <v>#N/A</v>
      </c>
      <c r="M238" s="309" t="s">
        <v>571</v>
      </c>
      <c r="N238" s="182">
        <v>231.26820000000001</v>
      </c>
      <c r="O238" t="e">
        <v>#N/A</v>
      </c>
      <c r="P238" t="e">
        <v>#N/A</v>
      </c>
    </row>
    <row r="239" spans="1:16" ht="14.4" x14ac:dyDescent="0.3">
      <c r="A239" s="310">
        <v>89191</v>
      </c>
      <c r="B239" t="e">
        <f t="shared" si="6"/>
        <v>#N/A</v>
      </c>
      <c r="C239" s="185" t="e">
        <f t="shared" si="7"/>
        <v>#N/A</v>
      </c>
      <c r="D239" s="407" t="e">
        <v>#N/A</v>
      </c>
      <c r="E239" s="407" t="e">
        <v>#N/A</v>
      </c>
      <c r="F239" s="407" t="e">
        <v>#N/A</v>
      </c>
      <c r="G239" s="407" t="e">
        <v>#N/A</v>
      </c>
      <c r="H239" s="460" t="e">
        <v>#N/A</v>
      </c>
      <c r="I239" s="460" t="e">
        <v>#N/A</v>
      </c>
      <c r="J239" s="460" t="e">
        <v>#N/A</v>
      </c>
      <c r="K239" s="460" t="e">
        <v>#N/A</v>
      </c>
      <c r="L239" s="459" t="e">
        <v>#N/A</v>
      </c>
      <c r="M239" s="309" t="s">
        <v>571</v>
      </c>
      <c r="N239" s="182">
        <v>231.26820000000001</v>
      </c>
      <c r="O239" t="e">
        <v>#N/A</v>
      </c>
      <c r="P239" t="e">
        <v>#N/A</v>
      </c>
    </row>
    <row r="240" spans="1:16" ht="14.4" x14ac:dyDescent="0.3">
      <c r="A240" s="310">
        <v>89064</v>
      </c>
      <c r="B240" t="e">
        <f t="shared" si="6"/>
        <v>#N/A</v>
      </c>
      <c r="C240" s="185" t="e">
        <f t="shared" si="7"/>
        <v>#N/A</v>
      </c>
      <c r="D240" s="407" t="e">
        <v>#N/A</v>
      </c>
      <c r="E240" s="407" t="e">
        <v>#N/A</v>
      </c>
      <c r="F240" s="407" t="e">
        <v>#N/A</v>
      </c>
      <c r="G240" s="407" t="e">
        <v>#N/A</v>
      </c>
      <c r="H240" s="460" t="e">
        <v>#N/A</v>
      </c>
      <c r="I240" s="460" t="e">
        <v>#N/A</v>
      </c>
      <c r="J240" s="460" t="e">
        <v>#N/A</v>
      </c>
      <c r="K240" s="460" t="e">
        <v>#N/A</v>
      </c>
      <c r="L240" s="459" t="e">
        <v>#N/A</v>
      </c>
      <c r="M240" s="309" t="s">
        <v>571</v>
      </c>
      <c r="N240" s="182">
        <v>231.26820000000001</v>
      </c>
      <c r="O240" t="e">
        <v>#N/A</v>
      </c>
      <c r="P240" t="e">
        <v>#N/A</v>
      </c>
    </row>
    <row r="241" spans="1:16" ht="14.4" x14ac:dyDescent="0.3">
      <c r="A241" s="310">
        <v>213258</v>
      </c>
      <c r="B241" t="e">
        <f t="shared" si="6"/>
        <v>#N/A</v>
      </c>
      <c r="C241" s="185" t="e">
        <f t="shared" si="7"/>
        <v>#N/A</v>
      </c>
      <c r="D241" s="407" t="e">
        <v>#N/A</v>
      </c>
      <c r="E241" s="407" t="e">
        <v>#N/A</v>
      </c>
      <c r="F241" s="407" t="e">
        <v>#N/A</v>
      </c>
      <c r="G241" s="407" t="e">
        <v>#N/A</v>
      </c>
      <c r="H241" s="460" t="e">
        <v>#N/A</v>
      </c>
      <c r="I241" s="460" t="e">
        <v>#N/A</v>
      </c>
      <c r="J241" s="460" t="e">
        <v>#N/A</v>
      </c>
      <c r="K241" s="460" t="e">
        <v>#N/A</v>
      </c>
      <c r="L241" s="459" t="e">
        <v>#N/A</v>
      </c>
      <c r="M241" s="309" t="s">
        <v>571</v>
      </c>
      <c r="N241" s="182">
        <v>231.26820000000001</v>
      </c>
      <c r="O241" t="e">
        <v>#N/A</v>
      </c>
      <c r="P241" t="e">
        <v>#N/A</v>
      </c>
    </row>
    <row r="242" spans="1:16" ht="14.4" x14ac:dyDescent="0.3">
      <c r="A242" s="310">
        <v>98038</v>
      </c>
      <c r="B242" t="e">
        <f t="shared" si="6"/>
        <v>#N/A</v>
      </c>
      <c r="C242" s="185" t="e">
        <f t="shared" si="7"/>
        <v>#N/A</v>
      </c>
      <c r="D242" s="407" t="e">
        <v>#N/A</v>
      </c>
      <c r="E242" s="407" t="e">
        <v>#N/A</v>
      </c>
      <c r="F242" s="407" t="e">
        <v>#N/A</v>
      </c>
      <c r="G242" s="407" t="e">
        <v>#N/A</v>
      </c>
      <c r="H242" s="460" t="e">
        <v>#N/A</v>
      </c>
      <c r="I242" s="460" t="e">
        <v>#N/A</v>
      </c>
      <c r="J242" s="460" t="e">
        <v>#N/A</v>
      </c>
      <c r="K242" s="460" t="e">
        <v>#N/A</v>
      </c>
      <c r="L242" s="459" t="e">
        <v>#N/A</v>
      </c>
      <c r="M242" s="309" t="s">
        <v>571</v>
      </c>
      <c r="N242" s="182">
        <v>231.26820000000001</v>
      </c>
      <c r="O242" t="e">
        <v>#N/A</v>
      </c>
      <c r="P242" t="e">
        <v>#N/A</v>
      </c>
    </row>
    <row r="243" spans="1:16" ht="14.4" x14ac:dyDescent="0.3">
      <c r="A243" s="310">
        <v>89048</v>
      </c>
      <c r="B243" t="e">
        <f t="shared" si="6"/>
        <v>#N/A</v>
      </c>
      <c r="C243" s="185" t="e">
        <f t="shared" si="7"/>
        <v>#N/A</v>
      </c>
      <c r="D243" s="407" t="e">
        <v>#N/A</v>
      </c>
      <c r="E243" s="407" t="e">
        <v>#N/A</v>
      </c>
      <c r="F243" s="407" t="e">
        <v>#N/A</v>
      </c>
      <c r="G243" s="407" t="e">
        <v>#N/A</v>
      </c>
      <c r="H243" s="460" t="e">
        <v>#N/A</v>
      </c>
      <c r="I243" s="460" t="e">
        <v>#N/A</v>
      </c>
      <c r="J243" s="460" t="e">
        <v>#N/A</v>
      </c>
      <c r="K243" s="460" t="e">
        <v>#N/A</v>
      </c>
      <c r="L243" s="459" t="e">
        <v>#N/A</v>
      </c>
      <c r="M243" s="309" t="s">
        <v>571</v>
      </c>
      <c r="N243" s="182">
        <v>231.26820000000001</v>
      </c>
      <c r="O243" t="e">
        <v>#N/A</v>
      </c>
      <c r="P243" t="e">
        <v>#N/A</v>
      </c>
    </row>
    <row r="244" spans="1:16" ht="14.4" x14ac:dyDescent="0.3">
      <c r="A244" s="310">
        <v>89263</v>
      </c>
      <c r="B244" t="e">
        <f t="shared" si="6"/>
        <v>#N/A</v>
      </c>
      <c r="C244" s="185" t="e">
        <f t="shared" si="7"/>
        <v>#N/A</v>
      </c>
      <c r="D244" s="407" t="e">
        <v>#N/A</v>
      </c>
      <c r="E244" s="407" t="e">
        <v>#N/A</v>
      </c>
      <c r="F244" s="407" t="e">
        <v>#N/A</v>
      </c>
      <c r="G244" s="407" t="e">
        <v>#N/A</v>
      </c>
      <c r="H244" s="460" t="e">
        <v>#N/A</v>
      </c>
      <c r="I244" s="460" t="e">
        <v>#N/A</v>
      </c>
      <c r="J244" s="460" t="e">
        <v>#N/A</v>
      </c>
      <c r="K244" s="460" t="e">
        <v>#N/A</v>
      </c>
      <c r="L244" s="459" t="e">
        <v>#N/A</v>
      </c>
      <c r="M244" s="309" t="s">
        <v>571</v>
      </c>
      <c r="N244" s="182">
        <v>231.26820000000001</v>
      </c>
      <c r="O244" t="e">
        <v>#N/A</v>
      </c>
      <c r="P244" t="e">
        <v>#N/A</v>
      </c>
    </row>
    <row r="245" spans="1:16" ht="14.4" x14ac:dyDescent="0.3">
      <c r="A245" s="310">
        <v>213934</v>
      </c>
      <c r="B245" t="e">
        <f t="shared" si="6"/>
        <v>#N/A</v>
      </c>
      <c r="C245" s="185" t="e">
        <f t="shared" si="7"/>
        <v>#N/A</v>
      </c>
      <c r="D245" s="407" t="e">
        <v>#N/A</v>
      </c>
      <c r="E245" s="407" t="e">
        <v>#N/A</v>
      </c>
      <c r="F245" s="407" t="e">
        <v>#N/A</v>
      </c>
      <c r="G245" s="407" t="e">
        <v>#N/A</v>
      </c>
      <c r="H245" s="460" t="e">
        <v>#N/A</v>
      </c>
      <c r="I245" s="460" t="e">
        <v>#N/A</v>
      </c>
      <c r="J245" s="460" t="e">
        <v>#N/A</v>
      </c>
      <c r="K245" s="460" t="e">
        <v>#N/A</v>
      </c>
      <c r="L245" s="459" t="e">
        <v>#N/A</v>
      </c>
      <c r="M245" s="309" t="s">
        <v>571</v>
      </c>
      <c r="N245" s="182">
        <v>231.26820000000001</v>
      </c>
      <c r="O245" t="e">
        <v>#N/A</v>
      </c>
      <c r="P245" t="e">
        <v>#N/A</v>
      </c>
    </row>
    <row r="246" spans="1:16" ht="14.4" x14ac:dyDescent="0.3">
      <c r="A246" s="310">
        <v>179398</v>
      </c>
      <c r="B246" t="e">
        <f t="shared" si="6"/>
        <v>#N/A</v>
      </c>
      <c r="C246" s="185" t="e">
        <f t="shared" si="7"/>
        <v>#N/A</v>
      </c>
      <c r="D246" s="407" t="e">
        <v>#N/A</v>
      </c>
      <c r="E246" s="407" t="e">
        <v>#N/A</v>
      </c>
      <c r="F246" s="407" t="e">
        <v>#N/A</v>
      </c>
      <c r="G246" s="407" t="e">
        <v>#N/A</v>
      </c>
      <c r="H246" s="460" t="e">
        <v>#N/A</v>
      </c>
      <c r="I246" s="460" t="e">
        <v>#N/A</v>
      </c>
      <c r="J246" s="460" t="e">
        <v>#N/A</v>
      </c>
      <c r="K246" s="460" t="e">
        <v>#N/A</v>
      </c>
      <c r="L246" s="459" t="e">
        <v>#N/A</v>
      </c>
      <c r="M246" s="309" t="s">
        <v>571</v>
      </c>
      <c r="N246" s="182">
        <v>231.26820000000001</v>
      </c>
      <c r="O246" t="e">
        <v>#N/A</v>
      </c>
      <c r="P246" t="e">
        <v>#N/A</v>
      </c>
    </row>
    <row r="247" spans="1:16" ht="14.4" x14ac:dyDescent="0.3">
      <c r="A247" s="310">
        <v>89041</v>
      </c>
      <c r="B247" t="e">
        <f t="shared" si="6"/>
        <v>#N/A</v>
      </c>
      <c r="C247" s="185" t="e">
        <f t="shared" si="7"/>
        <v>#N/A</v>
      </c>
      <c r="D247" s="407" t="e">
        <v>#N/A</v>
      </c>
      <c r="E247" s="407" t="e">
        <v>#N/A</v>
      </c>
      <c r="F247" s="407" t="e">
        <v>#N/A</v>
      </c>
      <c r="G247" s="407" t="e">
        <v>#N/A</v>
      </c>
      <c r="H247" s="460" t="e">
        <v>#N/A</v>
      </c>
      <c r="I247" s="460" t="e">
        <v>#N/A</v>
      </c>
      <c r="J247" s="460" t="e">
        <v>#N/A</v>
      </c>
      <c r="K247" s="460" t="e">
        <v>#N/A</v>
      </c>
      <c r="L247" s="459" t="e">
        <v>#N/A</v>
      </c>
      <c r="M247" s="309" t="s">
        <v>571</v>
      </c>
      <c r="N247" s="182">
        <v>231.26820000000001</v>
      </c>
      <c r="O247" t="e">
        <v>#N/A</v>
      </c>
      <c r="P247" t="e">
        <v>#N/A</v>
      </c>
    </row>
    <row r="248" spans="1:16" ht="14.4" x14ac:dyDescent="0.3">
      <c r="A248" s="310">
        <v>144245</v>
      </c>
      <c r="B248" t="e">
        <f t="shared" si="6"/>
        <v>#N/A</v>
      </c>
      <c r="C248" s="185" t="e">
        <f t="shared" si="7"/>
        <v>#N/A</v>
      </c>
      <c r="D248" s="407" t="e">
        <v>#N/A</v>
      </c>
      <c r="E248" s="407" t="e">
        <v>#N/A</v>
      </c>
      <c r="F248" s="407" t="e">
        <v>#N/A</v>
      </c>
      <c r="G248" s="407" t="e">
        <v>#N/A</v>
      </c>
      <c r="H248" s="460" t="e">
        <v>#N/A</v>
      </c>
      <c r="I248" s="460" t="e">
        <v>#N/A</v>
      </c>
      <c r="J248" s="460" t="e">
        <v>#N/A</v>
      </c>
      <c r="K248" s="460" t="e">
        <v>#N/A</v>
      </c>
      <c r="L248" s="459" t="e">
        <v>#N/A</v>
      </c>
      <c r="M248" s="309" t="s">
        <v>571</v>
      </c>
      <c r="N248" s="182">
        <v>231.26820000000001</v>
      </c>
      <c r="O248" t="e">
        <v>#N/A</v>
      </c>
      <c r="P248" t="e">
        <v>#N/A</v>
      </c>
    </row>
    <row r="249" spans="1:16" ht="14.4" x14ac:dyDescent="0.3">
      <c r="A249" s="310">
        <v>211772</v>
      </c>
      <c r="B249" t="e">
        <f t="shared" si="6"/>
        <v>#N/A</v>
      </c>
      <c r="C249" s="185" t="e">
        <f t="shared" si="7"/>
        <v>#N/A</v>
      </c>
      <c r="D249" s="407" t="e">
        <v>#N/A</v>
      </c>
      <c r="E249" s="407" t="e">
        <v>#N/A</v>
      </c>
      <c r="F249" s="407" t="e">
        <v>#N/A</v>
      </c>
      <c r="G249" s="407" t="e">
        <v>#N/A</v>
      </c>
      <c r="H249" s="460" t="e">
        <v>#N/A</v>
      </c>
      <c r="I249" s="460" t="e">
        <v>#N/A</v>
      </c>
      <c r="J249" s="460" t="e">
        <v>#N/A</v>
      </c>
      <c r="K249" s="460" t="e">
        <v>#N/A</v>
      </c>
      <c r="L249" s="459" t="e">
        <v>#N/A</v>
      </c>
      <c r="M249" s="309" t="s">
        <v>571</v>
      </c>
      <c r="N249" s="182">
        <v>231.26820000000001</v>
      </c>
      <c r="O249" t="e">
        <v>#N/A</v>
      </c>
      <c r="P249" t="e">
        <v>#N/A</v>
      </c>
    </row>
    <row r="250" spans="1:16" ht="14.4" x14ac:dyDescent="0.3">
      <c r="A250" s="310">
        <v>165482</v>
      </c>
      <c r="B250" t="e">
        <f t="shared" si="6"/>
        <v>#N/A</v>
      </c>
      <c r="C250" s="185" t="e">
        <f t="shared" si="7"/>
        <v>#N/A</v>
      </c>
      <c r="D250" s="407" t="e">
        <v>#N/A</v>
      </c>
      <c r="E250" s="407" t="e">
        <v>#N/A</v>
      </c>
      <c r="F250" s="407" t="e">
        <v>#N/A</v>
      </c>
      <c r="G250" s="407" t="e">
        <v>#N/A</v>
      </c>
      <c r="H250" s="460" t="e">
        <v>#N/A</v>
      </c>
      <c r="I250" s="460" t="e">
        <v>#N/A</v>
      </c>
      <c r="J250" s="460" t="e">
        <v>#N/A</v>
      </c>
      <c r="K250" s="460" t="e">
        <v>#N/A</v>
      </c>
      <c r="L250" s="459" t="e">
        <v>#N/A</v>
      </c>
      <c r="M250" s="309" t="s">
        <v>571</v>
      </c>
      <c r="N250" s="182">
        <v>231.26820000000001</v>
      </c>
      <c r="O250" t="e">
        <v>#N/A</v>
      </c>
      <c r="P250" t="e">
        <v>#N/A</v>
      </c>
    </row>
    <row r="251" spans="1:16" ht="14.4" x14ac:dyDescent="0.3">
      <c r="A251" s="310">
        <v>215724</v>
      </c>
      <c r="B251" t="e">
        <f t="shared" si="6"/>
        <v>#N/A</v>
      </c>
      <c r="C251" s="185" t="e">
        <f t="shared" si="7"/>
        <v>#N/A</v>
      </c>
      <c r="D251" s="407" t="e">
        <v>#N/A</v>
      </c>
      <c r="E251" s="407" t="e">
        <v>#N/A</v>
      </c>
      <c r="F251" s="407" t="e">
        <v>#N/A</v>
      </c>
      <c r="G251" s="407" t="e">
        <v>#N/A</v>
      </c>
      <c r="H251" s="460" t="e">
        <v>#N/A</v>
      </c>
      <c r="I251" s="460" t="e">
        <v>#N/A</v>
      </c>
      <c r="J251" s="460" t="e">
        <v>#N/A</v>
      </c>
      <c r="K251" s="460" t="e">
        <v>#N/A</v>
      </c>
      <c r="L251" s="459" t="e">
        <v>#N/A</v>
      </c>
      <c r="M251" s="309" t="s">
        <v>571</v>
      </c>
      <c r="N251" s="182">
        <v>231.26820000000001</v>
      </c>
      <c r="O251" t="e">
        <v>#N/A</v>
      </c>
      <c r="P251" t="e">
        <v>#N/A</v>
      </c>
    </row>
    <row r="252" spans="1:16" ht="14.4" x14ac:dyDescent="0.3">
      <c r="A252" s="310">
        <v>251630</v>
      </c>
      <c r="B252" t="e">
        <f t="shared" si="6"/>
        <v>#N/A</v>
      </c>
      <c r="C252" s="185" t="e">
        <f t="shared" si="7"/>
        <v>#N/A</v>
      </c>
      <c r="D252" s="407" t="e">
        <v>#N/A</v>
      </c>
      <c r="E252" s="407" t="e">
        <v>#N/A</v>
      </c>
      <c r="F252" s="407" t="e">
        <v>#N/A</v>
      </c>
      <c r="G252" s="407" t="e">
        <v>#N/A</v>
      </c>
      <c r="H252" s="460" t="e">
        <v>#N/A</v>
      </c>
      <c r="I252" s="460" t="e">
        <v>#N/A</v>
      </c>
      <c r="J252" s="460" t="e">
        <v>#N/A</v>
      </c>
      <c r="K252" s="460" t="e">
        <v>#N/A</v>
      </c>
      <c r="L252" s="459" t="e">
        <v>#N/A</v>
      </c>
      <c r="M252" s="309" t="s">
        <v>571</v>
      </c>
      <c r="N252" s="182">
        <v>231.26820000000001</v>
      </c>
      <c r="O252" t="e">
        <v>#N/A</v>
      </c>
      <c r="P252" t="e">
        <v>#N/A</v>
      </c>
    </row>
    <row r="253" spans="1:16" ht="14.4" x14ac:dyDescent="0.3">
      <c r="A253" s="310">
        <v>144246</v>
      </c>
      <c r="B253" t="e">
        <f t="shared" si="6"/>
        <v>#N/A</v>
      </c>
      <c r="C253" s="185" t="e">
        <f t="shared" si="7"/>
        <v>#N/A</v>
      </c>
      <c r="D253" s="407" t="e">
        <v>#N/A</v>
      </c>
      <c r="E253" s="407" t="e">
        <v>#N/A</v>
      </c>
      <c r="F253" s="407" t="e">
        <v>#N/A</v>
      </c>
      <c r="G253" s="407" t="e">
        <v>#N/A</v>
      </c>
      <c r="H253" s="460" t="e">
        <v>#N/A</v>
      </c>
      <c r="I253" s="460" t="e">
        <v>#N/A</v>
      </c>
      <c r="J253" s="460" t="e">
        <v>#N/A</v>
      </c>
      <c r="K253" s="460" t="e">
        <v>#N/A</v>
      </c>
      <c r="L253" s="459" t="e">
        <v>#N/A</v>
      </c>
      <c r="M253" s="309" t="s">
        <v>571</v>
      </c>
      <c r="N253" s="182">
        <v>231.26820000000001</v>
      </c>
      <c r="O253" t="e">
        <v>#N/A</v>
      </c>
      <c r="P253" t="e">
        <v>#N/A</v>
      </c>
    </row>
    <row r="254" spans="1:16" ht="14.4" x14ac:dyDescent="0.3">
      <c r="A254" s="310">
        <v>154208</v>
      </c>
      <c r="B254" t="e">
        <f t="shared" si="6"/>
        <v>#N/A</v>
      </c>
      <c r="C254" s="185" t="e">
        <f t="shared" si="7"/>
        <v>#N/A</v>
      </c>
      <c r="D254" s="407" t="e">
        <v>#N/A</v>
      </c>
      <c r="E254" s="407" t="e">
        <v>#N/A</v>
      </c>
      <c r="F254" s="407" t="e">
        <v>#N/A</v>
      </c>
      <c r="G254" s="407" t="e">
        <v>#N/A</v>
      </c>
      <c r="H254" s="460" t="e">
        <v>#N/A</v>
      </c>
      <c r="I254" s="460" t="e">
        <v>#N/A</v>
      </c>
      <c r="J254" s="460" t="e">
        <v>#N/A</v>
      </c>
      <c r="K254" s="460" t="e">
        <v>#N/A</v>
      </c>
      <c r="L254" s="459" t="e">
        <v>#N/A</v>
      </c>
      <c r="M254" s="309" t="s">
        <v>571</v>
      </c>
      <c r="N254" s="182">
        <v>231.26820000000001</v>
      </c>
      <c r="O254" t="e">
        <v>#N/A</v>
      </c>
      <c r="P254" t="e">
        <v>#N/A</v>
      </c>
    </row>
    <row r="255" spans="1:16" ht="14.4" x14ac:dyDescent="0.3">
      <c r="A255" s="310">
        <v>359653</v>
      </c>
      <c r="B255" t="e">
        <f t="shared" si="6"/>
        <v>#N/A</v>
      </c>
      <c r="C255" s="185" t="e">
        <f t="shared" si="7"/>
        <v>#N/A</v>
      </c>
      <c r="D255" s="407" t="e">
        <v>#N/A</v>
      </c>
      <c r="E255" s="407" t="e">
        <v>#N/A</v>
      </c>
      <c r="F255" s="407" t="e">
        <v>#N/A</v>
      </c>
      <c r="G255" s="407" t="e">
        <v>#N/A</v>
      </c>
      <c r="H255" s="460" t="e">
        <v>#N/A</v>
      </c>
      <c r="I255" s="460" t="e">
        <v>#N/A</v>
      </c>
      <c r="J255" s="460" t="e">
        <v>#N/A</v>
      </c>
      <c r="K255" s="460" t="e">
        <v>#N/A</v>
      </c>
      <c r="L255" s="459" t="e">
        <v>#N/A</v>
      </c>
      <c r="M255" s="309" t="s">
        <v>571</v>
      </c>
      <c r="N255" s="182">
        <v>231.26820000000001</v>
      </c>
      <c r="O255" t="e">
        <v>#N/A</v>
      </c>
      <c r="P255" t="e">
        <v>#N/A</v>
      </c>
    </row>
    <row r="256" spans="1:16" ht="14.4" x14ac:dyDescent="0.3">
      <c r="A256" s="310">
        <v>96406</v>
      </c>
      <c r="B256" t="e">
        <f t="shared" si="6"/>
        <v>#N/A</v>
      </c>
      <c r="C256" s="185" t="e">
        <f t="shared" si="7"/>
        <v>#N/A</v>
      </c>
      <c r="D256" s="407" t="e">
        <v>#N/A</v>
      </c>
      <c r="E256" s="407" t="e">
        <v>#N/A</v>
      </c>
      <c r="F256" s="407" t="e">
        <v>#N/A</v>
      </c>
      <c r="G256" s="407" t="e">
        <v>#N/A</v>
      </c>
      <c r="H256" s="460" t="e">
        <v>#N/A</v>
      </c>
      <c r="I256" s="460" t="e">
        <v>#N/A</v>
      </c>
      <c r="J256" s="460" t="e">
        <v>#N/A</v>
      </c>
      <c r="K256" s="460" t="e">
        <v>#N/A</v>
      </c>
      <c r="L256" s="459" t="e">
        <v>#N/A</v>
      </c>
      <c r="M256" s="309" t="s">
        <v>571</v>
      </c>
      <c r="N256" s="182">
        <v>231.26820000000001</v>
      </c>
      <c r="O256" t="e">
        <v>#N/A</v>
      </c>
      <c r="P256" t="e">
        <v>#N/A</v>
      </c>
    </row>
    <row r="257" spans="1:16" ht="14.4" x14ac:dyDescent="0.3">
      <c r="A257" s="310">
        <v>95950</v>
      </c>
      <c r="B257" t="e">
        <f t="shared" si="6"/>
        <v>#N/A</v>
      </c>
      <c r="C257" s="185" t="e">
        <f t="shared" si="7"/>
        <v>#N/A</v>
      </c>
      <c r="D257" s="407" t="e">
        <v>#N/A</v>
      </c>
      <c r="E257" s="407" t="e">
        <v>#N/A</v>
      </c>
      <c r="F257" s="407" t="e">
        <v>#N/A</v>
      </c>
      <c r="G257" s="407" t="e">
        <v>#N/A</v>
      </c>
      <c r="H257" s="460" t="e">
        <v>#N/A</v>
      </c>
      <c r="I257" s="460" t="e">
        <v>#N/A</v>
      </c>
      <c r="J257" s="460" t="e">
        <v>#N/A</v>
      </c>
      <c r="K257" s="460" t="e">
        <v>#N/A</v>
      </c>
      <c r="L257" s="459" t="e">
        <v>#N/A</v>
      </c>
      <c r="M257" s="309" t="s">
        <v>571</v>
      </c>
      <c r="N257" s="182">
        <v>231.26820000000001</v>
      </c>
      <c r="O257" t="e">
        <v>#N/A</v>
      </c>
      <c r="P257" t="e">
        <v>#N/A</v>
      </c>
    </row>
    <row r="258" spans="1:16" ht="14.4" x14ac:dyDescent="0.3">
      <c r="A258" s="310">
        <v>122950</v>
      </c>
      <c r="B258" t="e">
        <f t="shared" si="6"/>
        <v>#N/A</v>
      </c>
      <c r="C258" s="185" t="e">
        <f t="shared" si="7"/>
        <v>#N/A</v>
      </c>
      <c r="D258" s="407" t="e">
        <v>#N/A</v>
      </c>
      <c r="E258" s="407" t="e">
        <v>#N/A</v>
      </c>
      <c r="F258" s="407" t="e">
        <v>#N/A</v>
      </c>
      <c r="G258" s="407" t="e">
        <v>#N/A</v>
      </c>
      <c r="H258" s="460" t="e">
        <v>#N/A</v>
      </c>
      <c r="I258" s="460" t="e">
        <v>#N/A</v>
      </c>
      <c r="J258" s="460" t="e">
        <v>#N/A</v>
      </c>
      <c r="K258" s="460" t="e">
        <v>#N/A</v>
      </c>
      <c r="L258" s="459" t="e">
        <v>#N/A</v>
      </c>
      <c r="M258" s="309" t="s">
        <v>571</v>
      </c>
      <c r="N258" s="182">
        <v>231.26820000000001</v>
      </c>
      <c r="O258" t="e">
        <v>#N/A</v>
      </c>
      <c r="P258" t="e">
        <v>#N/A</v>
      </c>
    </row>
    <row r="259" spans="1:16" ht="14.4" x14ac:dyDescent="0.3">
      <c r="A259" s="310">
        <v>102834</v>
      </c>
      <c r="B259" t="str">
        <f t="shared" si="6"/>
        <v>SEVROLL 01882 Maxim listwa łącząca H18 2,5 m, srebrna</v>
      </c>
      <c r="C259" s="185" t="e">
        <f t="shared" si="7"/>
        <v>#N/A</v>
      </c>
      <c r="D259" s="407" t="s">
        <v>2809</v>
      </c>
      <c r="E259" s="407" t="s">
        <v>4112</v>
      </c>
      <c r="F259" s="407" t="s">
        <v>4113</v>
      </c>
      <c r="G259" s="407" t="s">
        <v>4114</v>
      </c>
      <c r="H259" s="460" t="e">
        <v>#N/A</v>
      </c>
      <c r="I259" s="460" t="e">
        <v>#N/A</v>
      </c>
      <c r="J259" s="460" t="e">
        <v>#N/A</v>
      </c>
      <c r="K259" s="460" t="e">
        <v>#N/A</v>
      </c>
      <c r="L259" s="459" t="e">
        <v>#N/A</v>
      </c>
      <c r="M259" s="309" t="s">
        <v>571</v>
      </c>
      <c r="N259" s="182">
        <v>231.26820000000001</v>
      </c>
      <c r="O259">
        <v>9.4380000000000006</v>
      </c>
      <c r="P259" t="s">
        <v>9034</v>
      </c>
    </row>
    <row r="260" spans="1:16" ht="14.4" x14ac:dyDescent="0.3">
      <c r="A260" s="310">
        <v>89187</v>
      </c>
      <c r="B260" t="str">
        <f t="shared" ref="B260:B323" si="8">IF($A$2=1,D260,IF($A$2=2,F260,IF($A$2=3,G260,IF($A$2=4,E260,IF($A$2&gt;4,P260,"zadat jazyk")))))</f>
        <v>SEVROLL listwa łącząca "T" 3m jasny brąz</v>
      </c>
      <c r="C260" s="185">
        <f t="shared" ref="C260:C323" si="9">IF($A$2=1,H260,IF($A$2=2,I260,IF($A$2=3,J260,IF($A$2=4,K260,IF($A$2&gt;4,O260,"zadat jazyk")))))</f>
        <v>40.805219999999998</v>
      </c>
      <c r="D260" s="407" t="s">
        <v>2655</v>
      </c>
      <c r="E260" s="407" t="s">
        <v>4115</v>
      </c>
      <c r="F260" s="407" t="s">
        <v>1210</v>
      </c>
      <c r="G260" s="407" t="s">
        <v>4116</v>
      </c>
      <c r="H260" s="460">
        <v>330.02909</v>
      </c>
      <c r="I260" s="460">
        <v>11.86631</v>
      </c>
      <c r="J260" s="460">
        <v>40.805219999999998</v>
      </c>
      <c r="K260" s="460">
        <v>4567.1710700000003</v>
      </c>
      <c r="L260" s="459" t="s">
        <v>538</v>
      </c>
      <c r="M260" s="309" t="s">
        <v>571</v>
      </c>
      <c r="N260" s="182">
        <v>231.26820000000001</v>
      </c>
      <c r="O260">
        <v>10.032</v>
      </c>
      <c r="P260" t="s">
        <v>9035</v>
      </c>
    </row>
    <row r="261" spans="1:16" ht="14.4" x14ac:dyDescent="0.3">
      <c r="A261" s="310">
        <v>89015</v>
      </c>
      <c r="B261" t="str">
        <f t="shared" si="8"/>
        <v>SEVROLL 01370 spojovací lišta T Decor 3m oliva</v>
      </c>
      <c r="C261" s="185">
        <f t="shared" si="9"/>
        <v>40.08934</v>
      </c>
      <c r="D261" s="407" t="s">
        <v>2704</v>
      </c>
      <c r="E261" s="407" t="s">
        <v>4117</v>
      </c>
      <c r="F261" s="407" t="s">
        <v>4118</v>
      </c>
      <c r="G261" s="407" t="s">
        <v>2704</v>
      </c>
      <c r="H261" s="460">
        <v>324.23910000000001</v>
      </c>
      <c r="I261" s="460">
        <v>11.65812</v>
      </c>
      <c r="J261" s="460">
        <v>40.08934</v>
      </c>
      <c r="K261" s="460">
        <v>4487.0453600000001</v>
      </c>
      <c r="L261" s="459" t="s">
        <v>538</v>
      </c>
      <c r="M261" s="309" t="s">
        <v>571</v>
      </c>
      <c r="N261" s="182">
        <v>231.26820000000001</v>
      </c>
      <c r="O261">
        <v>10.119999999999999</v>
      </c>
      <c r="P261" t="s">
        <v>9036</v>
      </c>
    </row>
    <row r="262" spans="1:16" ht="14.4" x14ac:dyDescent="0.3">
      <c r="A262" s="310">
        <v>308641</v>
      </c>
      <c r="B262" t="str">
        <f t="shared" si="8"/>
        <v>SEVROLL zestaw Fold do 2 skrzydeł lewy</v>
      </c>
      <c r="C262" s="185">
        <f t="shared" si="9"/>
        <v>47.248139999999999</v>
      </c>
      <c r="D262" s="407" t="s">
        <v>3305</v>
      </c>
      <c r="E262" s="407" t="s">
        <v>4119</v>
      </c>
      <c r="F262" s="407" t="s">
        <v>4120</v>
      </c>
      <c r="G262" s="407" t="s">
        <v>2367</v>
      </c>
      <c r="H262" s="460">
        <v>382.13893999999999</v>
      </c>
      <c r="I262" s="460">
        <v>13.739929999999999</v>
      </c>
      <c r="J262" s="460">
        <v>47.248139999999999</v>
      </c>
      <c r="K262" s="460">
        <v>5288.3034799999996</v>
      </c>
      <c r="L262" s="459" t="s">
        <v>539</v>
      </c>
      <c r="M262" s="309" t="s">
        <v>571</v>
      </c>
      <c r="N262" s="182">
        <v>235.84129999999999</v>
      </c>
      <c r="O262">
        <v>10.098000000000001</v>
      </c>
      <c r="P262" t="s">
        <v>9037</v>
      </c>
    </row>
    <row r="263" spans="1:16" ht="14.4" x14ac:dyDescent="0.3">
      <c r="A263" s="310">
        <v>223341</v>
      </c>
      <c r="B263" t="str">
        <f t="shared" si="8"/>
        <v>SEVROLL profil "U" 18 mm 3 m oliwka szczotkowana</v>
      </c>
      <c r="C263" s="185">
        <f t="shared" si="9"/>
        <v>36.934199999999997</v>
      </c>
      <c r="D263" s="407" t="s">
        <v>3041</v>
      </c>
      <c r="E263" s="407" t="s">
        <v>4121</v>
      </c>
      <c r="F263" s="407" t="s">
        <v>1112</v>
      </c>
      <c r="G263" s="407" t="s">
        <v>4122</v>
      </c>
      <c r="H263" s="460">
        <v>238.11309</v>
      </c>
      <c r="I263" s="460">
        <v>8.5614399999999993</v>
      </c>
      <c r="J263" s="460">
        <v>36.934199999999997</v>
      </c>
      <c r="K263" s="460">
        <v>3295.17416</v>
      </c>
      <c r="L263" s="459" t="s">
        <v>539</v>
      </c>
      <c r="M263" s="309" t="s">
        <v>571</v>
      </c>
      <c r="N263" s="182">
        <v>236.49459999999999</v>
      </c>
      <c r="O263">
        <v>9.9220000000000006</v>
      </c>
      <c r="P263" t="s">
        <v>9038</v>
      </c>
    </row>
    <row r="264" spans="1:16" ht="14.4" x14ac:dyDescent="0.3">
      <c r="A264" s="310">
        <v>223342</v>
      </c>
      <c r="B264" t="str">
        <f t="shared" si="8"/>
        <v>SEVROLL profil "U" 18 mm 3 m  oliwka ciemna szczotkowana</v>
      </c>
      <c r="C264" s="185">
        <f t="shared" si="9"/>
        <v>36.934199999999997</v>
      </c>
      <c r="D264" s="407" t="s">
        <v>3042</v>
      </c>
      <c r="E264" s="407" t="s">
        <v>4123</v>
      </c>
      <c r="F264" s="407" t="s">
        <v>1111</v>
      </c>
      <c r="G264" s="407" t="s">
        <v>4124</v>
      </c>
      <c r="H264" s="460">
        <v>238.11309</v>
      </c>
      <c r="I264" s="460">
        <v>8.5614399999999993</v>
      </c>
      <c r="J264" s="460">
        <v>36.934199999999997</v>
      </c>
      <c r="K264" s="460">
        <v>3295.17416</v>
      </c>
      <c r="L264" s="459" t="s">
        <v>539</v>
      </c>
      <c r="M264" s="309" t="s">
        <v>571</v>
      </c>
      <c r="N264" s="182">
        <v>236.49459999999999</v>
      </c>
      <c r="O264">
        <v>9.9220000000000006</v>
      </c>
      <c r="P264" t="s">
        <v>9039</v>
      </c>
    </row>
    <row r="265" spans="1:16" ht="14.4" x14ac:dyDescent="0.3">
      <c r="A265" s="310">
        <v>224118</v>
      </c>
      <c r="B265" t="str">
        <f t="shared" si="8"/>
        <v>SEVROLL Simple tor górny 1,5 m jasny brąz</v>
      </c>
      <c r="C265" s="185" t="e">
        <f t="shared" si="9"/>
        <v>#N/A</v>
      </c>
      <c r="D265" s="407" t="s">
        <v>3092</v>
      </c>
      <c r="E265" s="407" t="s">
        <v>4125</v>
      </c>
      <c r="F265" s="407" t="s">
        <v>4126</v>
      </c>
      <c r="G265" s="407" t="s">
        <v>4127</v>
      </c>
      <c r="H265" s="460" t="e">
        <v>#N/A</v>
      </c>
      <c r="I265" s="460" t="e">
        <v>#N/A</v>
      </c>
      <c r="J265" s="460" t="e">
        <v>#N/A</v>
      </c>
      <c r="K265" s="460" t="e">
        <v>#N/A</v>
      </c>
      <c r="L265" s="459" t="e">
        <v>#N/A</v>
      </c>
      <c r="M265" s="309" t="s">
        <v>571</v>
      </c>
      <c r="N265" s="182">
        <v>237.9402</v>
      </c>
      <c r="O265" t="e">
        <v>#N/A</v>
      </c>
      <c r="P265" t="e">
        <v>#N/A</v>
      </c>
    </row>
    <row r="266" spans="1:16" ht="14.4" x14ac:dyDescent="0.3">
      <c r="A266" s="310">
        <v>308686</v>
      </c>
      <c r="B266" t="e">
        <f t="shared" si="8"/>
        <v>#N/A</v>
      </c>
      <c r="C266" s="185" t="e">
        <f t="shared" si="9"/>
        <v>#N/A</v>
      </c>
      <c r="D266" s="407" t="e">
        <v>#N/A</v>
      </c>
      <c r="E266" s="407" t="e">
        <v>#N/A</v>
      </c>
      <c r="F266" s="407" t="e">
        <v>#N/A</v>
      </c>
      <c r="G266" s="407" t="e">
        <v>#N/A</v>
      </c>
      <c r="H266" s="460" t="e">
        <v>#N/A</v>
      </c>
      <c r="I266" s="460" t="e">
        <v>#N/A</v>
      </c>
      <c r="J266" s="460" t="e">
        <v>#N/A</v>
      </c>
      <c r="K266" s="460" t="e">
        <v>#N/A</v>
      </c>
      <c r="L266" s="459" t="e">
        <v>#N/A</v>
      </c>
      <c r="M266" s="309" t="s">
        <v>571</v>
      </c>
      <c r="N266" s="182">
        <v>238.6908</v>
      </c>
      <c r="O266" t="e">
        <v>#N/A</v>
      </c>
      <c r="P266" t="e">
        <v>#N/A</v>
      </c>
    </row>
    <row r="267" spans="1:16" ht="14.4" x14ac:dyDescent="0.3">
      <c r="A267" s="310">
        <v>308691</v>
      </c>
      <c r="B267" t="e">
        <f t="shared" si="8"/>
        <v>#N/A</v>
      </c>
      <c r="C267" s="185" t="e">
        <f t="shared" si="9"/>
        <v>#N/A</v>
      </c>
      <c r="D267" s="407" t="e">
        <v>#N/A</v>
      </c>
      <c r="E267" s="407" t="e">
        <v>#N/A</v>
      </c>
      <c r="F267" s="407" t="e">
        <v>#N/A</v>
      </c>
      <c r="G267" s="407" t="e">
        <v>#N/A</v>
      </c>
      <c r="H267" s="460" t="e">
        <v>#N/A</v>
      </c>
      <c r="I267" s="460" t="e">
        <v>#N/A</v>
      </c>
      <c r="J267" s="460" t="e">
        <v>#N/A</v>
      </c>
      <c r="K267" s="460" t="e">
        <v>#N/A</v>
      </c>
      <c r="L267" s="459" t="e">
        <v>#N/A</v>
      </c>
      <c r="M267" s="309" t="s">
        <v>571</v>
      </c>
      <c r="N267" s="182">
        <v>240.9426</v>
      </c>
      <c r="O267" t="e">
        <v>#N/A</v>
      </c>
      <c r="P267" t="e">
        <v>#N/A</v>
      </c>
    </row>
    <row r="268" spans="1:16" ht="14.4" x14ac:dyDescent="0.3">
      <c r="A268" s="310">
        <v>223343</v>
      </c>
      <c r="B268" t="str">
        <f t="shared" si="8"/>
        <v>SEVROLL profil "U" 18 mm 3 m czarny szczotkowany</v>
      </c>
      <c r="C268" s="185">
        <f t="shared" si="9"/>
        <v>36.934199999999997</v>
      </c>
      <c r="D268" s="407" t="s">
        <v>3043</v>
      </c>
      <c r="E268" s="407" t="s">
        <v>4128</v>
      </c>
      <c r="F268" s="407" t="s">
        <v>4129</v>
      </c>
      <c r="G268" s="407" t="s">
        <v>4130</v>
      </c>
      <c r="H268" s="460">
        <v>238.11309</v>
      </c>
      <c r="I268" s="460">
        <v>8.5614399999999993</v>
      </c>
      <c r="J268" s="460">
        <v>36.934199999999997</v>
      </c>
      <c r="K268" s="460">
        <v>3295.17416</v>
      </c>
      <c r="L268" s="459" t="s">
        <v>538</v>
      </c>
      <c r="M268" s="309" t="s">
        <v>571</v>
      </c>
      <c r="N268" s="182">
        <v>242.37430000000001</v>
      </c>
      <c r="O268">
        <v>9.9220000000000006</v>
      </c>
      <c r="P268" t="s">
        <v>9040</v>
      </c>
    </row>
    <row r="269" spans="1:16" ht="14.4" x14ac:dyDescent="0.3">
      <c r="A269" s="310">
        <v>162670</v>
      </c>
      <c r="B269" t="str">
        <f t="shared" si="8"/>
        <v>SEVROLL 02867 Doubler II maskownica 4,05m srebrna</v>
      </c>
      <c r="C269" s="185">
        <f t="shared" si="9"/>
        <v>38.943600000000004</v>
      </c>
      <c r="D269" s="407" t="s">
        <v>2882</v>
      </c>
      <c r="E269" s="407" t="s">
        <v>4131</v>
      </c>
      <c r="F269" s="407" t="s">
        <v>4132</v>
      </c>
      <c r="G269" s="407" t="s">
        <v>4133</v>
      </c>
      <c r="H269" s="460">
        <v>309.76414</v>
      </c>
      <c r="I269" s="460">
        <v>11.13767</v>
      </c>
      <c r="J269" s="460">
        <v>38.943600000000004</v>
      </c>
      <c r="K269" s="460">
        <v>4286.7308199999998</v>
      </c>
      <c r="L269" s="459" t="s">
        <v>538</v>
      </c>
      <c r="M269" s="309" t="s">
        <v>571</v>
      </c>
      <c r="N269" s="182">
        <v>243.68090000000001</v>
      </c>
      <c r="O269">
        <v>10.45</v>
      </c>
      <c r="P269" t="s">
        <v>9041</v>
      </c>
    </row>
    <row r="270" spans="1:16" ht="14.4" x14ac:dyDescent="0.3">
      <c r="A270" s="310">
        <v>349796</v>
      </c>
      <c r="B270" t="str">
        <f t="shared" si="8"/>
        <v>SEVROLL Blue tor górny 1,5m srebrny</v>
      </c>
      <c r="C270" s="185">
        <f t="shared" si="9"/>
        <v>40.289879999999997</v>
      </c>
      <c r="D270" s="407" t="s">
        <v>3390</v>
      </c>
      <c r="E270" s="407" t="s">
        <v>4134</v>
      </c>
      <c r="F270" s="407" t="s">
        <v>4135</v>
      </c>
      <c r="G270" s="407" t="s">
        <v>4136</v>
      </c>
      <c r="H270" s="460">
        <v>311.43293999999997</v>
      </c>
      <c r="I270" s="460">
        <v>11.31983</v>
      </c>
      <c r="J270" s="460">
        <v>40.289879999999997</v>
      </c>
      <c r="K270" s="460">
        <v>4425.1835799999999</v>
      </c>
      <c r="L270" s="459" t="s">
        <v>539</v>
      </c>
      <c r="M270" s="309" t="s">
        <v>571</v>
      </c>
      <c r="N270" s="182">
        <v>246.1968</v>
      </c>
      <c r="O270">
        <v>11.836</v>
      </c>
      <c r="P270" t="s">
        <v>9042</v>
      </c>
    </row>
    <row r="271" spans="1:16" ht="14.4" x14ac:dyDescent="0.3">
      <c r="A271" s="310">
        <v>215234</v>
      </c>
      <c r="B271" t="str">
        <f t="shared" si="8"/>
        <v>SEVROLL Polo rączka 10mm 2,70m srebrny</v>
      </c>
      <c r="C271" s="185">
        <f t="shared" si="9"/>
        <v>45.41854</v>
      </c>
      <c r="D271" s="407" t="s">
        <v>3009</v>
      </c>
      <c r="E271" s="407" t="s">
        <v>4137</v>
      </c>
      <c r="F271" s="407" t="s">
        <v>1216</v>
      </c>
      <c r="G271" s="407" t="s">
        <v>4138</v>
      </c>
      <c r="H271" s="460">
        <v>358.68481000000003</v>
      </c>
      <c r="I271" s="460">
        <v>13.037319999999999</v>
      </c>
      <c r="J271" s="460">
        <v>45.41854</v>
      </c>
      <c r="K271" s="460">
        <v>5096.5906000000004</v>
      </c>
      <c r="L271" s="459" t="s">
        <v>538</v>
      </c>
      <c r="M271" s="309" t="s">
        <v>571</v>
      </c>
      <c r="N271" s="182">
        <v>246.1968</v>
      </c>
      <c r="O271">
        <v>11.593999999999999</v>
      </c>
      <c r="P271" t="s">
        <v>9043</v>
      </c>
    </row>
    <row r="272" spans="1:16" ht="14.4" x14ac:dyDescent="0.3">
      <c r="A272" s="310">
        <v>224128</v>
      </c>
      <c r="B272" t="str">
        <f t="shared" si="8"/>
        <v>SEVROLL Simple tor dolny 3 m oliwka</v>
      </c>
      <c r="C272" s="185" t="e">
        <f t="shared" si="9"/>
        <v>#N/A</v>
      </c>
      <c r="D272" s="407" t="s">
        <v>3100</v>
      </c>
      <c r="E272" s="407" t="s">
        <v>4139</v>
      </c>
      <c r="F272" s="407" t="s">
        <v>4140</v>
      </c>
      <c r="G272" s="407" t="s">
        <v>4141</v>
      </c>
      <c r="H272" s="460" t="e">
        <v>#N/A</v>
      </c>
      <c r="I272" s="460" t="e">
        <v>#N/A</v>
      </c>
      <c r="J272" s="460" t="e">
        <v>#N/A</v>
      </c>
      <c r="K272" s="460" t="e">
        <v>#N/A</v>
      </c>
      <c r="L272" s="459" t="e">
        <v>#N/A</v>
      </c>
      <c r="M272" s="309" t="s">
        <v>571</v>
      </c>
      <c r="N272" s="182">
        <v>246.1968</v>
      </c>
      <c r="O272" t="e">
        <v>#N/A</v>
      </c>
      <c r="P272" t="e">
        <v>#N/A</v>
      </c>
    </row>
    <row r="273" spans="1:16" ht="14.4" x14ac:dyDescent="0.3">
      <c r="A273" s="310">
        <v>351475</v>
      </c>
      <c r="B273" t="str">
        <f t="shared" si="8"/>
        <v>SEVROLL Gemini II tor dolny 1,7m biały połysk</v>
      </c>
      <c r="C273" s="185" t="e">
        <f t="shared" si="9"/>
        <v>#N/A</v>
      </c>
      <c r="D273" s="407" t="s">
        <v>3430</v>
      </c>
      <c r="E273" s="407" t="s">
        <v>4142</v>
      </c>
      <c r="F273" s="407" t="s">
        <v>4143</v>
      </c>
      <c r="G273" s="407" t="s">
        <v>4144</v>
      </c>
      <c r="H273" s="460" t="e">
        <v>#N/A</v>
      </c>
      <c r="I273" s="460" t="e">
        <v>#N/A</v>
      </c>
      <c r="J273" s="460" t="e">
        <v>#N/A</v>
      </c>
      <c r="K273" s="460" t="e">
        <v>#N/A</v>
      </c>
      <c r="L273" s="459" t="e">
        <v>#N/A</v>
      </c>
      <c r="M273" s="309" t="s">
        <v>571</v>
      </c>
      <c r="N273" s="182">
        <v>246.94739999999999</v>
      </c>
      <c r="O273">
        <v>11.263999999999999</v>
      </c>
      <c r="P273" t="s">
        <v>9044</v>
      </c>
    </row>
    <row r="274" spans="1:16" ht="14.4" x14ac:dyDescent="0.3">
      <c r="A274" s="310">
        <v>180411</v>
      </c>
      <c r="B274" t="str">
        <f t="shared" si="8"/>
        <v>SEVROLL Maxim II tor dolny 1,8m srebrny</v>
      </c>
      <c r="C274" s="185" t="e">
        <f t="shared" si="9"/>
        <v>#N/A</v>
      </c>
      <c r="D274" s="407" t="s">
        <v>2914</v>
      </c>
      <c r="E274" s="407" t="s">
        <v>4145</v>
      </c>
      <c r="F274" s="407" t="s">
        <v>4146</v>
      </c>
      <c r="G274" s="407" t="s">
        <v>4147</v>
      </c>
      <c r="H274" s="460" t="e">
        <v>#N/A</v>
      </c>
      <c r="I274" s="460" t="e">
        <v>#N/A</v>
      </c>
      <c r="J274" s="460" t="e">
        <v>#N/A</v>
      </c>
      <c r="K274" s="460" t="e">
        <v>#N/A</v>
      </c>
      <c r="L274" s="459" t="e">
        <v>#N/A</v>
      </c>
      <c r="M274" s="309" t="s">
        <v>571</v>
      </c>
      <c r="N274" s="182">
        <v>246.94739999999999</v>
      </c>
      <c r="O274" t="e">
        <v>#N/A</v>
      </c>
      <c r="P274" t="e">
        <v>#N/A</v>
      </c>
    </row>
    <row r="275" spans="1:16" ht="14.4" x14ac:dyDescent="0.3">
      <c r="A275" s="310">
        <v>349814</v>
      </c>
      <c r="B275" t="str">
        <f t="shared" si="8"/>
        <v>SEVROLL Blue-V tor dolny 3m srebrny</v>
      </c>
      <c r="C275" s="185">
        <f t="shared" si="9"/>
        <v>49.288629999999998</v>
      </c>
      <c r="D275" s="407" t="s">
        <v>3406</v>
      </c>
      <c r="E275" s="407" t="s">
        <v>4148</v>
      </c>
      <c r="F275" s="407" t="s">
        <v>4149</v>
      </c>
      <c r="G275" s="407" t="s">
        <v>4150</v>
      </c>
      <c r="H275" s="460">
        <v>332.91107</v>
      </c>
      <c r="I275" s="460">
        <v>12.10051</v>
      </c>
      <c r="J275" s="460">
        <v>49.288629999999998</v>
      </c>
      <c r="K275" s="460">
        <v>4730.3686699999998</v>
      </c>
      <c r="L275" s="459" t="s">
        <v>538</v>
      </c>
      <c r="M275" s="309" t="s">
        <v>571</v>
      </c>
      <c r="N275" s="182">
        <v>247.69800000000001</v>
      </c>
      <c r="O275">
        <v>11.77</v>
      </c>
      <c r="P275" t="s">
        <v>9045</v>
      </c>
    </row>
    <row r="276" spans="1:16" ht="14.4" x14ac:dyDescent="0.3">
      <c r="A276" s="310">
        <v>98057</v>
      </c>
      <c r="B276" t="str">
        <f t="shared" si="8"/>
        <v>SEVROLL Gemini II tor dolny 2,35m srebrny</v>
      </c>
      <c r="C276" s="185">
        <f t="shared" si="9"/>
        <v>41.34393</v>
      </c>
      <c r="D276" s="407" t="s">
        <v>2768</v>
      </c>
      <c r="E276" s="407" t="s">
        <v>4151</v>
      </c>
      <c r="F276" s="407" t="s">
        <v>4152</v>
      </c>
      <c r="G276" s="407" t="s">
        <v>4153</v>
      </c>
      <c r="H276" s="460">
        <v>311.21163000000001</v>
      </c>
      <c r="I276" s="460">
        <v>11.194929999999999</v>
      </c>
      <c r="J276" s="460">
        <v>41.34393</v>
      </c>
      <c r="K276" s="460">
        <v>4306.7623700000004</v>
      </c>
      <c r="L276" s="459" t="s">
        <v>538</v>
      </c>
      <c r="M276" s="309" t="s">
        <v>571</v>
      </c>
      <c r="N276" s="182">
        <v>248.25399999999999</v>
      </c>
      <c r="O276">
        <v>11.066000000000001</v>
      </c>
      <c r="P276" t="s">
        <v>9046</v>
      </c>
    </row>
    <row r="277" spans="1:16" ht="14.4" x14ac:dyDescent="0.3">
      <c r="A277" s="310">
        <v>349866</v>
      </c>
      <c r="B277" t="str">
        <f t="shared" si="8"/>
        <v>SEVROLL Blue-C tor dolny 4m srebrny</v>
      </c>
      <c r="C277" s="185">
        <f t="shared" si="9"/>
        <v>54.590339999999998</v>
      </c>
      <c r="D277" s="407" t="s">
        <v>3420</v>
      </c>
      <c r="E277" s="407" t="s">
        <v>4154</v>
      </c>
      <c r="F277" s="407" t="s">
        <v>4155</v>
      </c>
      <c r="G277" s="407" t="s">
        <v>4156</v>
      </c>
      <c r="H277" s="460">
        <v>370.13983000000002</v>
      </c>
      <c r="I277" s="460">
        <v>13.45368</v>
      </c>
      <c r="J277" s="460">
        <v>54.590339999999998</v>
      </c>
      <c r="K277" s="460">
        <v>5259.3562300000003</v>
      </c>
      <c r="L277" s="459" t="s">
        <v>539</v>
      </c>
      <c r="M277" s="309" t="s">
        <v>571</v>
      </c>
      <c r="N277" s="182">
        <v>248.4486</v>
      </c>
      <c r="O277">
        <v>11.968</v>
      </c>
      <c r="P277" t="s">
        <v>9047</v>
      </c>
    </row>
    <row r="278" spans="1:16" ht="14.4" x14ac:dyDescent="0.3">
      <c r="A278" s="310">
        <v>215232</v>
      </c>
      <c r="B278" t="str">
        <f t="shared" si="8"/>
        <v>SEVROLL Libra rączka 18 mm 2,70 m srebrna</v>
      </c>
      <c r="C278" s="185">
        <f t="shared" si="9"/>
        <v>45.355609999999999</v>
      </c>
      <c r="D278" s="407" t="s">
        <v>3007</v>
      </c>
      <c r="E278" s="407" t="s">
        <v>4157</v>
      </c>
      <c r="F278" s="407" t="s">
        <v>4158</v>
      </c>
      <c r="G278" s="407" t="s">
        <v>4159</v>
      </c>
      <c r="H278" s="460">
        <v>351.52542999999997</v>
      </c>
      <c r="I278" s="460">
        <v>12.777100000000001</v>
      </c>
      <c r="J278" s="460">
        <v>45.355609999999999</v>
      </c>
      <c r="K278" s="460">
        <v>4994.8622400000004</v>
      </c>
      <c r="L278" s="459" t="s">
        <v>539</v>
      </c>
      <c r="M278" s="309" t="s">
        <v>571</v>
      </c>
      <c r="N278" s="182">
        <v>248.4486</v>
      </c>
      <c r="O278">
        <v>12.65</v>
      </c>
      <c r="P278" t="s">
        <v>9048</v>
      </c>
    </row>
    <row r="279" spans="1:16" ht="14.4" x14ac:dyDescent="0.3">
      <c r="A279" s="310">
        <v>190753</v>
      </c>
      <c r="B279" t="str">
        <f t="shared" si="8"/>
        <v>SEVROLL First tor górny / dolny 3m jasny brąz</v>
      </c>
      <c r="C279" s="185" t="e">
        <f t="shared" si="9"/>
        <v>#N/A</v>
      </c>
      <c r="D279" s="407" t="s">
        <v>2927</v>
      </c>
      <c r="E279" s="407" t="s">
        <v>4160</v>
      </c>
      <c r="F279" s="407" t="s">
        <v>4161</v>
      </c>
      <c r="G279" s="407" t="s">
        <v>4162</v>
      </c>
      <c r="H279" s="460" t="e">
        <v>#N/A</v>
      </c>
      <c r="I279" s="460" t="e">
        <v>#N/A</v>
      </c>
      <c r="J279" s="460" t="e">
        <v>#N/A</v>
      </c>
      <c r="K279" s="460" t="e">
        <v>#N/A</v>
      </c>
      <c r="L279" s="459" t="e">
        <v>#N/A</v>
      </c>
      <c r="M279" s="309" t="s">
        <v>571</v>
      </c>
      <c r="N279" s="182">
        <v>249.56059999999999</v>
      </c>
      <c r="O279">
        <v>12.32</v>
      </c>
      <c r="P279" t="s">
        <v>9049</v>
      </c>
    </row>
    <row r="280" spans="1:16" ht="14.4" x14ac:dyDescent="0.3">
      <c r="A280" s="310">
        <v>190752</v>
      </c>
      <c r="B280" t="str">
        <f t="shared" si="8"/>
        <v>SEVROLL First tor górny / dolny 3 m srebrny</v>
      </c>
      <c r="C280" s="185">
        <f t="shared" si="9"/>
        <v>49.368000000000002</v>
      </c>
      <c r="D280" s="407" t="s">
        <v>2926</v>
      </c>
      <c r="E280" s="407" t="s">
        <v>4163</v>
      </c>
      <c r="F280" s="407" t="s">
        <v>4164</v>
      </c>
      <c r="G280" s="407" t="s">
        <v>4165</v>
      </c>
      <c r="H280" s="460">
        <v>365.49274000000003</v>
      </c>
      <c r="I280" s="460">
        <v>13.14141</v>
      </c>
      <c r="J280" s="460">
        <v>49.368000000000002</v>
      </c>
      <c r="K280" s="460">
        <v>5057.9418299999998</v>
      </c>
      <c r="L280" s="459" t="s">
        <v>539</v>
      </c>
      <c r="M280" s="309" t="s">
        <v>571</v>
      </c>
      <c r="N280" s="182">
        <v>249.56059999999999</v>
      </c>
      <c r="O280">
        <v>12.32</v>
      </c>
      <c r="P280" t="s">
        <v>9050</v>
      </c>
    </row>
    <row r="281" spans="1:16" ht="14.4" x14ac:dyDescent="0.3">
      <c r="A281" s="311">
        <v>340601</v>
      </c>
      <c r="B281" t="e">
        <f t="shared" si="8"/>
        <v>#N/A</v>
      </c>
      <c r="C281" s="185" t="e">
        <f t="shared" si="9"/>
        <v>#N/A</v>
      </c>
      <c r="D281" s="407" t="e">
        <v>#N/A</v>
      </c>
      <c r="E281" s="407" t="e">
        <v>#N/A</v>
      </c>
      <c r="F281" s="407" t="e">
        <v>#N/A</v>
      </c>
      <c r="G281" s="407" t="e">
        <v>#N/A</v>
      </c>
      <c r="H281" s="460" t="e">
        <v>#N/A</v>
      </c>
      <c r="I281" s="460" t="e">
        <v>#N/A</v>
      </c>
      <c r="J281" s="460" t="e">
        <v>#N/A</v>
      </c>
      <c r="K281" s="460" t="e">
        <v>#N/A</v>
      </c>
      <c r="L281" s="459" t="e">
        <v>#N/A</v>
      </c>
      <c r="M281" s="312" t="s">
        <v>571</v>
      </c>
      <c r="N281" s="182">
        <v>250.00540000000001</v>
      </c>
      <c r="O281" t="e">
        <v>#N/A</v>
      </c>
      <c r="P281" t="e">
        <v>#N/A</v>
      </c>
    </row>
    <row r="282" spans="1:16" ht="14.4" x14ac:dyDescent="0.3">
      <c r="A282" s="310">
        <v>298399</v>
      </c>
      <c r="B282" t="str">
        <f t="shared" si="8"/>
        <v>SEVROLL kątownik 18x36mm 3 m srebrny</v>
      </c>
      <c r="C282" s="185">
        <f t="shared" si="9"/>
        <v>39.565800000000003</v>
      </c>
      <c r="D282" s="407" t="s">
        <v>3280</v>
      </c>
      <c r="E282" s="407" t="s">
        <v>4166</v>
      </c>
      <c r="F282" s="407" t="s">
        <v>4167</v>
      </c>
      <c r="G282" s="407" t="s">
        <v>4168</v>
      </c>
      <c r="H282" s="460">
        <v>298.90791000000002</v>
      </c>
      <c r="I282" s="460">
        <v>10.74733</v>
      </c>
      <c r="J282" s="460">
        <v>39.565800000000003</v>
      </c>
      <c r="K282" s="460">
        <v>4136.4949200000001</v>
      </c>
      <c r="L282" s="459" t="s">
        <v>538</v>
      </c>
      <c r="M282" s="309" t="s">
        <v>571</v>
      </c>
      <c r="N282" s="182">
        <v>250.8672</v>
      </c>
      <c r="O282">
        <v>10.625999999999999</v>
      </c>
      <c r="P282" t="s">
        <v>9051</v>
      </c>
    </row>
    <row r="283" spans="1:16" ht="14.4" x14ac:dyDescent="0.3">
      <c r="A283" s="310">
        <v>346123</v>
      </c>
      <c r="B283" t="str">
        <f t="shared" si="8"/>
        <v>SEVROLL zaślepka do toru Elegant II 6m biały połysk</v>
      </c>
      <c r="C283" s="185">
        <f t="shared" si="9"/>
        <v>0</v>
      </c>
      <c r="D283" s="407" t="s">
        <v>3376</v>
      </c>
      <c r="E283" s="407" t="s">
        <v>4169</v>
      </c>
      <c r="F283" s="407" t="s">
        <v>4170</v>
      </c>
      <c r="G283" s="407" t="s">
        <v>4171</v>
      </c>
      <c r="H283" s="460">
        <v>327.13407999999998</v>
      </c>
      <c r="I283" s="460">
        <v>11.762219999999999</v>
      </c>
      <c r="J283" s="460">
        <v>0</v>
      </c>
      <c r="K283" s="460">
        <v>4527.1084300000002</v>
      </c>
      <c r="L283" s="459" t="s">
        <v>539</v>
      </c>
      <c r="M283" s="309" t="s">
        <v>571</v>
      </c>
      <c r="N283" s="182">
        <v>253.4804</v>
      </c>
      <c r="O283">
        <v>11.528</v>
      </c>
      <c r="P283" t="s">
        <v>9052</v>
      </c>
    </row>
    <row r="284" spans="1:16" ht="14.4" x14ac:dyDescent="0.3">
      <c r="A284" s="310">
        <v>216358</v>
      </c>
      <c r="B284" t="str">
        <f t="shared" si="8"/>
        <v>SEVROLL klin mocujący Simple 40 szt. (szkło 4 mm)</v>
      </c>
      <c r="C284" s="185" t="e">
        <f t="shared" si="9"/>
        <v>#N/A</v>
      </c>
      <c r="D284" s="407" t="s">
        <v>3016</v>
      </c>
      <c r="E284" s="407" t="s">
        <v>4172</v>
      </c>
      <c r="F284" s="407" t="s">
        <v>1045</v>
      </c>
      <c r="G284" s="407" t="s">
        <v>4173</v>
      </c>
      <c r="H284" s="460" t="e">
        <v>#N/A</v>
      </c>
      <c r="I284" s="460" t="e">
        <v>#N/A</v>
      </c>
      <c r="J284" s="460" t="e">
        <v>#N/A</v>
      </c>
      <c r="K284" s="460" t="e">
        <v>#N/A</v>
      </c>
      <c r="L284" s="459" t="e">
        <v>#N/A</v>
      </c>
      <c r="M284" s="309" t="s">
        <v>664</v>
      </c>
      <c r="N284" s="182">
        <v>253.7028</v>
      </c>
      <c r="O284" t="e">
        <v>#N/A</v>
      </c>
      <c r="P284" t="e">
        <v>#N/A</v>
      </c>
    </row>
    <row r="285" spans="1:16" ht="14.4" x14ac:dyDescent="0.3">
      <c r="A285" s="310">
        <v>336796</v>
      </c>
      <c r="B285" t="str">
        <f t="shared" si="8"/>
        <v>SEVROLL listwa łącząca Simple/Blue H21 3m (do płyty laminowanej 18mm) srebrny</v>
      </c>
      <c r="C285" s="185">
        <f t="shared" si="9"/>
        <v>46.268070000000002</v>
      </c>
      <c r="D285" s="407" t="s">
        <v>3344</v>
      </c>
      <c r="E285" s="407" t="s">
        <v>4174</v>
      </c>
      <c r="F285" s="407" t="s">
        <v>4175</v>
      </c>
      <c r="G285" s="407" t="s">
        <v>4176</v>
      </c>
      <c r="H285" s="460">
        <v>314.29667999999998</v>
      </c>
      <c r="I285" s="460">
        <v>11.423920000000001</v>
      </c>
      <c r="J285" s="460">
        <v>46.268070000000002</v>
      </c>
      <c r="K285" s="460">
        <v>4465.8751000000002</v>
      </c>
      <c r="L285" s="459" t="s">
        <v>538</v>
      </c>
      <c r="M285" s="309" t="s">
        <v>571</v>
      </c>
      <c r="N285" s="182">
        <v>254.45339999999999</v>
      </c>
      <c r="O285">
        <v>10.692</v>
      </c>
      <c r="P285" t="s">
        <v>9053</v>
      </c>
    </row>
    <row r="286" spans="1:16" ht="14.4" x14ac:dyDescent="0.3">
      <c r="A286" s="311">
        <v>233428</v>
      </c>
      <c r="B286" t="str">
        <f t="shared" si="8"/>
        <v>Sevroll Fiona II rączka 2,7m srebrna</v>
      </c>
      <c r="C286" s="185" t="e">
        <f t="shared" si="9"/>
        <v>#N/A</v>
      </c>
      <c r="D286" s="407" t="s">
        <v>3165</v>
      </c>
      <c r="E286" s="407" t="s">
        <v>4177</v>
      </c>
      <c r="F286" s="407" t="s">
        <v>4178</v>
      </c>
      <c r="G286" s="407" t="s">
        <v>4179</v>
      </c>
      <c r="H286" s="460" t="e">
        <v>#N/A</v>
      </c>
      <c r="I286" s="460" t="e">
        <v>#N/A</v>
      </c>
      <c r="J286" s="460" t="e">
        <v>#N/A</v>
      </c>
      <c r="K286" s="460" t="e">
        <v>#N/A</v>
      </c>
      <c r="L286" s="459" t="e">
        <v>#N/A</v>
      </c>
      <c r="M286" s="312" t="s">
        <v>571</v>
      </c>
      <c r="N286" s="182">
        <v>254.4812</v>
      </c>
      <c r="O286">
        <v>12.254</v>
      </c>
      <c r="P286" t="s">
        <v>9054</v>
      </c>
    </row>
    <row r="287" spans="1:16" ht="14.4" x14ac:dyDescent="0.3">
      <c r="A287" s="310">
        <v>303463</v>
      </c>
      <c r="B287" t="str">
        <f t="shared" si="8"/>
        <v>SEVROLL uchwyt Push 90mm nikiel szlifowany</v>
      </c>
      <c r="C287" s="185" t="e">
        <f t="shared" si="9"/>
        <v>#N/A</v>
      </c>
      <c r="D287" s="407" t="s">
        <v>3287</v>
      </c>
      <c r="E287" s="407" t="s">
        <v>4180</v>
      </c>
      <c r="F287" s="407" t="s">
        <v>1090</v>
      </c>
      <c r="G287" s="407" t="s">
        <v>4181</v>
      </c>
      <c r="H287" s="460" t="e">
        <v>#N/A</v>
      </c>
      <c r="I287" s="460" t="e">
        <v>#N/A</v>
      </c>
      <c r="J287" s="460" t="e">
        <v>#N/A</v>
      </c>
      <c r="K287" s="460" t="e">
        <v>#N/A</v>
      </c>
      <c r="L287" s="459" t="e">
        <v>#N/A</v>
      </c>
      <c r="M287" s="309" t="s">
        <v>571</v>
      </c>
      <c r="N287" s="182">
        <v>255.44030000000001</v>
      </c>
      <c r="O287">
        <v>11.506</v>
      </c>
      <c r="P287" t="s">
        <v>9055</v>
      </c>
    </row>
    <row r="288" spans="1:16" ht="14.4" x14ac:dyDescent="0.3">
      <c r="A288" s="310">
        <v>349474</v>
      </c>
      <c r="B288" t="str">
        <f t="shared" si="8"/>
        <v>SEVROLL Era rączka 18 mm 2,70 m, srebrna</v>
      </c>
      <c r="C288" s="185">
        <f t="shared" si="9"/>
        <v>42.932870000000001</v>
      </c>
      <c r="D288" s="407" t="s">
        <v>3380</v>
      </c>
      <c r="E288" s="407" t="s">
        <v>4182</v>
      </c>
      <c r="F288" s="407" t="s">
        <v>4183</v>
      </c>
      <c r="G288" s="407" t="s">
        <v>4184</v>
      </c>
      <c r="H288" s="460">
        <v>329.33136999999999</v>
      </c>
      <c r="I288" s="460">
        <v>11.9704</v>
      </c>
      <c r="J288" s="460">
        <v>42.932870000000001</v>
      </c>
      <c r="K288" s="460">
        <v>4679.5044900000003</v>
      </c>
      <c r="L288" s="459" t="s">
        <v>538</v>
      </c>
      <c r="M288" s="309" t="s">
        <v>571</v>
      </c>
      <c r="N288" s="182">
        <v>256.70519999999999</v>
      </c>
      <c r="O288">
        <v>12.518000000000001</v>
      </c>
      <c r="P288" t="s">
        <v>9056</v>
      </c>
    </row>
    <row r="289" spans="1:16" ht="14.4" x14ac:dyDescent="0.3">
      <c r="A289" s="313">
        <v>190515</v>
      </c>
      <c r="B289" t="str">
        <f t="shared" si="8"/>
        <v>SEVROLL Ursus tor górny 1,2m surowy</v>
      </c>
      <c r="C289" s="185" t="e">
        <f t="shared" si="9"/>
        <v>#N/A</v>
      </c>
      <c r="D289" s="407" t="s">
        <v>2925</v>
      </c>
      <c r="E289" s="407" t="s">
        <v>4185</v>
      </c>
      <c r="F289" s="407" t="s">
        <v>4186</v>
      </c>
      <c r="G289" s="407" t="s">
        <v>4187</v>
      </c>
      <c r="H289" s="460" t="e">
        <v>#N/A</v>
      </c>
      <c r="I289" s="460" t="e">
        <v>#N/A</v>
      </c>
      <c r="J289" s="460" t="e">
        <v>#N/A</v>
      </c>
      <c r="K289" s="460" t="e">
        <v>#N/A</v>
      </c>
      <c r="L289" s="459" t="e">
        <v>#N/A</v>
      </c>
      <c r="M289" s="314" t="s">
        <v>571</v>
      </c>
      <c r="N289" s="182">
        <v>256.84142000000003</v>
      </c>
      <c r="O289">
        <v>13.772</v>
      </c>
      <c r="P289" t="s">
        <v>9057</v>
      </c>
    </row>
    <row r="290" spans="1:16" ht="14.4" x14ac:dyDescent="0.3">
      <c r="A290" s="310">
        <v>364016</v>
      </c>
      <c r="B290" t="str">
        <f t="shared" si="8"/>
        <v>SEVROLL Szpros S18 z klejem 3m biały połysk</v>
      </c>
      <c r="C290" s="185">
        <f t="shared" si="9"/>
        <v>51.453940000000003</v>
      </c>
      <c r="D290" s="407" t="s">
        <v>3442</v>
      </c>
      <c r="E290" s="407" t="s">
        <v>4188</v>
      </c>
      <c r="F290" s="407" t="s">
        <v>4189</v>
      </c>
      <c r="G290" s="407" t="s">
        <v>4190</v>
      </c>
      <c r="H290" s="460">
        <v>416.1551</v>
      </c>
      <c r="I290" s="460">
        <v>14.962999999999999</v>
      </c>
      <c r="J290" s="460">
        <v>51.453940000000003</v>
      </c>
      <c r="K290" s="460">
        <v>5759.0426799999996</v>
      </c>
      <c r="L290" s="459" t="s">
        <v>539</v>
      </c>
      <c r="M290" s="309" t="s">
        <v>571</v>
      </c>
      <c r="N290" s="182">
        <v>258.05349999999999</v>
      </c>
      <c r="O290">
        <v>11.55</v>
      </c>
      <c r="P290" t="s">
        <v>9058</v>
      </c>
    </row>
    <row r="291" spans="1:16" ht="14.4" x14ac:dyDescent="0.3">
      <c r="A291" s="310">
        <v>284977</v>
      </c>
      <c r="B291" t="str">
        <f t="shared" si="8"/>
        <v>SEVROLL Maxim II maskownica 3,5m, jasny brąz</v>
      </c>
      <c r="C291" s="185" t="e">
        <f t="shared" si="9"/>
        <v>#N/A</v>
      </c>
      <c r="D291" s="407" t="s">
        <v>3271</v>
      </c>
      <c r="E291" s="407" t="s">
        <v>4191</v>
      </c>
      <c r="F291" s="407" t="s">
        <v>3271</v>
      </c>
      <c r="G291" s="407" t="s">
        <v>4192</v>
      </c>
      <c r="H291" s="460" t="e">
        <v>#N/A</v>
      </c>
      <c r="I291" s="460" t="e">
        <v>#N/A</v>
      </c>
      <c r="J291" s="460" t="e">
        <v>#N/A</v>
      </c>
      <c r="K291" s="460" t="e">
        <v>#N/A</v>
      </c>
      <c r="L291" s="459" t="e">
        <v>#N/A</v>
      </c>
      <c r="M291" s="309" t="s">
        <v>571</v>
      </c>
      <c r="N291" s="182">
        <v>258.70679999999999</v>
      </c>
      <c r="O291" t="e">
        <v>#N/A</v>
      </c>
      <c r="P291" t="e">
        <v>#N/A</v>
      </c>
    </row>
    <row r="292" spans="1:16" ht="14.4" x14ac:dyDescent="0.3">
      <c r="A292" s="310">
        <v>276738</v>
      </c>
      <c r="B292" t="str">
        <f t="shared" si="8"/>
        <v>SEVROLL listwa łącząca H08/18, 3 m, biała matowa</v>
      </c>
      <c r="C292" s="185">
        <f t="shared" si="9"/>
        <v>42.829799999999999</v>
      </c>
      <c r="D292" s="407" t="s">
        <v>3214</v>
      </c>
      <c r="E292" s="407" t="s">
        <v>4193</v>
      </c>
      <c r="F292" s="407" t="s">
        <v>4194</v>
      </c>
      <c r="G292" s="407" t="s">
        <v>4195</v>
      </c>
      <c r="H292" s="460">
        <v>319.17286000000001</v>
      </c>
      <c r="I292" s="460">
        <v>11.47597</v>
      </c>
      <c r="J292" s="460">
        <v>42.829799999999999</v>
      </c>
      <c r="K292" s="460">
        <v>4416.9351999999999</v>
      </c>
      <c r="L292" s="459" t="s">
        <v>539</v>
      </c>
      <c r="M292" s="309" t="s">
        <v>571</v>
      </c>
      <c r="N292" s="182">
        <v>258.70679999999999</v>
      </c>
      <c r="O292">
        <v>11.506</v>
      </c>
      <c r="P292" t="s">
        <v>9059</v>
      </c>
    </row>
    <row r="293" spans="1:16" ht="14.4" x14ac:dyDescent="0.3">
      <c r="A293" s="310">
        <v>349797</v>
      </c>
      <c r="B293" t="str">
        <f t="shared" si="8"/>
        <v>SEVROLL Blue tor górny 1,5m jasny brąz</v>
      </c>
      <c r="C293" s="185">
        <f t="shared" si="9"/>
        <v>47.466999999999999</v>
      </c>
      <c r="D293" s="407" t="s">
        <v>3391</v>
      </c>
      <c r="E293" s="407" t="s">
        <v>4196</v>
      </c>
      <c r="F293" s="407" t="s">
        <v>4197</v>
      </c>
      <c r="G293" s="407" t="s">
        <v>4198</v>
      </c>
      <c r="H293" s="460">
        <v>389.47012999999998</v>
      </c>
      <c r="I293" s="460">
        <v>14.15629</v>
      </c>
      <c r="J293" s="460">
        <v>47.466999999999999</v>
      </c>
      <c r="K293" s="460">
        <v>5534.0228800000004</v>
      </c>
      <c r="L293" s="459" t="s">
        <v>539</v>
      </c>
      <c r="M293" s="309" t="s">
        <v>571</v>
      </c>
      <c r="N293" s="182">
        <v>258.95699999999999</v>
      </c>
      <c r="O293">
        <v>12.628</v>
      </c>
      <c r="P293" t="s">
        <v>9060</v>
      </c>
    </row>
    <row r="294" spans="1:16" ht="14.4" x14ac:dyDescent="0.3">
      <c r="A294" s="313">
        <v>128328</v>
      </c>
      <c r="B294" t="str">
        <f t="shared" si="8"/>
        <v>SEVROLL Exclusive tor górny 1,2m srebrny</v>
      </c>
      <c r="C294" s="185" t="e">
        <f t="shared" si="9"/>
        <v>#N/A</v>
      </c>
      <c r="D294" s="407" t="s">
        <v>2830</v>
      </c>
      <c r="E294" s="407" t="s">
        <v>4199</v>
      </c>
      <c r="F294" s="407" t="s">
        <v>4200</v>
      </c>
      <c r="G294" s="407" t="s">
        <v>4201</v>
      </c>
      <c r="H294" s="460" t="e">
        <v>#N/A</v>
      </c>
      <c r="I294" s="460" t="e">
        <v>#N/A</v>
      </c>
      <c r="J294" s="460" t="e">
        <v>#N/A</v>
      </c>
      <c r="K294" s="460" t="e">
        <v>#N/A</v>
      </c>
      <c r="L294" s="459" t="e">
        <v>#N/A</v>
      </c>
      <c r="M294" s="314" t="s">
        <v>571</v>
      </c>
      <c r="N294" s="182">
        <v>260.62777999999997</v>
      </c>
      <c r="O294">
        <v>12.188000000000001</v>
      </c>
      <c r="P294" t="s">
        <v>9061</v>
      </c>
    </row>
    <row r="295" spans="1:16" ht="14.4" x14ac:dyDescent="0.3">
      <c r="A295" s="310">
        <v>224153</v>
      </c>
      <c r="B295" t="str">
        <f t="shared" si="8"/>
        <v>SEVROLL maskownica dolna Simple/Blue 2m (do płyty laminowanej 10mm) srebrny</v>
      </c>
      <c r="C295" s="185">
        <f t="shared" si="9"/>
        <v>45.701709999999999</v>
      </c>
      <c r="D295" s="407" t="s">
        <v>3119</v>
      </c>
      <c r="E295" s="407" t="s">
        <v>4202</v>
      </c>
      <c r="F295" s="407" t="s">
        <v>4203</v>
      </c>
      <c r="G295" s="407" t="s">
        <v>4204</v>
      </c>
      <c r="H295" s="460">
        <v>363.69637999999998</v>
      </c>
      <c r="I295" s="460">
        <v>13.219480000000001</v>
      </c>
      <c r="J295" s="460">
        <v>45.701709999999999</v>
      </c>
      <c r="K295" s="460">
        <v>5167.8005300000004</v>
      </c>
      <c r="L295" s="459" t="s">
        <v>538</v>
      </c>
      <c r="M295" s="309" t="s">
        <v>571</v>
      </c>
      <c r="N295" s="182">
        <v>261.2088</v>
      </c>
      <c r="O295">
        <v>11.77</v>
      </c>
      <c r="P295" t="s">
        <v>9062</v>
      </c>
    </row>
    <row r="296" spans="1:16" ht="14.4" x14ac:dyDescent="0.3">
      <c r="A296" s="310">
        <v>284600</v>
      </c>
      <c r="B296" t="str">
        <f t="shared" si="8"/>
        <v>SEVROLL Uno rączka 18mm 2,70m, jasny brąz</v>
      </c>
      <c r="C296" s="185">
        <f t="shared" si="9"/>
        <v>48.53633</v>
      </c>
      <c r="D296" s="407" t="s">
        <v>3260</v>
      </c>
      <c r="E296" s="407" t="s">
        <v>4205</v>
      </c>
      <c r="F296" s="407" t="s">
        <v>1088</v>
      </c>
      <c r="G296" s="407" t="s">
        <v>4206</v>
      </c>
      <c r="H296" s="460">
        <v>398.06139999999999</v>
      </c>
      <c r="I296" s="460">
        <v>14.46857</v>
      </c>
      <c r="J296" s="460">
        <v>48.53633</v>
      </c>
      <c r="K296" s="460">
        <v>5656.0965699999997</v>
      </c>
      <c r="L296" s="459" t="s">
        <v>539</v>
      </c>
      <c r="M296" s="309" t="s">
        <v>571</v>
      </c>
      <c r="N296" s="182">
        <v>261.95940000000002</v>
      </c>
      <c r="O296">
        <v>12.231999999999999</v>
      </c>
      <c r="P296" t="s">
        <v>9063</v>
      </c>
    </row>
    <row r="297" spans="1:16" ht="14.4" x14ac:dyDescent="0.3">
      <c r="A297" s="310">
        <v>222788</v>
      </c>
      <c r="B297" t="str">
        <f t="shared" si="8"/>
        <v>SEVROLL Alfa II rączka 18mm 2,70m srebrny</v>
      </c>
      <c r="C297" s="185">
        <f t="shared" si="9"/>
        <v>45.701709999999999</v>
      </c>
      <c r="D297" s="407" t="s">
        <v>3034</v>
      </c>
      <c r="E297" s="407" t="s">
        <v>4207</v>
      </c>
      <c r="F297" s="407" t="s">
        <v>4208</v>
      </c>
      <c r="G297" s="407" t="s">
        <v>4209</v>
      </c>
      <c r="H297" s="460">
        <v>351.74153000000001</v>
      </c>
      <c r="I297" s="460">
        <v>12.646979999999999</v>
      </c>
      <c r="J297" s="460">
        <v>45.701709999999999</v>
      </c>
      <c r="K297" s="460">
        <v>4867.6428800000003</v>
      </c>
      <c r="L297" s="459" t="s">
        <v>538</v>
      </c>
      <c r="M297" s="309" t="s">
        <v>571</v>
      </c>
      <c r="N297" s="182">
        <v>264.5865</v>
      </c>
      <c r="O297">
        <v>12.231999999999999</v>
      </c>
      <c r="P297" t="s">
        <v>9064</v>
      </c>
    </row>
    <row r="298" spans="1:16" ht="14.4" x14ac:dyDescent="0.3">
      <c r="A298" s="310">
        <v>238034</v>
      </c>
      <c r="B298" t="str">
        <f t="shared" si="8"/>
        <v>SEVROLL Maxim listwa łącząca H18 2,5m jasny brąz</v>
      </c>
      <c r="C298" s="185" t="e">
        <f t="shared" si="9"/>
        <v>#N/A</v>
      </c>
      <c r="D298" s="407" t="s">
        <v>3178</v>
      </c>
      <c r="E298" s="407" t="s">
        <v>4210</v>
      </c>
      <c r="F298" s="407" t="s">
        <v>1125</v>
      </c>
      <c r="G298" s="407" t="s">
        <v>4211</v>
      </c>
      <c r="H298" s="460" t="e">
        <v>#N/A</v>
      </c>
      <c r="I298" s="460" t="e">
        <v>#N/A</v>
      </c>
      <c r="J298" s="460" t="e">
        <v>#N/A</v>
      </c>
      <c r="K298" s="460" t="e">
        <v>#N/A</v>
      </c>
      <c r="L298" s="459" t="e">
        <v>#N/A</v>
      </c>
      <c r="M298" s="309" t="s">
        <v>571</v>
      </c>
      <c r="N298" s="182">
        <v>265.2398</v>
      </c>
      <c r="O298" t="e">
        <v>#N/A</v>
      </c>
      <c r="P298" t="e">
        <v>#N/A</v>
      </c>
    </row>
    <row r="299" spans="1:16" ht="14.4" x14ac:dyDescent="0.3">
      <c r="A299" s="310">
        <v>349856</v>
      </c>
      <c r="B299" t="str">
        <f t="shared" si="8"/>
        <v>SEVROLL klin mocujący Blue 40szt(szkło 4mm)</v>
      </c>
      <c r="C299" s="185">
        <f t="shared" si="9"/>
        <v>42.618220000000001</v>
      </c>
      <c r="D299" s="407" t="s">
        <v>3412</v>
      </c>
      <c r="E299" s="407" t="s">
        <v>4212</v>
      </c>
      <c r="F299" s="407" t="s">
        <v>4213</v>
      </c>
      <c r="G299" s="407" t="s">
        <v>4214</v>
      </c>
      <c r="H299" s="460">
        <v>362.49880000000002</v>
      </c>
      <c r="I299" s="460">
        <v>12.28267</v>
      </c>
      <c r="J299" s="460">
        <v>42.618220000000001</v>
      </c>
      <c r="K299" s="460">
        <v>4838.6564200000003</v>
      </c>
      <c r="L299" s="459" t="s">
        <v>538</v>
      </c>
      <c r="M299" s="309" t="s">
        <v>573</v>
      </c>
      <c r="N299" s="182">
        <v>266.46300000000002</v>
      </c>
      <c r="O299">
        <v>10.933999999999999</v>
      </c>
      <c r="P299" t="s">
        <v>9065</v>
      </c>
    </row>
    <row r="300" spans="1:16" ht="14.4" x14ac:dyDescent="0.3">
      <c r="A300" s="313">
        <v>197753</v>
      </c>
      <c r="B300" t="str">
        <f t="shared" si="8"/>
        <v>SEVROLL Hide N tor dolny 3m srebrny</v>
      </c>
      <c r="C300" s="185">
        <f t="shared" si="9"/>
        <v>43.414319999999996</v>
      </c>
      <c r="D300" s="407" t="s">
        <v>2951</v>
      </c>
      <c r="E300" s="407" t="s">
        <v>4215</v>
      </c>
      <c r="F300" s="407" t="s">
        <v>1243</v>
      </c>
      <c r="G300" s="407" t="s">
        <v>4216</v>
      </c>
      <c r="H300" s="460">
        <v>337.36288999999999</v>
      </c>
      <c r="I300" s="460">
        <v>12.72505</v>
      </c>
      <c r="J300" s="460">
        <v>43.414319999999996</v>
      </c>
      <c r="K300" s="460">
        <v>4801.6572299999998</v>
      </c>
      <c r="L300" s="459" t="s">
        <v>538</v>
      </c>
      <c r="M300" s="314" t="s">
        <v>571</v>
      </c>
      <c r="N300" s="182">
        <v>266.93838</v>
      </c>
      <c r="O300">
        <v>11.88</v>
      </c>
      <c r="P300" t="s">
        <v>9066</v>
      </c>
    </row>
    <row r="301" spans="1:16" ht="14.4" x14ac:dyDescent="0.3">
      <c r="A301" s="310">
        <v>234757</v>
      </c>
      <c r="B301" t="str">
        <f t="shared" si="8"/>
        <v>SEVROLL Łącznik H16-Decor srebrny-3 m</v>
      </c>
      <c r="C301" s="185">
        <f t="shared" si="9"/>
        <v>48.042000000000002</v>
      </c>
      <c r="D301" s="407" t="s">
        <v>3167</v>
      </c>
      <c r="E301" s="407" t="s">
        <v>4217</v>
      </c>
      <c r="F301" s="407" t="s">
        <v>4218</v>
      </c>
      <c r="G301" s="407" t="s">
        <v>4219</v>
      </c>
      <c r="H301" s="460">
        <v>333.64782000000002</v>
      </c>
      <c r="I301" s="460">
        <v>11.996420000000001</v>
      </c>
      <c r="J301" s="460">
        <v>48.042000000000002</v>
      </c>
      <c r="K301" s="460">
        <v>4617.2497100000001</v>
      </c>
      <c r="L301" s="459" t="s">
        <v>539</v>
      </c>
      <c r="M301" s="309" t="s">
        <v>571</v>
      </c>
      <c r="N301" s="182">
        <v>267.19970000000001</v>
      </c>
      <c r="O301">
        <v>12.891999999999999</v>
      </c>
      <c r="P301" t="s">
        <v>9067</v>
      </c>
    </row>
    <row r="302" spans="1:16" ht="14.4" x14ac:dyDescent="0.3">
      <c r="A302" s="310">
        <v>341559</v>
      </c>
      <c r="B302" t="str">
        <f t="shared" si="8"/>
        <v>SEVROLL Rekord rączka 18 mm 2,70 m, srebrna</v>
      </c>
      <c r="C302" s="185">
        <f t="shared" si="9"/>
        <v>51.239409999999999</v>
      </c>
      <c r="D302" s="407" t="s">
        <v>3345</v>
      </c>
      <c r="E302" s="407" t="s">
        <v>4220</v>
      </c>
      <c r="F302" s="407" t="s">
        <v>4221</v>
      </c>
      <c r="G302" s="407" t="s">
        <v>4222</v>
      </c>
      <c r="H302" s="460">
        <v>342.93419</v>
      </c>
      <c r="I302" s="460">
        <v>12.464829999999999</v>
      </c>
      <c r="J302" s="460">
        <v>51.239409999999999</v>
      </c>
      <c r="K302" s="460">
        <v>4872.7885500000002</v>
      </c>
      <c r="L302" s="459" t="s">
        <v>538</v>
      </c>
      <c r="M302" s="309" t="s">
        <v>571</v>
      </c>
      <c r="N302" s="182">
        <v>267.21359999999999</v>
      </c>
      <c r="O302">
        <v>12.055999999999999</v>
      </c>
      <c r="P302" t="s">
        <v>9068</v>
      </c>
    </row>
    <row r="303" spans="1:16" ht="14.4" x14ac:dyDescent="0.3">
      <c r="A303" s="310">
        <v>163133</v>
      </c>
      <c r="B303" t="str">
        <f t="shared" si="8"/>
        <v>SEVROLL Doubler II maskownica 4,05m jasny brąz</v>
      </c>
      <c r="C303" s="185">
        <f t="shared" si="9"/>
        <v>46.800719999999998</v>
      </c>
      <c r="D303" s="407" t="s">
        <v>2900</v>
      </c>
      <c r="E303" s="407" t="s">
        <v>4223</v>
      </c>
      <c r="F303" s="407" t="s">
        <v>2900</v>
      </c>
      <c r="G303" s="407" t="s">
        <v>4224</v>
      </c>
      <c r="H303" s="460">
        <v>378.52019000000001</v>
      </c>
      <c r="I303" s="460">
        <v>13.609819999999999</v>
      </c>
      <c r="J303" s="460">
        <v>46.800719999999998</v>
      </c>
      <c r="K303" s="460">
        <v>5238.2248399999999</v>
      </c>
      <c r="L303" s="459" t="s">
        <v>539</v>
      </c>
      <c r="M303" s="309" t="s">
        <v>571</v>
      </c>
      <c r="N303" s="182">
        <v>268.50630000000001</v>
      </c>
      <c r="O303">
        <v>11.506</v>
      </c>
      <c r="P303" t="s">
        <v>9069</v>
      </c>
    </row>
    <row r="304" spans="1:16" ht="14.4" x14ac:dyDescent="0.3">
      <c r="A304" s="310">
        <v>349867</v>
      </c>
      <c r="B304" t="str">
        <f t="shared" si="8"/>
        <v>SEVROLL Blue-C tor dolny 4m jasny brąz</v>
      </c>
      <c r="C304" s="185" t="e">
        <f t="shared" si="9"/>
        <v>#N/A</v>
      </c>
      <c r="D304" s="407" t="s">
        <v>3421</v>
      </c>
      <c r="E304" s="407" t="s">
        <v>4225</v>
      </c>
      <c r="F304" s="407" t="s">
        <v>4226</v>
      </c>
      <c r="G304" s="407" t="s">
        <v>4227</v>
      </c>
      <c r="H304" s="460" t="e">
        <v>#N/A</v>
      </c>
      <c r="I304" s="460" t="e">
        <v>#N/A</v>
      </c>
      <c r="J304" s="460" t="e">
        <v>#N/A</v>
      </c>
      <c r="K304" s="460" t="e">
        <v>#N/A</v>
      </c>
      <c r="L304" s="459" t="e">
        <v>#N/A</v>
      </c>
      <c r="M304" s="309" t="s">
        <v>571</v>
      </c>
      <c r="N304" s="182">
        <v>271.71719999999999</v>
      </c>
      <c r="O304">
        <v>13.442</v>
      </c>
      <c r="P304" t="s">
        <v>9070</v>
      </c>
    </row>
    <row r="305" spans="1:16" ht="14.4" x14ac:dyDescent="0.3">
      <c r="A305" s="310">
        <v>349815</v>
      </c>
      <c r="B305" t="str">
        <f t="shared" si="8"/>
        <v>SEVROLL Blue-V tor dolny 3 m, jasny brąz</v>
      </c>
      <c r="C305" s="185">
        <f t="shared" si="9"/>
        <v>55.219630000000002</v>
      </c>
      <c r="D305" s="407" t="s">
        <v>3407</v>
      </c>
      <c r="E305" s="407" t="s">
        <v>4228</v>
      </c>
      <c r="F305" s="407" t="s">
        <v>4229</v>
      </c>
      <c r="G305" s="407" t="s">
        <v>4230</v>
      </c>
      <c r="H305" s="460">
        <v>415.95983000000001</v>
      </c>
      <c r="I305" s="460">
        <v>15.11913</v>
      </c>
      <c r="J305" s="460">
        <v>55.219630000000002</v>
      </c>
      <c r="K305" s="460">
        <v>5910.4174800000001</v>
      </c>
      <c r="L305" s="459" t="s">
        <v>538</v>
      </c>
      <c r="M305" s="309" t="s">
        <v>571</v>
      </c>
      <c r="N305" s="182">
        <v>271.71719999999999</v>
      </c>
      <c r="O305">
        <v>13.288</v>
      </c>
      <c r="P305" t="s">
        <v>9071</v>
      </c>
    </row>
    <row r="306" spans="1:16" ht="14.4" x14ac:dyDescent="0.3">
      <c r="A306" s="310">
        <v>223549</v>
      </c>
      <c r="B306" t="str">
        <f t="shared" si="8"/>
        <v>SEVROLL Libra rączka 18 mm 2,70 m oliwka</v>
      </c>
      <c r="C306" s="185" t="e">
        <f t="shared" si="9"/>
        <v>#N/A</v>
      </c>
      <c r="D306" s="407" t="s">
        <v>3069</v>
      </c>
      <c r="E306" s="407" t="s">
        <v>4231</v>
      </c>
      <c r="F306" s="407" t="s">
        <v>4232</v>
      </c>
      <c r="G306" s="407" t="s">
        <v>4233</v>
      </c>
      <c r="H306" s="460" t="e">
        <v>#N/A</v>
      </c>
      <c r="I306" s="460" t="e">
        <v>#N/A</v>
      </c>
      <c r="J306" s="460" t="e">
        <v>#N/A</v>
      </c>
      <c r="K306" s="460" t="e">
        <v>#N/A</v>
      </c>
      <c r="L306" s="459" t="e">
        <v>#N/A</v>
      </c>
      <c r="M306" s="309" t="s">
        <v>571</v>
      </c>
      <c r="N306" s="182">
        <v>271.71719999999999</v>
      </c>
      <c r="O306">
        <v>13.837999999999999</v>
      </c>
      <c r="P306" t="s">
        <v>9072</v>
      </c>
    </row>
    <row r="307" spans="1:16" ht="14.4" x14ac:dyDescent="0.3">
      <c r="A307" s="310">
        <v>89106</v>
      </c>
      <c r="B307" t="str">
        <f t="shared" si="8"/>
        <v>SEVROLL 01023 Gemini horní vedení 1,7m stříbrná</v>
      </c>
      <c r="C307" s="185">
        <f t="shared" si="9"/>
        <v>52.183329999999998</v>
      </c>
      <c r="D307" s="407" t="s">
        <v>2631</v>
      </c>
      <c r="E307" s="407" t="s">
        <v>4234</v>
      </c>
      <c r="F307" s="407" t="s">
        <v>4235</v>
      </c>
      <c r="G307" s="407" t="s">
        <v>2631</v>
      </c>
      <c r="H307" s="460">
        <v>393.71888999999999</v>
      </c>
      <c r="I307" s="460">
        <v>14.15629</v>
      </c>
      <c r="J307" s="460">
        <v>52.183329999999998</v>
      </c>
      <c r="K307" s="460">
        <v>5448.5553399999999</v>
      </c>
      <c r="L307" s="459" t="s">
        <v>538</v>
      </c>
      <c r="M307" s="309" t="s">
        <v>571</v>
      </c>
      <c r="N307" s="182">
        <v>273.07940000000002</v>
      </c>
      <c r="O307">
        <v>13.97</v>
      </c>
      <c r="P307" t="s">
        <v>9073</v>
      </c>
    </row>
    <row r="308" spans="1:16" ht="14.4" x14ac:dyDescent="0.3">
      <c r="A308" s="310">
        <v>224156</v>
      </c>
      <c r="B308" t="str">
        <f t="shared" si="8"/>
        <v>SEVROLL maskownica dolna Simple/Blue 2 m (do płyty laminowanej 10 mm) oliwka</v>
      </c>
      <c r="C308" s="185" t="e">
        <f t="shared" si="9"/>
        <v>#N/A</v>
      </c>
      <c r="D308" s="407" t="s">
        <v>3122</v>
      </c>
      <c r="E308" s="407" t="s">
        <v>4236</v>
      </c>
      <c r="F308" s="407" t="s">
        <v>4237</v>
      </c>
      <c r="G308" s="407" t="s">
        <v>4238</v>
      </c>
      <c r="H308" s="460" t="e">
        <v>#N/A</v>
      </c>
      <c r="I308" s="460" t="e">
        <v>#N/A</v>
      </c>
      <c r="J308" s="460" t="e">
        <v>#N/A</v>
      </c>
      <c r="K308" s="460" t="e">
        <v>#N/A</v>
      </c>
      <c r="L308" s="459" t="e">
        <v>#N/A</v>
      </c>
      <c r="M308" s="309" t="s">
        <v>571</v>
      </c>
      <c r="N308" s="182">
        <v>273.21839999999997</v>
      </c>
      <c r="O308" t="e">
        <v>#N/A</v>
      </c>
      <c r="P308" t="e">
        <v>#N/A</v>
      </c>
    </row>
    <row r="309" spans="1:16" ht="14.4" x14ac:dyDescent="0.3">
      <c r="A309" s="310">
        <v>84386</v>
      </c>
      <c r="B309" t="str">
        <f t="shared" si="8"/>
        <v>SEVROLL Elegant II tor dolny 2,35m złoty</v>
      </c>
      <c r="C309" s="185">
        <f t="shared" si="9"/>
        <v>53.968200000000003</v>
      </c>
      <c r="D309" s="407" t="s">
        <v>2739</v>
      </c>
      <c r="E309" s="407" t="s">
        <v>4239</v>
      </c>
      <c r="F309" s="407" t="s">
        <v>4240</v>
      </c>
      <c r="G309" s="407" t="s">
        <v>4241</v>
      </c>
      <c r="H309" s="460">
        <v>399.50887999999998</v>
      </c>
      <c r="I309" s="460">
        <v>14.36448</v>
      </c>
      <c r="J309" s="460">
        <v>53.968200000000003</v>
      </c>
      <c r="K309" s="460">
        <v>5528.6810599999999</v>
      </c>
      <c r="L309" s="459" t="s">
        <v>539</v>
      </c>
      <c r="M309" s="309" t="s">
        <v>571</v>
      </c>
      <c r="N309" s="182">
        <v>275.03930000000003</v>
      </c>
      <c r="O309">
        <v>13.794</v>
      </c>
      <c r="P309" t="s">
        <v>9074</v>
      </c>
    </row>
    <row r="310" spans="1:16" ht="14.4" x14ac:dyDescent="0.3">
      <c r="A310" s="310">
        <v>163151</v>
      </c>
      <c r="B310" t="str">
        <f t="shared" si="8"/>
        <v>SEVROLL 02803 Maxim II maskownica 4,3m srebrna</v>
      </c>
      <c r="C310" s="185" t="e">
        <f t="shared" si="9"/>
        <v>#N/A</v>
      </c>
      <c r="D310" s="407" t="s">
        <v>2902</v>
      </c>
      <c r="E310" s="407" t="s">
        <v>4242</v>
      </c>
      <c r="F310" s="407" t="s">
        <v>4243</v>
      </c>
      <c r="G310" s="407" t="s">
        <v>4244</v>
      </c>
      <c r="H310" s="460" t="e">
        <v>#N/A</v>
      </c>
      <c r="I310" s="460" t="e">
        <v>#N/A</v>
      </c>
      <c r="J310" s="460" t="e">
        <v>#N/A</v>
      </c>
      <c r="K310" s="460" t="e">
        <v>#N/A</v>
      </c>
      <c r="L310" s="459" t="e">
        <v>#N/A</v>
      </c>
      <c r="M310" s="309" t="s">
        <v>571</v>
      </c>
      <c r="N310" s="182">
        <v>276.34589999999997</v>
      </c>
      <c r="O310">
        <v>11.263999999999999</v>
      </c>
      <c r="P310" t="s">
        <v>9075</v>
      </c>
    </row>
    <row r="311" spans="1:16" ht="14.4" x14ac:dyDescent="0.3">
      <c r="A311" s="310">
        <v>308628</v>
      </c>
      <c r="B311" t="str">
        <f t="shared" si="8"/>
        <v>SEVROLL kątownik 18x36mm 3m jasny brąz</v>
      </c>
      <c r="C311" s="185">
        <f t="shared" si="9"/>
        <v>46.174309999999998</v>
      </c>
      <c r="D311" s="407" t="s">
        <v>3298</v>
      </c>
      <c r="E311" s="407" t="s">
        <v>4245</v>
      </c>
      <c r="F311" s="407" t="s">
        <v>4246</v>
      </c>
      <c r="G311" s="407" t="s">
        <v>4247</v>
      </c>
      <c r="H311" s="460">
        <v>373.45397000000003</v>
      </c>
      <c r="I311" s="460">
        <v>13.427659999999999</v>
      </c>
      <c r="J311" s="460">
        <v>46.174309999999998</v>
      </c>
      <c r="K311" s="460">
        <v>5168.1146799999997</v>
      </c>
      <c r="L311" s="459" t="s">
        <v>539</v>
      </c>
      <c r="M311" s="309" t="s">
        <v>571</v>
      </c>
      <c r="N311" s="182">
        <v>277.65249999999997</v>
      </c>
      <c r="O311">
        <v>12.364000000000001</v>
      </c>
      <c r="P311" t="s">
        <v>9076</v>
      </c>
    </row>
    <row r="312" spans="1:16" ht="14.4" x14ac:dyDescent="0.3">
      <c r="A312" s="313">
        <v>197755</v>
      </c>
      <c r="B312" t="str">
        <f t="shared" si="8"/>
        <v>SEVROLL Hide N tor dolny 3 m oliwka</v>
      </c>
      <c r="C312" s="185">
        <f t="shared" si="9"/>
        <v>50.871980000000001</v>
      </c>
      <c r="D312" s="407" t="s">
        <v>2952</v>
      </c>
      <c r="E312" s="407" t="s">
        <v>4248</v>
      </c>
      <c r="F312" s="407" t="s">
        <v>4249</v>
      </c>
      <c r="G312" s="407" t="s">
        <v>4250</v>
      </c>
      <c r="H312" s="460">
        <v>395.31477999999998</v>
      </c>
      <c r="I312" s="460">
        <v>14.91095</v>
      </c>
      <c r="J312" s="460">
        <v>50.871980000000001</v>
      </c>
      <c r="K312" s="460">
        <v>5626.48153</v>
      </c>
      <c r="L312" s="459" t="s">
        <v>539</v>
      </c>
      <c r="M312" s="314" t="s">
        <v>571</v>
      </c>
      <c r="N312" s="182">
        <v>279.55957999999998</v>
      </c>
      <c r="O312">
        <v>12.694000000000001</v>
      </c>
      <c r="P312" t="s">
        <v>9077</v>
      </c>
    </row>
    <row r="313" spans="1:16" ht="14.4" x14ac:dyDescent="0.3">
      <c r="A313" s="310">
        <v>84387</v>
      </c>
      <c r="B313" t="str">
        <f t="shared" si="8"/>
        <v>SEVROLL Elegant II tor dolny 2,35m jasny brąz</v>
      </c>
      <c r="C313" s="185">
        <f t="shared" si="9"/>
        <v>53.968200000000003</v>
      </c>
      <c r="D313" s="407" t="s">
        <v>2740</v>
      </c>
      <c r="E313" s="407" t="s">
        <v>4251</v>
      </c>
      <c r="F313" s="407" t="s">
        <v>4252</v>
      </c>
      <c r="G313" s="407" t="s">
        <v>4253</v>
      </c>
      <c r="H313" s="460">
        <v>399.50887999999998</v>
      </c>
      <c r="I313" s="460">
        <v>14.36448</v>
      </c>
      <c r="J313" s="460">
        <v>53.968200000000003</v>
      </c>
      <c r="K313" s="460">
        <v>5528.6810599999999</v>
      </c>
      <c r="L313" s="459" t="s">
        <v>538</v>
      </c>
      <c r="M313" s="309" t="s">
        <v>571</v>
      </c>
      <c r="N313" s="182">
        <v>280.26569999999998</v>
      </c>
      <c r="O313">
        <v>13.794</v>
      </c>
      <c r="P313" t="s">
        <v>9078</v>
      </c>
    </row>
    <row r="314" spans="1:16" ht="14.4" x14ac:dyDescent="0.3">
      <c r="A314" s="310">
        <v>349794</v>
      </c>
      <c r="B314" t="str">
        <f t="shared" si="8"/>
        <v>SEVROLL Era rączka 18mm 2,70m, jasny brąz</v>
      </c>
      <c r="C314" s="185">
        <f t="shared" si="9"/>
        <v>50.194949999999999</v>
      </c>
      <c r="D314" s="407" t="s">
        <v>3389</v>
      </c>
      <c r="E314" s="407" t="s">
        <v>4254</v>
      </c>
      <c r="F314" s="407" t="s">
        <v>3389</v>
      </c>
      <c r="G314" s="407" t="s">
        <v>4255</v>
      </c>
      <c r="H314" s="460">
        <v>411.66422</v>
      </c>
      <c r="I314" s="460">
        <v>14.962999999999999</v>
      </c>
      <c r="J314" s="460">
        <v>50.194949999999999</v>
      </c>
      <c r="K314" s="460">
        <v>5849.3806000000004</v>
      </c>
      <c r="L314" s="459" t="s">
        <v>538</v>
      </c>
      <c r="M314" s="309" t="s">
        <v>571</v>
      </c>
      <c r="N314" s="182">
        <v>282.22559999999999</v>
      </c>
      <c r="O314">
        <v>14.41</v>
      </c>
      <c r="P314" t="s">
        <v>9079</v>
      </c>
    </row>
    <row r="315" spans="1:16" ht="14.4" x14ac:dyDescent="0.3">
      <c r="A315" s="310">
        <v>197743</v>
      </c>
      <c r="B315" t="str">
        <f t="shared" si="8"/>
        <v>SEVROLL Optima 16 rączka 2,4 m srebrna</v>
      </c>
      <c r="C315" s="185" t="e">
        <f t="shared" si="9"/>
        <v>#N/A</v>
      </c>
      <c r="D315" s="407" t="s">
        <v>4256</v>
      </c>
      <c r="E315" s="407" t="s">
        <v>4257</v>
      </c>
      <c r="F315" s="407" t="s">
        <v>4258</v>
      </c>
      <c r="G315" s="407" t="s">
        <v>4259</v>
      </c>
      <c r="H315" s="460" t="e">
        <v>#N/A</v>
      </c>
      <c r="I315" s="460" t="e">
        <v>#N/A</v>
      </c>
      <c r="J315" s="460" t="e">
        <v>#N/A</v>
      </c>
      <c r="K315" s="460" t="e">
        <v>#N/A</v>
      </c>
      <c r="L315" s="459" t="e">
        <v>#N/A</v>
      </c>
      <c r="M315" s="309" t="s">
        <v>571</v>
      </c>
      <c r="N315" s="182">
        <v>282.22559999999999</v>
      </c>
      <c r="O315" t="e">
        <v>#N/A</v>
      </c>
      <c r="P315" t="e">
        <v>#N/A</v>
      </c>
    </row>
    <row r="316" spans="1:16" ht="14.4" x14ac:dyDescent="0.3">
      <c r="A316" s="310">
        <v>197744</v>
      </c>
      <c r="B316" t="str">
        <f t="shared" si="8"/>
        <v>SEVROLL Optima 18 rączka 2,4 m srebrna</v>
      </c>
      <c r="C316" s="185">
        <f t="shared" si="9"/>
        <v>46.800719999999998</v>
      </c>
      <c r="D316" s="407" t="s">
        <v>2945</v>
      </c>
      <c r="E316" s="407" t="s">
        <v>4260</v>
      </c>
      <c r="F316" s="407" t="s">
        <v>4261</v>
      </c>
      <c r="G316" s="407" t="s">
        <v>4262</v>
      </c>
      <c r="H316" s="460">
        <v>378.52019000000001</v>
      </c>
      <c r="I316" s="460">
        <v>13.609819999999999</v>
      </c>
      <c r="J316" s="460">
        <v>46.800719999999998</v>
      </c>
      <c r="K316" s="460">
        <v>5238.2248399999999</v>
      </c>
      <c r="L316" s="459" t="s">
        <v>539</v>
      </c>
      <c r="M316" s="309" t="s">
        <v>571</v>
      </c>
      <c r="N316" s="182">
        <v>282.22559999999999</v>
      </c>
      <c r="O316">
        <v>12.1</v>
      </c>
      <c r="P316" t="s">
        <v>9080</v>
      </c>
    </row>
    <row r="317" spans="1:16" ht="14.4" x14ac:dyDescent="0.3">
      <c r="A317" s="310">
        <v>227067</v>
      </c>
      <c r="B317" t="str">
        <f t="shared" si="8"/>
        <v>SEVROLL tłumienie 10/18mm 14-25kg lewe</v>
      </c>
      <c r="C317" s="185">
        <f t="shared" si="9"/>
        <v>44.777999999999999</v>
      </c>
      <c r="D317" s="407" t="s">
        <v>3134</v>
      </c>
      <c r="E317" s="407" t="s">
        <v>4263</v>
      </c>
      <c r="F317" s="407" t="s">
        <v>4264</v>
      </c>
      <c r="G317" s="407" t="s">
        <v>4265</v>
      </c>
      <c r="H317" s="460">
        <v>379.39492999999999</v>
      </c>
      <c r="I317" s="460">
        <v>12.85516</v>
      </c>
      <c r="J317" s="460">
        <v>44.777999999999999</v>
      </c>
      <c r="K317" s="460">
        <v>5064.1871000000001</v>
      </c>
      <c r="L317" s="459" t="s">
        <v>538</v>
      </c>
      <c r="M317" s="309" t="s">
        <v>571</v>
      </c>
      <c r="N317" s="182">
        <v>282.87889999999999</v>
      </c>
      <c r="O317">
        <v>12.034000000000001</v>
      </c>
      <c r="P317" t="s">
        <v>9081</v>
      </c>
    </row>
    <row r="318" spans="1:16" ht="14.4" x14ac:dyDescent="0.3">
      <c r="A318" s="310">
        <v>227068</v>
      </c>
      <c r="B318" t="str">
        <f t="shared" si="8"/>
        <v>SEVROLL tłumienie 10/18mm 14-25kg prawe</v>
      </c>
      <c r="C318" s="185">
        <f t="shared" si="9"/>
        <v>44.777999999999999</v>
      </c>
      <c r="D318" s="407" t="s">
        <v>3135</v>
      </c>
      <c r="E318" s="407" t="s">
        <v>4266</v>
      </c>
      <c r="F318" s="407" t="s">
        <v>4267</v>
      </c>
      <c r="G318" s="407" t="s">
        <v>4268</v>
      </c>
      <c r="H318" s="460">
        <v>379.39492999999999</v>
      </c>
      <c r="I318" s="460">
        <v>12.85516</v>
      </c>
      <c r="J318" s="460">
        <v>44.777999999999999</v>
      </c>
      <c r="K318" s="460">
        <v>5064.1871000000001</v>
      </c>
      <c r="L318" s="459" t="s">
        <v>538</v>
      </c>
      <c r="M318" s="309" t="s">
        <v>571</v>
      </c>
      <c r="N318" s="182">
        <v>282.87889999999999</v>
      </c>
      <c r="O318">
        <v>12.034000000000001</v>
      </c>
      <c r="P318" t="s">
        <v>9082</v>
      </c>
    </row>
    <row r="319" spans="1:16" ht="14.4" x14ac:dyDescent="0.3">
      <c r="A319" s="310">
        <v>227069</v>
      </c>
      <c r="B319" t="str">
        <f t="shared" si="8"/>
        <v>SEVROLL tłumienie 10/18mm 25-50kg lewe</v>
      </c>
      <c r="C319" s="185">
        <f t="shared" si="9"/>
        <v>44.777999999999999</v>
      </c>
      <c r="D319" s="407" t="s">
        <v>3136</v>
      </c>
      <c r="E319" s="407" t="s">
        <v>4269</v>
      </c>
      <c r="F319" s="407" t="s">
        <v>4270</v>
      </c>
      <c r="G319" s="407" t="s">
        <v>4271</v>
      </c>
      <c r="H319" s="460">
        <v>379.39492999999999</v>
      </c>
      <c r="I319" s="460">
        <v>12.85516</v>
      </c>
      <c r="J319" s="460">
        <v>44.777999999999999</v>
      </c>
      <c r="K319" s="460">
        <v>5064.1871000000001</v>
      </c>
      <c r="L319" s="459" t="s">
        <v>538</v>
      </c>
      <c r="M319" s="309" t="s">
        <v>571</v>
      </c>
      <c r="N319" s="182">
        <v>282.87889999999999</v>
      </c>
      <c r="O319">
        <v>12.034000000000001</v>
      </c>
      <c r="P319" t="s">
        <v>9083</v>
      </c>
    </row>
    <row r="320" spans="1:16" ht="14.4" x14ac:dyDescent="0.3">
      <c r="A320" s="310">
        <v>227070</v>
      </c>
      <c r="B320" t="str">
        <f t="shared" si="8"/>
        <v>SEVROLL tłumienie Sevromatic 10/18mm 25-50kg prawe</v>
      </c>
      <c r="C320" s="185">
        <f t="shared" si="9"/>
        <v>44.777999999999999</v>
      </c>
      <c r="D320" s="407" t="s">
        <v>3137</v>
      </c>
      <c r="E320" s="407" t="s">
        <v>4272</v>
      </c>
      <c r="F320" s="407" t="s">
        <v>4273</v>
      </c>
      <c r="G320" s="407" t="s">
        <v>4274</v>
      </c>
      <c r="H320" s="460">
        <v>379.39492999999999</v>
      </c>
      <c r="I320" s="460">
        <v>12.85516</v>
      </c>
      <c r="J320" s="460">
        <v>44.777999999999999</v>
      </c>
      <c r="K320" s="460">
        <v>5064.1871000000001</v>
      </c>
      <c r="L320" s="459" t="s">
        <v>538</v>
      </c>
      <c r="M320" s="309" t="s">
        <v>571</v>
      </c>
      <c r="N320" s="182">
        <v>282.87889999999999</v>
      </c>
      <c r="O320">
        <v>12.034000000000001</v>
      </c>
      <c r="P320" t="s">
        <v>9084</v>
      </c>
    </row>
    <row r="321" spans="1:16" ht="14.4" x14ac:dyDescent="0.3">
      <c r="A321" s="310">
        <v>224011</v>
      </c>
      <c r="B321" t="str">
        <f t="shared" si="8"/>
        <v>SEVROLL Simple tor górny 2 m srebrny</v>
      </c>
      <c r="C321" s="185">
        <f t="shared" si="9"/>
        <v>52.592370000000003</v>
      </c>
      <c r="D321" s="407" t="s">
        <v>3083</v>
      </c>
      <c r="E321" s="407" t="s">
        <v>4275</v>
      </c>
      <c r="F321" s="407" t="s">
        <v>1050</v>
      </c>
      <c r="G321" s="407" t="s">
        <v>4276</v>
      </c>
      <c r="H321" s="460">
        <v>393.76576</v>
      </c>
      <c r="I321" s="460">
        <v>14.312430000000001</v>
      </c>
      <c r="J321" s="460">
        <v>52.592370000000003</v>
      </c>
      <c r="K321" s="460">
        <v>5595.0597200000002</v>
      </c>
      <c r="L321" s="459" t="s">
        <v>539</v>
      </c>
      <c r="M321" s="309" t="s">
        <v>571</v>
      </c>
      <c r="N321" s="182">
        <v>282.97620000000001</v>
      </c>
      <c r="O321">
        <v>14.08</v>
      </c>
      <c r="P321" t="s">
        <v>9085</v>
      </c>
    </row>
    <row r="322" spans="1:16" ht="14.4" x14ac:dyDescent="0.3">
      <c r="A322" s="313">
        <v>211069</v>
      </c>
      <c r="B322" t="str">
        <f t="shared" si="8"/>
        <v>SEVROLL Exclusive tor górny 1,2m jasny brąz</v>
      </c>
      <c r="C322" s="185" t="e">
        <f t="shared" si="9"/>
        <v>#N/A</v>
      </c>
      <c r="D322" s="407" t="s">
        <v>2985</v>
      </c>
      <c r="E322" s="407" t="s">
        <v>4277</v>
      </c>
      <c r="F322" s="407" t="s">
        <v>1175</v>
      </c>
      <c r="G322" s="407" t="s">
        <v>4278</v>
      </c>
      <c r="H322" s="460" t="e">
        <v>#N/A</v>
      </c>
      <c r="I322" s="460" t="e">
        <v>#N/A</v>
      </c>
      <c r="J322" s="460" t="e">
        <v>#N/A</v>
      </c>
      <c r="K322" s="460" t="e">
        <v>#N/A</v>
      </c>
      <c r="L322" s="459" t="e">
        <v>#N/A</v>
      </c>
      <c r="M322" s="314" t="s">
        <v>571</v>
      </c>
      <c r="N322" s="182">
        <v>287.13229999999999</v>
      </c>
      <c r="O322">
        <v>13.353999999999999</v>
      </c>
      <c r="P322" t="s">
        <v>9086</v>
      </c>
    </row>
    <row r="323" spans="1:16" ht="14.4" x14ac:dyDescent="0.3">
      <c r="A323" s="313">
        <v>358314</v>
      </c>
      <c r="B323" t="e">
        <f t="shared" si="8"/>
        <v>#N/A</v>
      </c>
      <c r="C323" s="185" t="e">
        <f t="shared" si="9"/>
        <v>#N/A</v>
      </c>
      <c r="D323" s="407" t="e">
        <v>#N/A</v>
      </c>
      <c r="E323" s="407" t="e">
        <v>#N/A</v>
      </c>
      <c r="F323" s="407" t="e">
        <v>#N/A</v>
      </c>
      <c r="G323" s="407" t="e">
        <v>#N/A</v>
      </c>
      <c r="H323" s="460" t="e">
        <v>#N/A</v>
      </c>
      <c r="I323" s="460" t="e">
        <v>#N/A</v>
      </c>
      <c r="J323" s="460" t="e">
        <v>#N/A</v>
      </c>
      <c r="K323" s="460" t="e">
        <v>#N/A</v>
      </c>
      <c r="L323" s="459" t="e">
        <v>#N/A</v>
      </c>
      <c r="M323" s="314" t="s">
        <v>571</v>
      </c>
      <c r="N323" s="182">
        <v>289.02548000000002</v>
      </c>
      <c r="O323" t="e">
        <v>#N/A</v>
      </c>
      <c r="P323" t="e">
        <v>#N/A</v>
      </c>
    </row>
    <row r="324" spans="1:16" ht="14.4" x14ac:dyDescent="0.3">
      <c r="A324" s="310">
        <v>216744</v>
      </c>
      <c r="B324" t="str">
        <f t="shared" ref="B324:B387" si="10">IF($A$2=1,D324,IF($A$2=2,F324,IF($A$2=3,G324,IF($A$2=4,E324,IF($A$2&gt;4,P324,"zadat jazyk")))))</f>
        <v>SEVROLL Comfort tor dolny 1,7m jasny brąz</v>
      </c>
      <c r="C324" s="185">
        <f t="shared" ref="C324:C387" si="11">IF($A$2=1,H324,IF($A$2=2,I324,IF($A$2=3,J324,IF($A$2=4,K324,IF($A$2&gt;4,O324,"zadat jazyk")))))</f>
        <v>62.933999999999997</v>
      </c>
      <c r="D324" s="407" t="s">
        <v>3021</v>
      </c>
      <c r="E324" s="407" t="s">
        <v>4279</v>
      </c>
      <c r="F324" s="407" t="s">
        <v>1183</v>
      </c>
      <c r="G324" s="407" t="s">
        <v>4280</v>
      </c>
      <c r="H324" s="460">
        <v>471.15992999999997</v>
      </c>
      <c r="I324" s="460">
        <v>16.940709999999999</v>
      </c>
      <c r="J324" s="460">
        <v>62.933999999999997</v>
      </c>
      <c r="K324" s="460">
        <v>6520.2377500000002</v>
      </c>
      <c r="L324" s="459" t="s">
        <v>539</v>
      </c>
      <c r="M324" s="309" t="s">
        <v>571</v>
      </c>
      <c r="N324" s="182">
        <v>289.4119</v>
      </c>
      <c r="O324">
        <v>14.321999999999999</v>
      </c>
      <c r="P324" t="s">
        <v>9087</v>
      </c>
    </row>
    <row r="325" spans="1:16" ht="14.4" x14ac:dyDescent="0.3">
      <c r="A325" s="310">
        <v>131030</v>
      </c>
      <c r="B325" t="str">
        <f t="shared" si="10"/>
        <v>SEVROLL Comfort tor dolny 1,7m srebrny</v>
      </c>
      <c r="C325" s="185" t="e">
        <f t="shared" si="11"/>
        <v>#N/A</v>
      </c>
      <c r="D325" s="407" t="s">
        <v>2836</v>
      </c>
      <c r="E325" s="407" t="s">
        <v>4281</v>
      </c>
      <c r="F325" s="407" t="s">
        <v>4282</v>
      </c>
      <c r="G325" s="407" t="s">
        <v>4283</v>
      </c>
      <c r="H325" s="460" t="e">
        <v>#N/A</v>
      </c>
      <c r="I325" s="460" t="e">
        <v>#N/A</v>
      </c>
      <c r="J325" s="460" t="e">
        <v>#N/A</v>
      </c>
      <c r="K325" s="460" t="e">
        <v>#N/A</v>
      </c>
      <c r="L325" s="459" t="e">
        <v>#N/A</v>
      </c>
      <c r="M325" s="309" t="s">
        <v>571</v>
      </c>
      <c r="N325" s="182">
        <v>289.4119</v>
      </c>
      <c r="O325">
        <v>14.321999999999999</v>
      </c>
      <c r="P325" t="s">
        <v>9088</v>
      </c>
    </row>
    <row r="326" spans="1:16" ht="14.4" x14ac:dyDescent="0.3">
      <c r="A326" s="310">
        <v>222789</v>
      </c>
      <c r="B326" t="str">
        <f t="shared" si="10"/>
        <v>SEVROLL Alfa II rączka 18mm 2,70m jasny brąz</v>
      </c>
      <c r="C326" s="185">
        <f t="shared" si="11"/>
        <v>54.764899999999997</v>
      </c>
      <c r="D326" s="407" t="s">
        <v>3035</v>
      </c>
      <c r="E326" s="407" t="s">
        <v>4284</v>
      </c>
      <c r="F326" s="407" t="s">
        <v>3035</v>
      </c>
      <c r="G326" s="407" t="s">
        <v>4285</v>
      </c>
      <c r="H326" s="460">
        <v>442.93376000000001</v>
      </c>
      <c r="I326" s="460">
        <v>15.925829999999999</v>
      </c>
      <c r="J326" s="460">
        <v>54.764899999999997</v>
      </c>
      <c r="K326" s="460">
        <v>6129.62464</v>
      </c>
      <c r="L326" s="459" t="s">
        <v>538</v>
      </c>
      <c r="M326" s="309" t="s">
        <v>571</v>
      </c>
      <c r="N326" s="182">
        <v>290.71850000000001</v>
      </c>
      <c r="O326">
        <v>13.464</v>
      </c>
      <c r="P326" t="s">
        <v>9089</v>
      </c>
    </row>
    <row r="327" spans="1:16" ht="14.4" x14ac:dyDescent="0.3">
      <c r="A327" s="310">
        <v>98055</v>
      </c>
      <c r="B327" t="str">
        <f t="shared" si="10"/>
        <v>SEVROLL Maxim listwa łącząca H25 1,8m srebrny</v>
      </c>
      <c r="C327" s="185" t="e">
        <f t="shared" si="11"/>
        <v>#N/A</v>
      </c>
      <c r="D327" s="407" t="s">
        <v>2765</v>
      </c>
      <c r="E327" s="407" t="s">
        <v>4286</v>
      </c>
      <c r="F327" s="407" t="s">
        <v>4287</v>
      </c>
      <c r="G327" s="407" t="s">
        <v>4288</v>
      </c>
      <c r="H327" s="460" t="e">
        <v>#N/A</v>
      </c>
      <c r="I327" s="460" t="e">
        <v>#N/A</v>
      </c>
      <c r="J327" s="460" t="e">
        <v>#N/A</v>
      </c>
      <c r="K327" s="460" t="e">
        <v>#N/A</v>
      </c>
      <c r="L327" s="459" t="e">
        <v>#N/A</v>
      </c>
      <c r="M327" s="309" t="s">
        <v>571</v>
      </c>
      <c r="N327" s="182">
        <v>290.71850000000001</v>
      </c>
      <c r="O327" t="e">
        <v>#N/A</v>
      </c>
      <c r="P327" t="e">
        <v>#N/A</v>
      </c>
    </row>
    <row r="328" spans="1:16" ht="14.4" x14ac:dyDescent="0.3">
      <c r="A328" s="310">
        <v>234760</v>
      </c>
      <c r="B328" t="str">
        <f t="shared" si="10"/>
        <v>SEVROLL Łącznik H16 3 m oliwka</v>
      </c>
      <c r="C328" s="185" t="e">
        <f t="shared" si="11"/>
        <v>#N/A</v>
      </c>
      <c r="D328" s="407" t="s">
        <v>3168</v>
      </c>
      <c r="E328" s="407" t="s">
        <v>4289</v>
      </c>
      <c r="F328" s="407" t="s">
        <v>4290</v>
      </c>
      <c r="G328" s="407" t="s">
        <v>4291</v>
      </c>
      <c r="H328" s="460" t="e">
        <v>#N/A</v>
      </c>
      <c r="I328" s="460" t="e">
        <v>#N/A</v>
      </c>
      <c r="J328" s="460" t="e">
        <v>#N/A</v>
      </c>
      <c r="K328" s="460" t="e">
        <v>#N/A</v>
      </c>
      <c r="L328" s="459" t="e">
        <v>#N/A</v>
      </c>
      <c r="M328" s="309" t="s">
        <v>571</v>
      </c>
      <c r="N328" s="182">
        <v>291.37180000000001</v>
      </c>
      <c r="O328">
        <v>14.19</v>
      </c>
      <c r="P328" t="s">
        <v>9090</v>
      </c>
    </row>
    <row r="329" spans="1:16" ht="14.4" x14ac:dyDescent="0.3">
      <c r="A329" s="339">
        <v>89257</v>
      </c>
      <c r="B329" t="str">
        <f t="shared" si="10"/>
        <v>SEVROLL listwa łącząca H10 3m złoty</v>
      </c>
      <c r="C329" s="185">
        <f t="shared" si="11"/>
        <v>56.915999999999997</v>
      </c>
      <c r="D329" s="407" t="s">
        <v>2683</v>
      </c>
      <c r="E329" s="407" t="s">
        <v>4292</v>
      </c>
      <c r="F329" s="407" t="s">
        <v>4293</v>
      </c>
      <c r="G329" s="407" t="s">
        <v>4294</v>
      </c>
      <c r="H329" s="460">
        <v>423.39258000000001</v>
      </c>
      <c r="I329" s="460">
        <v>15.22322</v>
      </c>
      <c r="J329" s="460">
        <v>56.915999999999997</v>
      </c>
      <c r="K329" s="460">
        <v>5859.1999500000002</v>
      </c>
      <c r="L329" s="459" t="s">
        <v>539</v>
      </c>
      <c r="M329" s="340" t="s">
        <v>571</v>
      </c>
      <c r="N329" s="182">
        <v>291.37180000000001</v>
      </c>
      <c r="O329">
        <v>15.29</v>
      </c>
      <c r="P329" t="s">
        <v>9091</v>
      </c>
    </row>
    <row r="330" spans="1:16" ht="14.4" x14ac:dyDescent="0.3">
      <c r="A330" s="310">
        <v>130609</v>
      </c>
      <c r="B330" t="str">
        <f t="shared" si="10"/>
        <v>SEVROLL Prince 02 rączka 2,7m srebrny</v>
      </c>
      <c r="C330" s="185" t="e">
        <f t="shared" si="11"/>
        <v>#N/A</v>
      </c>
      <c r="D330" s="407" t="s">
        <v>2834</v>
      </c>
      <c r="E330" s="407" t="s">
        <v>4295</v>
      </c>
      <c r="F330" s="407" t="s">
        <v>4296</v>
      </c>
      <c r="G330" s="407" t="s">
        <v>4297</v>
      </c>
      <c r="H330" s="460" t="e">
        <v>#N/A</v>
      </c>
      <c r="I330" s="460" t="e">
        <v>#N/A</v>
      </c>
      <c r="J330" s="460" t="e">
        <v>#N/A</v>
      </c>
      <c r="K330" s="460" t="e">
        <v>#N/A</v>
      </c>
      <c r="L330" s="459" t="e">
        <v>#N/A</v>
      </c>
      <c r="M330" s="309" t="s">
        <v>571</v>
      </c>
      <c r="N330" s="182">
        <v>296.59820000000002</v>
      </c>
      <c r="O330">
        <v>13.662000000000001</v>
      </c>
      <c r="P330" t="s">
        <v>9092</v>
      </c>
    </row>
    <row r="331" spans="1:16" ht="14.4" x14ac:dyDescent="0.3">
      <c r="A331" s="310">
        <v>308653</v>
      </c>
      <c r="B331" t="str">
        <f t="shared" si="10"/>
        <v>SEVROLL Gemini II tor dolny 2,35m jasny brąz</v>
      </c>
      <c r="C331" s="185">
        <f t="shared" si="11"/>
        <v>50.91704</v>
      </c>
      <c r="D331" s="407" t="s">
        <v>3308</v>
      </c>
      <c r="E331" s="407" t="s">
        <v>4298</v>
      </c>
      <c r="F331" s="407" t="s">
        <v>4299</v>
      </c>
      <c r="G331" s="407" t="s">
        <v>4300</v>
      </c>
      <c r="H331" s="460">
        <v>411.81259999999997</v>
      </c>
      <c r="I331" s="460">
        <v>14.80686</v>
      </c>
      <c r="J331" s="460">
        <v>50.91704</v>
      </c>
      <c r="K331" s="460">
        <v>5698.9484899999998</v>
      </c>
      <c r="L331" s="459" t="s">
        <v>538</v>
      </c>
      <c r="M331" s="309" t="s">
        <v>571</v>
      </c>
      <c r="N331" s="182">
        <v>297.25150000000002</v>
      </c>
      <c r="O331">
        <v>13.266</v>
      </c>
      <c r="P331" t="s">
        <v>9093</v>
      </c>
    </row>
    <row r="332" spans="1:16" ht="14.4" x14ac:dyDescent="0.3">
      <c r="A332" s="310">
        <v>224020</v>
      </c>
      <c r="B332" t="str">
        <f t="shared" si="10"/>
        <v>SEVROLL Simple tor dolny 4 m srebrny</v>
      </c>
      <c r="C332" s="185">
        <f t="shared" si="11"/>
        <v>55.125230000000002</v>
      </c>
      <c r="D332" s="407" t="s">
        <v>3091</v>
      </c>
      <c r="E332" s="407" t="s">
        <v>4301</v>
      </c>
      <c r="F332" s="407" t="s">
        <v>4302</v>
      </c>
      <c r="G332" s="407" t="s">
        <v>4303</v>
      </c>
      <c r="H332" s="460">
        <v>413.09609</v>
      </c>
      <c r="I332" s="460">
        <v>15.015040000000001</v>
      </c>
      <c r="J332" s="460">
        <v>55.125230000000002</v>
      </c>
      <c r="K332" s="460">
        <v>5869.7263800000001</v>
      </c>
      <c r="L332" s="459" t="s">
        <v>539</v>
      </c>
      <c r="M332" s="309" t="s">
        <v>571</v>
      </c>
      <c r="N332" s="182">
        <v>299.48939999999999</v>
      </c>
      <c r="O332">
        <v>14.52</v>
      </c>
      <c r="P332" t="s">
        <v>9094</v>
      </c>
    </row>
    <row r="333" spans="1:16" ht="14.4" x14ac:dyDescent="0.3">
      <c r="A333" s="310">
        <v>222787</v>
      </c>
      <c r="B333" t="str">
        <f t="shared" si="10"/>
        <v>SEVROLL Alfa II rączka 18 mm 2,70 m złota</v>
      </c>
      <c r="C333" s="185" t="e">
        <f t="shared" si="11"/>
        <v>#N/A</v>
      </c>
      <c r="D333" s="407" t="s">
        <v>1190</v>
      </c>
      <c r="E333" s="407" t="s">
        <v>4304</v>
      </c>
      <c r="F333" s="407" t="s">
        <v>4305</v>
      </c>
      <c r="G333" s="407" t="s">
        <v>4306</v>
      </c>
      <c r="H333" s="460" t="e">
        <v>#N/A</v>
      </c>
      <c r="I333" s="460" t="e">
        <v>#N/A</v>
      </c>
      <c r="J333" s="460" t="e">
        <v>#N/A</v>
      </c>
      <c r="K333" s="460" t="e">
        <v>#N/A</v>
      </c>
      <c r="L333" s="459" t="e">
        <v>#N/A</v>
      </c>
      <c r="M333" s="309" t="s">
        <v>571</v>
      </c>
      <c r="N333" s="182">
        <v>299.86470000000003</v>
      </c>
      <c r="O333">
        <v>13.464</v>
      </c>
      <c r="P333" t="s">
        <v>9095</v>
      </c>
    </row>
    <row r="334" spans="1:16" ht="14.4" x14ac:dyDescent="0.3">
      <c r="A334" s="310">
        <v>346122</v>
      </c>
      <c r="B334" t="str">
        <f t="shared" si="10"/>
        <v>SEVROLL zaślepka do toru Elegant II 6m czarny szczotkowany</v>
      </c>
      <c r="C334" s="185">
        <f t="shared" si="11"/>
        <v>0</v>
      </c>
      <c r="D334" s="407" t="s">
        <v>3375</v>
      </c>
      <c r="E334" s="407" t="s">
        <v>4307</v>
      </c>
      <c r="F334" s="407" t="s">
        <v>4308</v>
      </c>
      <c r="G334" s="407" t="s">
        <v>4309</v>
      </c>
      <c r="H334" s="460">
        <v>454.51373999999998</v>
      </c>
      <c r="I334" s="460">
        <v>16.342189999999999</v>
      </c>
      <c r="J334" s="460">
        <v>0</v>
      </c>
      <c r="K334" s="460">
        <v>6289.8761000000004</v>
      </c>
      <c r="L334" s="459" t="s">
        <v>539</v>
      </c>
      <c r="M334" s="309" t="s">
        <v>571</v>
      </c>
      <c r="N334" s="182">
        <v>303.13119999999998</v>
      </c>
      <c r="O334">
        <v>14.542</v>
      </c>
      <c r="P334" t="s">
        <v>9096</v>
      </c>
    </row>
    <row r="335" spans="1:16" ht="14.4" x14ac:dyDescent="0.3">
      <c r="A335" s="310">
        <v>346120</v>
      </c>
      <c r="B335" t="str">
        <f t="shared" si="10"/>
        <v>SEVROLL zaślepka do toru Elegant II 6m jasny brąz szczotkowany</v>
      </c>
      <c r="C335" s="185">
        <f t="shared" si="11"/>
        <v>0</v>
      </c>
      <c r="D335" s="407" t="s">
        <v>3373</v>
      </c>
      <c r="E335" s="407" t="s">
        <v>4310</v>
      </c>
      <c r="F335" s="407" t="s">
        <v>3373</v>
      </c>
      <c r="G335" s="407" t="s">
        <v>4311</v>
      </c>
      <c r="H335" s="460">
        <v>454.51373999999998</v>
      </c>
      <c r="I335" s="460">
        <v>16.342189999999999</v>
      </c>
      <c r="J335" s="460">
        <v>0</v>
      </c>
      <c r="K335" s="460">
        <v>6289.8761000000004</v>
      </c>
      <c r="L335" s="459" t="s">
        <v>539</v>
      </c>
      <c r="M335" s="309" t="s">
        <v>571</v>
      </c>
      <c r="N335" s="182">
        <v>303.13119999999998</v>
      </c>
      <c r="O335">
        <v>14.542</v>
      </c>
      <c r="P335" t="s">
        <v>9097</v>
      </c>
    </row>
    <row r="336" spans="1:16" ht="14.4" x14ac:dyDescent="0.3">
      <c r="A336" s="310">
        <v>346121</v>
      </c>
      <c r="B336" t="str">
        <f t="shared" si="10"/>
        <v>SEVROLL zaślepka do toru Elegant II 6m koniak szczotkowany</v>
      </c>
      <c r="C336" s="185" t="e">
        <f t="shared" si="11"/>
        <v>#N/A</v>
      </c>
      <c r="D336" s="407" t="s">
        <v>3374</v>
      </c>
      <c r="E336" s="407" t="s">
        <v>4312</v>
      </c>
      <c r="F336" s="407" t="s">
        <v>3374</v>
      </c>
      <c r="G336" s="407" t="s">
        <v>4313</v>
      </c>
      <c r="H336" s="460" t="e">
        <v>#N/A</v>
      </c>
      <c r="I336" s="460" t="e">
        <v>#N/A</v>
      </c>
      <c r="J336" s="460" t="e">
        <v>#N/A</v>
      </c>
      <c r="K336" s="460" t="e">
        <v>#N/A</v>
      </c>
      <c r="L336" s="459" t="e">
        <v>#N/A</v>
      </c>
      <c r="M336" s="309" t="s">
        <v>571</v>
      </c>
      <c r="N336" s="182">
        <v>303.13119999999998</v>
      </c>
      <c r="O336">
        <v>14.542</v>
      </c>
      <c r="P336" t="s">
        <v>9098</v>
      </c>
    </row>
    <row r="337" spans="1:16" ht="14.4" x14ac:dyDescent="0.3">
      <c r="A337" s="310">
        <v>238029</v>
      </c>
      <c r="B337" t="str">
        <f t="shared" si="10"/>
        <v>SEVROLL Maxim II zaślepka do toru 4,3m jasny brąz</v>
      </c>
      <c r="C337" s="185" t="e">
        <f t="shared" si="11"/>
        <v>#N/A</v>
      </c>
      <c r="D337" s="407" t="s">
        <v>3173</v>
      </c>
      <c r="E337" s="407" t="s">
        <v>4314</v>
      </c>
      <c r="F337" s="407" t="s">
        <v>1130</v>
      </c>
      <c r="G337" s="407" t="s">
        <v>4315</v>
      </c>
      <c r="H337" s="460" t="e">
        <v>#N/A</v>
      </c>
      <c r="I337" s="460" t="e">
        <v>#N/A</v>
      </c>
      <c r="J337" s="460" t="e">
        <v>#N/A</v>
      </c>
      <c r="K337" s="460" t="e">
        <v>#N/A</v>
      </c>
      <c r="L337" s="459" t="e">
        <v>#N/A</v>
      </c>
      <c r="M337" s="309" t="s">
        <v>571</v>
      </c>
      <c r="N337" s="182">
        <v>303.13119999999998</v>
      </c>
      <c r="O337" t="e">
        <v>#N/A</v>
      </c>
      <c r="P337" t="e">
        <v>#N/A</v>
      </c>
    </row>
    <row r="338" spans="1:16" ht="14.4" x14ac:dyDescent="0.3">
      <c r="A338" s="310">
        <v>89237</v>
      </c>
      <c r="B338" t="str">
        <f t="shared" si="10"/>
        <v>SEVROLL listwa łącząca H10 3m jasny brąz</v>
      </c>
      <c r="C338" s="185">
        <f t="shared" si="11"/>
        <v>56.915999999999997</v>
      </c>
      <c r="D338" s="407" t="s">
        <v>2670</v>
      </c>
      <c r="E338" s="407" t="s">
        <v>4316</v>
      </c>
      <c r="F338" s="407" t="s">
        <v>4317</v>
      </c>
      <c r="G338" s="407" t="s">
        <v>4318</v>
      </c>
      <c r="H338" s="460">
        <v>423.39258000000001</v>
      </c>
      <c r="I338" s="460">
        <v>15.22322</v>
      </c>
      <c r="J338" s="460">
        <v>56.915999999999997</v>
      </c>
      <c r="K338" s="460">
        <v>5859.1999500000002</v>
      </c>
      <c r="L338" s="459" t="s">
        <v>538</v>
      </c>
      <c r="M338" s="309" t="s">
        <v>571</v>
      </c>
      <c r="N338" s="182">
        <v>305.74439999999998</v>
      </c>
      <c r="O338">
        <v>15.29</v>
      </c>
      <c r="P338" t="s">
        <v>9099</v>
      </c>
    </row>
    <row r="339" spans="1:16" ht="14.4" x14ac:dyDescent="0.3">
      <c r="A339" s="310">
        <v>89236</v>
      </c>
      <c r="B339" t="str">
        <f t="shared" si="10"/>
        <v>SEVROLL listwa łącząca H10 3m srebrna</v>
      </c>
      <c r="C339" s="185">
        <f t="shared" si="11"/>
        <v>51.754800000000003</v>
      </c>
      <c r="D339" s="407" t="s">
        <v>2669</v>
      </c>
      <c r="E339" s="407" t="s">
        <v>4319</v>
      </c>
      <c r="F339" s="407" t="s">
        <v>4320</v>
      </c>
      <c r="G339" s="407" t="s">
        <v>4321</v>
      </c>
      <c r="H339" s="460">
        <v>338.71406000000002</v>
      </c>
      <c r="I339" s="460">
        <v>12.17858</v>
      </c>
      <c r="J339" s="460">
        <v>51.754800000000003</v>
      </c>
      <c r="K339" s="460">
        <v>4687.3598899999997</v>
      </c>
      <c r="L339" s="459" t="s">
        <v>538</v>
      </c>
      <c r="M339" s="309" t="s">
        <v>571</v>
      </c>
      <c r="N339" s="182">
        <v>305.74439999999998</v>
      </c>
      <c r="O339">
        <v>13.904</v>
      </c>
      <c r="P339" t="s">
        <v>9100</v>
      </c>
    </row>
    <row r="340" spans="1:16" ht="14.4" x14ac:dyDescent="0.3">
      <c r="A340" s="310">
        <v>89236</v>
      </c>
      <c r="B340" t="str">
        <f t="shared" si="10"/>
        <v>SEVROLL listwa łącząca H10 3m srebrna</v>
      </c>
      <c r="C340" s="185">
        <f t="shared" si="11"/>
        <v>51.754800000000003</v>
      </c>
      <c r="D340" s="407" t="s">
        <v>2669</v>
      </c>
      <c r="E340" s="407" t="s">
        <v>4319</v>
      </c>
      <c r="F340" s="407" t="s">
        <v>4320</v>
      </c>
      <c r="G340" s="407" t="s">
        <v>4321</v>
      </c>
      <c r="H340" s="460">
        <v>338.71406000000002</v>
      </c>
      <c r="I340" s="460">
        <v>12.17858</v>
      </c>
      <c r="J340" s="460">
        <v>51.754800000000003</v>
      </c>
      <c r="K340" s="460">
        <v>4687.3598899999997</v>
      </c>
      <c r="L340" s="459" t="s">
        <v>538</v>
      </c>
      <c r="M340" s="309" t="s">
        <v>571</v>
      </c>
      <c r="N340" s="182">
        <v>305.74439999999998</v>
      </c>
      <c r="O340">
        <v>13.904</v>
      </c>
      <c r="P340" t="s">
        <v>9100</v>
      </c>
    </row>
    <row r="341" spans="1:16" ht="14.4" x14ac:dyDescent="0.3">
      <c r="A341" s="310">
        <v>163106</v>
      </c>
      <c r="B341" t="str">
        <f t="shared" si="10"/>
        <v>SEVROLL Doubler II tor dolny 1,7m srebrna</v>
      </c>
      <c r="C341" s="185">
        <f t="shared" si="11"/>
        <v>53.335799999999999</v>
      </c>
      <c r="D341" s="407" t="s">
        <v>2883</v>
      </c>
      <c r="E341" s="407" t="s">
        <v>4322</v>
      </c>
      <c r="F341" s="407" t="s">
        <v>4323</v>
      </c>
      <c r="G341" s="407" t="s">
        <v>4324</v>
      </c>
      <c r="H341" s="460">
        <v>402.40388999999999</v>
      </c>
      <c r="I341" s="460">
        <v>14.46857</v>
      </c>
      <c r="J341" s="460">
        <v>53.335799999999999</v>
      </c>
      <c r="K341" s="460">
        <v>5568.7437300000001</v>
      </c>
      <c r="L341" s="459" t="s">
        <v>539</v>
      </c>
      <c r="M341" s="309" t="s">
        <v>571</v>
      </c>
      <c r="N341" s="182">
        <v>307.05099999999999</v>
      </c>
      <c r="O341">
        <v>14.321999999999999</v>
      </c>
      <c r="P341" t="s">
        <v>9101</v>
      </c>
    </row>
    <row r="342" spans="1:16" ht="14.4" x14ac:dyDescent="0.3">
      <c r="A342" s="310">
        <v>154168</v>
      </c>
      <c r="B342" t="str">
        <f t="shared" si="10"/>
        <v>SEVROLL 02290 profil "U" do płyty laminowanej 36mm srebrny 3m</v>
      </c>
      <c r="C342" s="185">
        <f t="shared" si="11"/>
        <v>47.144399999999997</v>
      </c>
      <c r="D342" s="407" t="s">
        <v>2879</v>
      </c>
      <c r="E342" s="407" t="s">
        <v>4325</v>
      </c>
      <c r="F342" s="407" t="s">
        <v>4326</v>
      </c>
      <c r="G342" s="407" t="s">
        <v>4327</v>
      </c>
      <c r="H342" s="460">
        <v>375.62520000000001</v>
      </c>
      <c r="I342" s="460">
        <v>13.50573</v>
      </c>
      <c r="J342" s="460">
        <v>47.144399999999997</v>
      </c>
      <c r="K342" s="460">
        <v>5198.1621699999996</v>
      </c>
      <c r="L342" s="459" t="s">
        <v>538</v>
      </c>
      <c r="M342" s="309" t="s">
        <v>571</v>
      </c>
      <c r="N342" s="182">
        <v>310.3175</v>
      </c>
      <c r="O342">
        <v>12.65</v>
      </c>
      <c r="P342" t="s">
        <v>9102</v>
      </c>
    </row>
    <row r="343" spans="1:16" ht="14.4" x14ac:dyDescent="0.3">
      <c r="A343" s="310">
        <v>299757</v>
      </c>
      <c r="B343" t="str">
        <f t="shared" si="10"/>
        <v>SEVROLL 04190 Idea tor górny/dolny 2m, srebrny</v>
      </c>
      <c r="C343" s="185" t="e">
        <f t="shared" si="11"/>
        <v>#N/A</v>
      </c>
      <c r="D343" s="407" t="s">
        <v>3281</v>
      </c>
      <c r="E343" s="407" t="s">
        <v>4328</v>
      </c>
      <c r="F343" s="407" t="s">
        <v>4329</v>
      </c>
      <c r="G343" s="407" t="s">
        <v>4330</v>
      </c>
      <c r="H343" s="460" t="e">
        <v>#N/A</v>
      </c>
      <c r="I343" s="460" t="e">
        <v>#N/A</v>
      </c>
      <c r="J343" s="460" t="e">
        <v>#N/A</v>
      </c>
      <c r="K343" s="460" t="e">
        <v>#N/A</v>
      </c>
      <c r="L343" s="459" t="e">
        <v>#N/A</v>
      </c>
      <c r="M343" s="309" t="s">
        <v>571</v>
      </c>
      <c r="N343" s="182">
        <v>314.89060000000001</v>
      </c>
      <c r="O343">
        <v>14.234</v>
      </c>
      <c r="P343" t="s">
        <v>9103</v>
      </c>
    </row>
    <row r="344" spans="1:16" ht="14.4" x14ac:dyDescent="0.3">
      <c r="A344" s="310">
        <v>224119</v>
      </c>
      <c r="B344" t="str">
        <f t="shared" si="10"/>
        <v>SEVROLL Simple tor górny 2 m oliwka</v>
      </c>
      <c r="C344" s="185" t="e">
        <f t="shared" si="11"/>
        <v>#N/A</v>
      </c>
      <c r="D344" s="407" t="s">
        <v>3093</v>
      </c>
      <c r="E344" s="407" t="s">
        <v>4331</v>
      </c>
      <c r="F344" s="407" t="s">
        <v>4332</v>
      </c>
      <c r="G344" s="407" t="s">
        <v>4333</v>
      </c>
      <c r="H344" s="460" t="e">
        <v>#N/A</v>
      </c>
      <c r="I344" s="460" t="e">
        <v>#N/A</v>
      </c>
      <c r="J344" s="460" t="e">
        <v>#N/A</v>
      </c>
      <c r="K344" s="460" t="e">
        <v>#N/A</v>
      </c>
      <c r="L344" s="459" t="e">
        <v>#N/A</v>
      </c>
      <c r="M344" s="309" t="s">
        <v>571</v>
      </c>
      <c r="N344" s="182">
        <v>316.00259999999997</v>
      </c>
      <c r="O344" t="e">
        <v>#N/A</v>
      </c>
      <c r="P344" t="e">
        <v>#N/A</v>
      </c>
    </row>
    <row r="345" spans="1:16" ht="14.4" x14ac:dyDescent="0.3">
      <c r="A345" s="310">
        <v>89104</v>
      </c>
      <c r="B345" t="str">
        <f t="shared" si="10"/>
        <v>SEVROLL Gemini tor górny 1,7m złoty</v>
      </c>
      <c r="C345" s="185">
        <f t="shared" si="11"/>
        <v>66.766980000000004</v>
      </c>
      <c r="D345" s="407" t="s">
        <v>2629</v>
      </c>
      <c r="E345" s="407" t="s">
        <v>4334</v>
      </c>
      <c r="F345" s="407" t="s">
        <v>4335</v>
      </c>
      <c r="G345" s="407" t="s">
        <v>4336</v>
      </c>
      <c r="H345" s="460">
        <v>492.14863000000003</v>
      </c>
      <c r="I345" s="460">
        <v>17.69537</v>
      </c>
      <c r="J345" s="460">
        <v>66.766980000000004</v>
      </c>
      <c r="K345" s="460">
        <v>6810.6939700000003</v>
      </c>
      <c r="L345" s="459" t="s">
        <v>539</v>
      </c>
      <c r="M345" s="309" t="s">
        <v>571</v>
      </c>
      <c r="N345" s="182">
        <v>316.19720000000001</v>
      </c>
      <c r="O345">
        <v>17.071999999999999</v>
      </c>
      <c r="P345" t="s">
        <v>9104</v>
      </c>
    </row>
    <row r="346" spans="1:16" ht="14.4" x14ac:dyDescent="0.3">
      <c r="A346" s="310">
        <v>84412</v>
      </c>
      <c r="B346" t="str">
        <f t="shared" si="10"/>
        <v>SEVROLL Gemini II tor dolny 3m srebrny</v>
      </c>
      <c r="C346" s="185">
        <f t="shared" si="11"/>
        <v>52.749690000000001</v>
      </c>
      <c r="D346" s="407" t="s">
        <v>2754</v>
      </c>
      <c r="E346" s="407" t="s">
        <v>4337</v>
      </c>
      <c r="F346" s="407" t="s">
        <v>4338</v>
      </c>
      <c r="G346" s="407" t="s">
        <v>4339</v>
      </c>
      <c r="H346" s="460">
        <v>397.33764000000002</v>
      </c>
      <c r="I346" s="460">
        <v>14.28641</v>
      </c>
      <c r="J346" s="460">
        <v>52.749690000000001</v>
      </c>
      <c r="K346" s="460">
        <v>5498.6339500000004</v>
      </c>
      <c r="L346" s="459" t="s">
        <v>538</v>
      </c>
      <c r="M346" s="309" t="s">
        <v>571</v>
      </c>
      <c r="N346" s="182">
        <v>316.19720000000001</v>
      </c>
      <c r="O346">
        <v>14.124000000000001</v>
      </c>
      <c r="P346" t="s">
        <v>9105</v>
      </c>
    </row>
    <row r="347" spans="1:16" ht="14.4" x14ac:dyDescent="0.3">
      <c r="A347" s="310">
        <v>102820</v>
      </c>
      <c r="B347" t="str">
        <f t="shared" si="10"/>
        <v>SEVROLL 02021 Maxim tor 1,8 m srebrny</v>
      </c>
      <c r="C347" s="185" t="e">
        <f t="shared" si="11"/>
        <v>#N/A</v>
      </c>
      <c r="D347" s="407" t="s">
        <v>2799</v>
      </c>
      <c r="E347" s="407" t="s">
        <v>4340</v>
      </c>
      <c r="F347" s="407" t="s">
        <v>4341</v>
      </c>
      <c r="G347" s="407" t="s">
        <v>4342</v>
      </c>
      <c r="H347" s="460" t="e">
        <v>#N/A</v>
      </c>
      <c r="I347" s="460" t="e">
        <v>#N/A</v>
      </c>
      <c r="J347" s="460" t="e">
        <v>#N/A</v>
      </c>
      <c r="K347" s="460" t="e">
        <v>#N/A</v>
      </c>
      <c r="L347" s="459" t="e">
        <v>#N/A</v>
      </c>
      <c r="M347" s="309" t="s">
        <v>571</v>
      </c>
      <c r="N347" s="182">
        <v>320.11700000000002</v>
      </c>
      <c r="O347" t="e">
        <v>#N/A</v>
      </c>
      <c r="P347" t="e">
        <v>#N/A</v>
      </c>
    </row>
    <row r="348" spans="1:16" ht="14.4" x14ac:dyDescent="0.3">
      <c r="A348" s="310">
        <v>163111</v>
      </c>
      <c r="B348" t="str">
        <f t="shared" si="10"/>
        <v>SEVROLL Doubler II tor dolny 1,7m jasny brąz</v>
      </c>
      <c r="C348" s="185">
        <f t="shared" si="11"/>
        <v>62.192169999999997</v>
      </c>
      <c r="D348" s="407" t="s">
        <v>2887</v>
      </c>
      <c r="E348" s="407" t="s">
        <v>4343</v>
      </c>
      <c r="F348" s="407" t="s">
        <v>4344</v>
      </c>
      <c r="G348" s="407" t="s">
        <v>4345</v>
      </c>
      <c r="H348" s="460">
        <v>503.00486000000001</v>
      </c>
      <c r="I348" s="460">
        <v>18.085709999999999</v>
      </c>
      <c r="J348" s="460">
        <v>62.192169999999997</v>
      </c>
      <c r="K348" s="460">
        <v>6960.9298699999999</v>
      </c>
      <c r="L348" s="459" t="s">
        <v>539</v>
      </c>
      <c r="M348" s="309" t="s">
        <v>571</v>
      </c>
      <c r="N348" s="182">
        <v>322.07690000000002</v>
      </c>
      <c r="O348">
        <v>15.752000000000001</v>
      </c>
      <c r="P348" t="s">
        <v>9106</v>
      </c>
    </row>
    <row r="349" spans="1:16" ht="14.4" x14ac:dyDescent="0.3">
      <c r="A349" s="313">
        <v>279095</v>
      </c>
      <c r="B349" t="str">
        <f t="shared" si="10"/>
        <v>SEVROLL maskownica Galaxy 3m</v>
      </c>
      <c r="C349" s="185">
        <f t="shared" si="11"/>
        <v>59.217480000000002</v>
      </c>
      <c r="D349" s="407" t="s">
        <v>3243</v>
      </c>
      <c r="E349" s="407" t="s">
        <v>4346</v>
      </c>
      <c r="F349" s="407" t="s">
        <v>1232</v>
      </c>
      <c r="G349" s="407" t="s">
        <v>4347</v>
      </c>
      <c r="H349" s="460">
        <v>460.16574000000003</v>
      </c>
      <c r="I349" s="460">
        <v>17.35707</v>
      </c>
      <c r="J349" s="460">
        <v>59.217480000000002</v>
      </c>
      <c r="K349" s="460">
        <v>6549.4996000000001</v>
      </c>
      <c r="L349" s="459" t="s">
        <v>538</v>
      </c>
      <c r="M349" s="314" t="s">
        <v>571</v>
      </c>
      <c r="N349" s="182">
        <v>323.10271999999998</v>
      </c>
      <c r="O349">
        <v>16.257999999999999</v>
      </c>
      <c r="P349" t="s">
        <v>9107</v>
      </c>
    </row>
    <row r="350" spans="1:16" ht="14.4" x14ac:dyDescent="0.3">
      <c r="A350" s="313">
        <v>223506</v>
      </c>
      <c r="B350" t="str">
        <f t="shared" si="10"/>
        <v>SEVROLL Herkules 2 tor górny 1,2 m alu</v>
      </c>
      <c r="C350" s="185" t="e">
        <f t="shared" si="11"/>
        <v>#N/A</v>
      </c>
      <c r="D350" s="407" t="s">
        <v>3049</v>
      </c>
      <c r="E350" s="407" t="s">
        <v>4348</v>
      </c>
      <c r="F350" s="407" t="s">
        <v>4349</v>
      </c>
      <c r="G350" s="407" t="s">
        <v>4350</v>
      </c>
      <c r="H350" s="460" t="e">
        <v>#N/A</v>
      </c>
      <c r="I350" s="460" t="e">
        <v>#N/A</v>
      </c>
      <c r="J350" s="460" t="e">
        <v>#N/A</v>
      </c>
      <c r="K350" s="460" t="e">
        <v>#N/A</v>
      </c>
      <c r="L350" s="459" t="e">
        <v>#N/A</v>
      </c>
      <c r="M350" s="314" t="s">
        <v>571</v>
      </c>
      <c r="N350" s="182">
        <v>323.73378000000002</v>
      </c>
      <c r="O350" t="e">
        <v>#N/A</v>
      </c>
      <c r="P350" t="e">
        <v>#N/A</v>
      </c>
    </row>
    <row r="351" spans="1:16" ht="14.4" x14ac:dyDescent="0.3">
      <c r="A351" s="310">
        <v>96421</v>
      </c>
      <c r="B351" t="str">
        <f t="shared" si="10"/>
        <v>SEVROLL Fox II rączka 2,7 m, srebrna</v>
      </c>
      <c r="C351" s="185">
        <f t="shared" si="11"/>
        <v>61.863</v>
      </c>
      <c r="D351" s="407" t="s">
        <v>2766</v>
      </c>
      <c r="E351" s="407" t="s">
        <v>4351</v>
      </c>
      <c r="F351" s="407" t="s">
        <v>4352</v>
      </c>
      <c r="G351" s="407" t="s">
        <v>4353</v>
      </c>
      <c r="H351" s="460">
        <v>466.81745999999998</v>
      </c>
      <c r="I351" s="460">
        <v>16.784579999999998</v>
      </c>
      <c r="J351" s="460">
        <v>61.863</v>
      </c>
      <c r="K351" s="460">
        <v>6460.1435300000003</v>
      </c>
      <c r="L351" s="459" t="s">
        <v>538</v>
      </c>
      <c r="M351" s="309" t="s">
        <v>571</v>
      </c>
      <c r="N351" s="182">
        <v>324.03680000000003</v>
      </c>
      <c r="O351">
        <v>15.95</v>
      </c>
      <c r="P351" t="s">
        <v>9108</v>
      </c>
    </row>
    <row r="352" spans="1:16" ht="14.4" x14ac:dyDescent="0.3">
      <c r="A352" s="310">
        <v>349475</v>
      </c>
      <c r="B352" t="str">
        <f t="shared" si="10"/>
        <v>SEVROLL Blue tor górny 2m srebrny</v>
      </c>
      <c r="C352" s="185">
        <f t="shared" si="11"/>
        <v>53.662149999999997</v>
      </c>
      <c r="D352" s="407" t="s">
        <v>3381</v>
      </c>
      <c r="E352" s="407" t="s">
        <v>4354</v>
      </c>
      <c r="F352" s="407" t="s">
        <v>4355</v>
      </c>
      <c r="G352" s="407" t="s">
        <v>4356</v>
      </c>
      <c r="H352" s="460">
        <v>415.2439</v>
      </c>
      <c r="I352" s="460">
        <v>15.093109999999999</v>
      </c>
      <c r="J352" s="460">
        <v>53.662149999999997</v>
      </c>
      <c r="K352" s="460">
        <v>5900.2447899999997</v>
      </c>
      <c r="L352" s="459" t="s">
        <v>538</v>
      </c>
      <c r="M352" s="309" t="s">
        <v>571</v>
      </c>
      <c r="N352" s="182">
        <v>325.7604</v>
      </c>
      <c r="O352">
        <v>15.664</v>
      </c>
      <c r="P352" t="s">
        <v>9109</v>
      </c>
    </row>
    <row r="353" spans="1:16" ht="14.4" x14ac:dyDescent="0.3">
      <c r="A353" s="310">
        <v>224129</v>
      </c>
      <c r="B353" t="str">
        <f t="shared" si="10"/>
        <v>SEVROLL Simple tor dolny 4 m oliwka</v>
      </c>
      <c r="C353" s="185" t="e">
        <f t="shared" si="11"/>
        <v>#N/A</v>
      </c>
      <c r="D353" s="407" t="s">
        <v>3101</v>
      </c>
      <c r="E353" s="407" t="s">
        <v>4357</v>
      </c>
      <c r="F353" s="407" t="s">
        <v>4358</v>
      </c>
      <c r="G353" s="407" t="s">
        <v>4359</v>
      </c>
      <c r="H353" s="460" t="e">
        <v>#N/A</v>
      </c>
      <c r="I353" s="460" t="e">
        <v>#N/A</v>
      </c>
      <c r="J353" s="460" t="e">
        <v>#N/A</v>
      </c>
      <c r="K353" s="460" t="e">
        <v>#N/A</v>
      </c>
      <c r="L353" s="459" t="e">
        <v>#N/A</v>
      </c>
      <c r="M353" s="309" t="s">
        <v>571</v>
      </c>
      <c r="N353" s="182">
        <v>328.76280000000003</v>
      </c>
      <c r="O353" t="e">
        <v>#N/A</v>
      </c>
      <c r="P353" t="e">
        <v>#N/A</v>
      </c>
    </row>
    <row r="354" spans="1:16" ht="14.4" x14ac:dyDescent="0.3">
      <c r="A354" s="310">
        <v>349819</v>
      </c>
      <c r="B354" t="str">
        <f t="shared" si="10"/>
        <v>SEVROLL Blue-V tor dolny 4m srebrny</v>
      </c>
      <c r="C354" s="185">
        <f t="shared" si="11"/>
        <v>65.728660000000005</v>
      </c>
      <c r="D354" s="407" t="s">
        <v>3411</v>
      </c>
      <c r="E354" s="407" t="s">
        <v>4360</v>
      </c>
      <c r="F354" s="407" t="s">
        <v>4361</v>
      </c>
      <c r="G354" s="407" t="s">
        <v>2408</v>
      </c>
      <c r="H354" s="460">
        <v>443.88141000000002</v>
      </c>
      <c r="I354" s="460">
        <v>16.13401</v>
      </c>
      <c r="J354" s="460">
        <v>65.728660000000005</v>
      </c>
      <c r="K354" s="460">
        <v>6307.1582399999998</v>
      </c>
      <c r="L354" s="459" t="s">
        <v>538</v>
      </c>
      <c r="M354" s="309" t="s">
        <v>571</v>
      </c>
      <c r="N354" s="182">
        <v>330.26400000000001</v>
      </c>
      <c r="O354">
        <v>15.686</v>
      </c>
      <c r="P354" t="s">
        <v>9110</v>
      </c>
    </row>
    <row r="355" spans="1:16" ht="14.4" x14ac:dyDescent="0.3">
      <c r="A355" s="310">
        <v>89105</v>
      </c>
      <c r="B355" t="str">
        <f t="shared" si="10"/>
        <v>SEVROLL 01008 Gemini horní vedení 1,7m oliva</v>
      </c>
      <c r="C355" s="185">
        <f t="shared" si="11"/>
        <v>66.766980000000004</v>
      </c>
      <c r="D355" s="407" t="s">
        <v>2630</v>
      </c>
      <c r="E355" s="407" t="s">
        <v>4362</v>
      </c>
      <c r="F355" s="407" t="s">
        <v>4363</v>
      </c>
      <c r="G355" s="407" t="s">
        <v>2630</v>
      </c>
      <c r="H355" s="460">
        <v>492.14863000000003</v>
      </c>
      <c r="I355" s="460">
        <v>17.69537</v>
      </c>
      <c r="J355" s="460">
        <v>66.766980000000004</v>
      </c>
      <c r="K355" s="460">
        <v>6810.6939700000003</v>
      </c>
      <c r="L355" s="459" t="s">
        <v>538</v>
      </c>
      <c r="M355" s="309" t="s">
        <v>571</v>
      </c>
      <c r="N355" s="182">
        <v>331.87639999999999</v>
      </c>
      <c r="O355">
        <v>16.565999999999999</v>
      </c>
      <c r="P355" t="s">
        <v>9111</v>
      </c>
    </row>
    <row r="356" spans="1:16" ht="14.4" x14ac:dyDescent="0.3">
      <c r="A356" s="310">
        <v>227193</v>
      </c>
      <c r="B356" t="str">
        <f t="shared" si="10"/>
        <v>SEVROLL listwa łącząca H10 Decor 3m jasny brąz</v>
      </c>
      <c r="C356" s="185">
        <f t="shared" si="11"/>
        <v>57.7179</v>
      </c>
      <c r="D356" s="407" t="s">
        <v>3140</v>
      </c>
      <c r="E356" s="407" t="s">
        <v>4364</v>
      </c>
      <c r="F356" s="407" t="s">
        <v>1101</v>
      </c>
      <c r="G356" s="407" t="s">
        <v>4365</v>
      </c>
      <c r="H356" s="460">
        <v>466.81745999999998</v>
      </c>
      <c r="I356" s="460">
        <v>16.784579999999998</v>
      </c>
      <c r="J356" s="460">
        <v>57.7179</v>
      </c>
      <c r="K356" s="460">
        <v>6460.1435300000003</v>
      </c>
      <c r="L356" s="459" t="s">
        <v>539</v>
      </c>
      <c r="M356" s="309" t="s">
        <v>571</v>
      </c>
      <c r="N356" s="182">
        <v>331.87639999999999</v>
      </c>
      <c r="O356">
        <v>14.19</v>
      </c>
      <c r="P356" t="s">
        <v>9112</v>
      </c>
    </row>
    <row r="357" spans="1:16" ht="14.4" x14ac:dyDescent="0.3">
      <c r="A357" s="310">
        <v>308630</v>
      </c>
      <c r="B357" t="str">
        <f t="shared" si="10"/>
        <v>SEVROLL kątownik 36x36mm 3 m srebrny</v>
      </c>
      <c r="C357" s="185">
        <f t="shared" si="11"/>
        <v>52.53</v>
      </c>
      <c r="D357" s="407" t="s">
        <v>3300</v>
      </c>
      <c r="E357" s="407" t="s">
        <v>4366</v>
      </c>
      <c r="F357" s="407" t="s">
        <v>4367</v>
      </c>
      <c r="G357" s="407" t="s">
        <v>4368</v>
      </c>
      <c r="H357" s="460">
        <v>395.89015000000001</v>
      </c>
      <c r="I357" s="460">
        <v>14.234360000000001</v>
      </c>
      <c r="J357" s="460">
        <v>52.53</v>
      </c>
      <c r="K357" s="460">
        <v>5478.6024299999999</v>
      </c>
      <c r="L357" s="459" t="s">
        <v>538</v>
      </c>
      <c r="M357" s="309" t="s">
        <v>571</v>
      </c>
      <c r="N357" s="182">
        <v>332.52969999999999</v>
      </c>
      <c r="O357">
        <v>14.08</v>
      </c>
      <c r="P357" t="s">
        <v>9113</v>
      </c>
    </row>
    <row r="358" spans="1:16" ht="14.4" x14ac:dyDescent="0.3">
      <c r="A358" s="310">
        <v>351387</v>
      </c>
      <c r="B358" t="str">
        <f t="shared" si="10"/>
        <v>SEVROLL zamek do drzwi przesuwnych 18 mm (identyczny klucz)</v>
      </c>
      <c r="C358" s="185" t="e">
        <f t="shared" si="11"/>
        <v>#N/A</v>
      </c>
      <c r="D358" s="407" t="s">
        <v>3429</v>
      </c>
      <c r="E358" s="407" t="s">
        <v>4369</v>
      </c>
      <c r="F358" s="407" t="s">
        <v>4370</v>
      </c>
      <c r="G358" s="407" t="s">
        <v>4371</v>
      </c>
      <c r="H358" s="460" t="e">
        <v>#N/A</v>
      </c>
      <c r="I358" s="460" t="e">
        <v>#N/A</v>
      </c>
      <c r="J358" s="460" t="e">
        <v>#N/A</v>
      </c>
      <c r="K358" s="460" t="e">
        <v>#N/A</v>
      </c>
      <c r="L358" s="459" t="e">
        <v>#N/A</v>
      </c>
      <c r="M358" s="309" t="s">
        <v>571</v>
      </c>
      <c r="N358" s="182">
        <v>333.18299999999999</v>
      </c>
      <c r="O358">
        <v>0</v>
      </c>
      <c r="P358" t="s">
        <v>9114</v>
      </c>
    </row>
    <row r="359" spans="1:16" ht="14.4" x14ac:dyDescent="0.3">
      <c r="A359" s="310">
        <v>238036</v>
      </c>
      <c r="B359" t="str">
        <f t="shared" si="10"/>
        <v>SEVROLL Maxim listwa łącząca H25 1,8m jasny brąz</v>
      </c>
      <c r="C359" s="185" t="e">
        <f t="shared" si="11"/>
        <v>#N/A</v>
      </c>
      <c r="D359" s="407" t="s">
        <v>3179</v>
      </c>
      <c r="E359" s="407" t="s">
        <v>4372</v>
      </c>
      <c r="F359" s="407" t="s">
        <v>1124</v>
      </c>
      <c r="G359" s="407" t="s">
        <v>4373</v>
      </c>
      <c r="H359" s="460" t="e">
        <v>#N/A</v>
      </c>
      <c r="I359" s="460" t="e">
        <v>#N/A</v>
      </c>
      <c r="J359" s="460" t="e">
        <v>#N/A</v>
      </c>
      <c r="K359" s="460" t="e">
        <v>#N/A</v>
      </c>
      <c r="L359" s="459" t="e">
        <v>#N/A</v>
      </c>
      <c r="M359" s="309" t="s">
        <v>571</v>
      </c>
      <c r="N359" s="182">
        <v>334.4896</v>
      </c>
      <c r="O359" t="e">
        <v>#N/A</v>
      </c>
      <c r="P359" t="e">
        <v>#N/A</v>
      </c>
    </row>
    <row r="360" spans="1:16" ht="14.4" x14ac:dyDescent="0.3">
      <c r="A360" s="310">
        <v>308528</v>
      </c>
      <c r="B360" t="str">
        <f t="shared" si="10"/>
        <v>SEVROLL profil "U" do płyty laminowanej 36mm 3m jasny brąz</v>
      </c>
      <c r="C360" s="185">
        <f t="shared" si="11"/>
        <v>58.075839999999999</v>
      </c>
      <c r="D360" s="407" t="s">
        <v>3295</v>
      </c>
      <c r="E360" s="407" t="s">
        <v>4374</v>
      </c>
      <c r="F360" s="407" t="s">
        <v>1107</v>
      </c>
      <c r="G360" s="407" t="s">
        <v>4375</v>
      </c>
      <c r="H360" s="460">
        <v>469.71244000000002</v>
      </c>
      <c r="I360" s="460">
        <v>16.888670000000001</v>
      </c>
      <c r="J360" s="460">
        <v>58.075839999999999</v>
      </c>
      <c r="K360" s="460">
        <v>6500.2066100000002</v>
      </c>
      <c r="L360" s="459" t="s">
        <v>539</v>
      </c>
      <c r="M360" s="309" t="s">
        <v>571</v>
      </c>
      <c r="N360" s="182">
        <v>339.06270000000001</v>
      </c>
      <c r="O360">
        <v>14.542</v>
      </c>
      <c r="P360" t="s">
        <v>9115</v>
      </c>
    </row>
    <row r="361" spans="1:16" ht="14.4" x14ac:dyDescent="0.3">
      <c r="A361" s="310">
        <v>182206</v>
      </c>
      <c r="B361" t="e">
        <f t="shared" si="10"/>
        <v>#N/A</v>
      </c>
      <c r="C361" s="185" t="e">
        <f t="shared" si="11"/>
        <v>#N/A</v>
      </c>
      <c r="D361" s="407" t="e">
        <v>#N/A</v>
      </c>
      <c r="E361" s="407" t="e">
        <v>#N/A</v>
      </c>
      <c r="F361" s="407" t="e">
        <v>#N/A</v>
      </c>
      <c r="G361" s="407" t="e">
        <v>#N/A</v>
      </c>
      <c r="H361" s="460" t="e">
        <v>#N/A</v>
      </c>
      <c r="I361" s="460" t="e">
        <v>#N/A</v>
      </c>
      <c r="J361" s="460" t="e">
        <v>#N/A</v>
      </c>
      <c r="K361" s="460" t="e">
        <v>#N/A</v>
      </c>
      <c r="L361" s="459" t="e">
        <v>#N/A</v>
      </c>
      <c r="M361" s="309" t="s">
        <v>571</v>
      </c>
      <c r="N361" s="182">
        <v>340.36930000000001</v>
      </c>
      <c r="O361" t="e">
        <v>#N/A</v>
      </c>
      <c r="P361" t="e">
        <v>#N/A</v>
      </c>
    </row>
    <row r="362" spans="1:16" ht="14.4" x14ac:dyDescent="0.3">
      <c r="A362" s="310">
        <v>252626</v>
      </c>
      <c r="B362" t="e">
        <f t="shared" si="10"/>
        <v>#N/A</v>
      </c>
      <c r="C362" s="185" t="e">
        <f t="shared" si="11"/>
        <v>#N/A</v>
      </c>
      <c r="D362" s="407" t="e">
        <v>#N/A</v>
      </c>
      <c r="E362" s="407" t="e">
        <v>#N/A</v>
      </c>
      <c r="F362" s="407" t="e">
        <v>#N/A</v>
      </c>
      <c r="G362" s="407" t="e">
        <v>#N/A</v>
      </c>
      <c r="H362" s="460" t="e">
        <v>#N/A</v>
      </c>
      <c r="I362" s="460" t="e">
        <v>#N/A</v>
      </c>
      <c r="J362" s="460" t="e">
        <v>#N/A</v>
      </c>
      <c r="K362" s="460" t="e">
        <v>#N/A</v>
      </c>
      <c r="L362" s="459" t="e">
        <v>#N/A</v>
      </c>
      <c r="M362" s="309" t="s">
        <v>571</v>
      </c>
      <c r="N362" s="182">
        <v>340.36930000000001</v>
      </c>
      <c r="O362" t="e">
        <v>#N/A</v>
      </c>
      <c r="P362" t="e">
        <v>#N/A</v>
      </c>
    </row>
    <row r="363" spans="1:16" ht="14.4" x14ac:dyDescent="0.3">
      <c r="A363" s="310">
        <v>351476</v>
      </c>
      <c r="B363" t="str">
        <f t="shared" si="10"/>
        <v>SEVROLL Gemini II tor dolny 2,35m biały połysk</v>
      </c>
      <c r="C363" s="185" t="e">
        <f t="shared" si="11"/>
        <v>#N/A</v>
      </c>
      <c r="D363" s="407" t="s">
        <v>3431</v>
      </c>
      <c r="E363" s="407" t="s">
        <v>4376</v>
      </c>
      <c r="F363" s="407" t="s">
        <v>4377</v>
      </c>
      <c r="G363" s="407" t="s">
        <v>4378</v>
      </c>
      <c r="H363" s="460" t="e">
        <v>#N/A</v>
      </c>
      <c r="I363" s="460" t="e">
        <v>#N/A</v>
      </c>
      <c r="J363" s="460" t="e">
        <v>#N/A</v>
      </c>
      <c r="K363" s="460" t="e">
        <v>#N/A</v>
      </c>
      <c r="L363" s="459" t="e">
        <v>#N/A</v>
      </c>
      <c r="M363" s="309" t="s">
        <v>571</v>
      </c>
      <c r="N363" s="182">
        <v>342.98250000000002</v>
      </c>
      <c r="O363">
        <v>15.554</v>
      </c>
      <c r="P363" t="s">
        <v>9116</v>
      </c>
    </row>
    <row r="364" spans="1:16" ht="14.4" x14ac:dyDescent="0.3">
      <c r="A364" s="310">
        <v>89029</v>
      </c>
      <c r="B364" t="str">
        <f t="shared" si="10"/>
        <v>SEVROLL 01255 Single horní vedení 1,7m stříbrná</v>
      </c>
      <c r="C364" s="185">
        <f t="shared" si="11"/>
        <v>51.049550000000004</v>
      </c>
      <c r="D364" s="407" t="s">
        <v>2726</v>
      </c>
      <c r="E364" s="407" t="s">
        <v>4379</v>
      </c>
      <c r="F364" s="407" t="s">
        <v>4380</v>
      </c>
      <c r="G364" s="407" t="s">
        <v>2726</v>
      </c>
      <c r="H364" s="460">
        <v>396.69461000000001</v>
      </c>
      <c r="I364" s="460">
        <v>14.962999999999999</v>
      </c>
      <c r="J364" s="460">
        <v>51.049550000000004</v>
      </c>
      <c r="K364" s="460">
        <v>5646.1202800000001</v>
      </c>
      <c r="L364" s="459" t="s">
        <v>538</v>
      </c>
      <c r="M364" s="309" t="s">
        <v>571</v>
      </c>
      <c r="N364" s="182">
        <v>343.63580000000002</v>
      </c>
      <c r="O364">
        <v>14.013999999999999</v>
      </c>
      <c r="P364" t="s">
        <v>9117</v>
      </c>
    </row>
    <row r="365" spans="1:16" ht="14.4" x14ac:dyDescent="0.3">
      <c r="A365" s="310">
        <v>135552</v>
      </c>
      <c r="B365" t="str">
        <f t="shared" si="10"/>
        <v>Sevroll 02742 Minicomfort II rączka 2,7m srebrna</v>
      </c>
      <c r="C365" s="185">
        <f t="shared" si="11"/>
        <v>64.535399999999996</v>
      </c>
      <c r="D365" s="407" t="s">
        <v>2868</v>
      </c>
      <c r="E365" s="407" t="s">
        <v>4381</v>
      </c>
      <c r="F365" s="407" t="s">
        <v>1223</v>
      </c>
      <c r="G365" s="407" t="s">
        <v>4382</v>
      </c>
      <c r="H365" s="460">
        <v>460.30372999999997</v>
      </c>
      <c r="I365" s="460">
        <v>16.550370000000001</v>
      </c>
      <c r="J365" s="460">
        <v>64.535399999999996</v>
      </c>
      <c r="K365" s="460">
        <v>6370.0018499999996</v>
      </c>
      <c r="L365" s="459" t="s">
        <v>538</v>
      </c>
      <c r="M365" s="309" t="s">
        <v>571</v>
      </c>
      <c r="N365" s="182">
        <v>346.24900000000002</v>
      </c>
      <c r="O365">
        <v>16.28</v>
      </c>
      <c r="P365" t="s">
        <v>9118</v>
      </c>
    </row>
    <row r="366" spans="1:16" ht="14.4" x14ac:dyDescent="0.3">
      <c r="A366" s="310">
        <v>246893</v>
      </c>
      <c r="B366" t="str">
        <f t="shared" si="10"/>
        <v>SEVROLL Oaza II rączka 2,7m srebrny</v>
      </c>
      <c r="C366" s="185">
        <f t="shared" si="11"/>
        <v>64.823660000000004</v>
      </c>
      <c r="D366" s="407" t="s">
        <v>3186</v>
      </c>
      <c r="E366" s="407" t="s">
        <v>4383</v>
      </c>
      <c r="F366" s="407" t="s">
        <v>1221</v>
      </c>
      <c r="G366" s="407" t="s">
        <v>4384</v>
      </c>
      <c r="H366" s="460">
        <v>416.53017999999997</v>
      </c>
      <c r="I366" s="460">
        <v>15.17118</v>
      </c>
      <c r="J366" s="460">
        <v>64.823660000000004</v>
      </c>
      <c r="K366" s="460">
        <v>5548.7125900000001</v>
      </c>
      <c r="L366" s="459" t="s">
        <v>538</v>
      </c>
      <c r="M366" s="309" t="s">
        <v>571</v>
      </c>
      <c r="N366" s="182">
        <v>347.55560000000003</v>
      </c>
      <c r="O366">
        <v>13.507999999999999</v>
      </c>
      <c r="P366" t="s">
        <v>9119</v>
      </c>
    </row>
    <row r="367" spans="1:16" ht="14.4" x14ac:dyDescent="0.3">
      <c r="A367" s="310">
        <v>246895</v>
      </c>
      <c r="B367" t="str">
        <f t="shared" si="10"/>
        <v>SEVROLL Oaza II rączka 2,7 m złota</v>
      </c>
      <c r="C367" s="185" t="e">
        <f t="shared" si="11"/>
        <v>#N/A</v>
      </c>
      <c r="D367" s="407" t="s">
        <v>3188</v>
      </c>
      <c r="E367" s="407" t="s">
        <v>4385</v>
      </c>
      <c r="F367" s="407" t="s">
        <v>1122</v>
      </c>
      <c r="G367" s="407" t="s">
        <v>4386</v>
      </c>
      <c r="H367" s="460" t="e">
        <v>#N/A</v>
      </c>
      <c r="I367" s="460" t="e">
        <v>#N/A</v>
      </c>
      <c r="J367" s="460" t="e">
        <v>#N/A</v>
      </c>
      <c r="K367" s="460" t="e">
        <v>#N/A</v>
      </c>
      <c r="L367" s="459" t="e">
        <v>#N/A</v>
      </c>
      <c r="M367" s="309" t="s">
        <v>571</v>
      </c>
      <c r="N367" s="182">
        <v>348.86219999999997</v>
      </c>
      <c r="O367" t="e">
        <v>#N/A</v>
      </c>
      <c r="P367" t="e">
        <v>#N/A</v>
      </c>
    </row>
    <row r="368" spans="1:16" ht="14.4" x14ac:dyDescent="0.3">
      <c r="A368" s="310">
        <v>224154</v>
      </c>
      <c r="B368" t="str">
        <f t="shared" si="10"/>
        <v>SEVROLL maskownica dolna Simple/Blue 2,5 m (do płyty laminowanej 10 mm) srebrna</v>
      </c>
      <c r="C368" s="185">
        <f t="shared" si="11"/>
        <v>57.107480000000002</v>
      </c>
      <c r="D368" s="407" t="s">
        <v>3120</v>
      </c>
      <c r="E368" s="407" t="s">
        <v>4387</v>
      </c>
      <c r="F368" s="407" t="s">
        <v>4388</v>
      </c>
      <c r="G368" s="407" t="s">
        <v>4389</v>
      </c>
      <c r="H368" s="460">
        <v>451.04077999999998</v>
      </c>
      <c r="I368" s="460">
        <v>16.39424</v>
      </c>
      <c r="J368" s="460">
        <v>57.107480000000002</v>
      </c>
      <c r="K368" s="460">
        <v>6408.8865999999998</v>
      </c>
      <c r="L368" s="459" t="s">
        <v>539</v>
      </c>
      <c r="M368" s="309" t="s">
        <v>571</v>
      </c>
      <c r="N368" s="182">
        <v>349.029</v>
      </c>
      <c r="O368">
        <v>14.586</v>
      </c>
      <c r="P368" t="s">
        <v>9120</v>
      </c>
    </row>
    <row r="369" spans="1:16" ht="14.4" x14ac:dyDescent="0.3">
      <c r="A369" s="310">
        <v>228221</v>
      </c>
      <c r="B369" t="str">
        <f t="shared" si="10"/>
        <v>SEVROLL Universal 16 rączka 2,7 m srebrna</v>
      </c>
      <c r="C369" s="185" t="e">
        <f t="shared" si="11"/>
        <v>#N/A</v>
      </c>
      <c r="D369" s="407" t="s">
        <v>3151</v>
      </c>
      <c r="E369" s="407" t="s">
        <v>4390</v>
      </c>
      <c r="F369" s="407" t="s">
        <v>1089</v>
      </c>
      <c r="G369" s="407" t="s">
        <v>4391</v>
      </c>
      <c r="H369" s="460" t="e">
        <v>#N/A</v>
      </c>
      <c r="I369" s="460" t="e">
        <v>#N/A</v>
      </c>
      <c r="J369" s="460" t="e">
        <v>#N/A</v>
      </c>
      <c r="K369" s="460" t="e">
        <v>#N/A</v>
      </c>
      <c r="L369" s="459" t="e">
        <v>#N/A</v>
      </c>
      <c r="M369" s="309" t="s">
        <v>571</v>
      </c>
      <c r="N369" s="182">
        <v>349.51549999999997</v>
      </c>
      <c r="O369">
        <v>14.96</v>
      </c>
      <c r="P369" t="s">
        <v>9121</v>
      </c>
    </row>
    <row r="370" spans="1:16" ht="14.4" x14ac:dyDescent="0.3">
      <c r="A370" s="310">
        <v>84389</v>
      </c>
      <c r="B370" t="str">
        <f t="shared" si="10"/>
        <v>SEVROLL Elegant II tor dolny 3m złoty</v>
      </c>
      <c r="C370" s="185">
        <f t="shared" si="11"/>
        <v>0</v>
      </c>
      <c r="D370" s="407" t="s">
        <v>2742</v>
      </c>
      <c r="E370" s="407" t="s">
        <v>4392</v>
      </c>
      <c r="F370" s="407" t="s">
        <v>4393</v>
      </c>
      <c r="G370" s="407" t="s">
        <v>4394</v>
      </c>
      <c r="H370" s="460">
        <v>0</v>
      </c>
      <c r="I370" s="460">
        <v>0</v>
      </c>
      <c r="J370" s="460">
        <v>0</v>
      </c>
      <c r="K370" s="460">
        <v>0</v>
      </c>
      <c r="L370" s="459" t="s">
        <v>540</v>
      </c>
      <c r="M370" s="309" t="s">
        <v>571</v>
      </c>
      <c r="N370" s="182">
        <v>350.82209999999998</v>
      </c>
      <c r="O370">
        <v>17.622</v>
      </c>
      <c r="P370" t="s">
        <v>9122</v>
      </c>
    </row>
    <row r="371" spans="1:16" ht="14.4" x14ac:dyDescent="0.3">
      <c r="A371" s="313">
        <v>279081</v>
      </c>
      <c r="B371" t="e">
        <f t="shared" si="10"/>
        <v>#N/A</v>
      </c>
      <c r="C371" s="185" t="e">
        <f t="shared" si="11"/>
        <v>#N/A</v>
      </c>
      <c r="D371" s="407" t="e">
        <v>#N/A</v>
      </c>
      <c r="E371" s="407" t="e">
        <v>#N/A</v>
      </c>
      <c r="F371" s="407" t="e">
        <v>#N/A</v>
      </c>
      <c r="G371" s="407" t="e">
        <v>#N/A</v>
      </c>
      <c r="H371" s="460" t="e">
        <v>#N/A</v>
      </c>
      <c r="I371" s="460" t="e">
        <v>#N/A</v>
      </c>
      <c r="J371" s="460" t="e">
        <v>#N/A</v>
      </c>
      <c r="K371" s="460" t="e">
        <v>#N/A</v>
      </c>
      <c r="L371" s="459" t="e">
        <v>#N/A</v>
      </c>
      <c r="M371" s="314" t="s">
        <v>572</v>
      </c>
      <c r="N371" s="182">
        <v>352.13148000000001</v>
      </c>
      <c r="O371" t="e">
        <v>#N/A</v>
      </c>
      <c r="P371" t="e">
        <v>#N/A</v>
      </c>
    </row>
    <row r="372" spans="1:16" ht="14.4" x14ac:dyDescent="0.3">
      <c r="A372" s="310">
        <v>224012</v>
      </c>
      <c r="B372" t="str">
        <f t="shared" si="10"/>
        <v>SEVROLL Simple tor górny 2,5 m srebrny</v>
      </c>
      <c r="C372" s="185">
        <f t="shared" si="11"/>
        <v>65.697199999999995</v>
      </c>
      <c r="D372" s="407" t="s">
        <v>3084</v>
      </c>
      <c r="E372" s="407" t="s">
        <v>4395</v>
      </c>
      <c r="F372" s="407" t="s">
        <v>4396</v>
      </c>
      <c r="G372" s="407" t="s">
        <v>4397</v>
      </c>
      <c r="H372" s="460">
        <v>492.56518</v>
      </c>
      <c r="I372" s="460">
        <v>17.903549999999999</v>
      </c>
      <c r="J372" s="460">
        <v>65.697199999999995</v>
      </c>
      <c r="K372" s="460">
        <v>6998.9109799999997</v>
      </c>
      <c r="L372" s="459" t="s">
        <v>540</v>
      </c>
      <c r="M372" s="309" t="s">
        <v>571</v>
      </c>
      <c r="N372" s="182">
        <v>354.28320000000002</v>
      </c>
      <c r="O372">
        <v>17.666</v>
      </c>
      <c r="P372" t="s">
        <v>9123</v>
      </c>
    </row>
    <row r="373" spans="1:16" ht="14.4" x14ac:dyDescent="0.3">
      <c r="A373" s="310">
        <v>96427</v>
      </c>
      <c r="B373" t="str">
        <f t="shared" si="10"/>
        <v>SEVROLL Fox II rączka 2,7 m, oliwka</v>
      </c>
      <c r="C373" s="185">
        <f t="shared" si="11"/>
        <v>71.498620000000003</v>
      </c>
      <c r="D373" s="407" t="s">
        <v>2780</v>
      </c>
      <c r="E373" s="407" t="s">
        <v>4398</v>
      </c>
      <c r="F373" s="407" t="s">
        <v>2780</v>
      </c>
      <c r="G373" s="407" t="s">
        <v>4399</v>
      </c>
      <c r="H373" s="460">
        <v>578.27463999999998</v>
      </c>
      <c r="I373" s="460">
        <v>20.792059999999999</v>
      </c>
      <c r="J373" s="460">
        <v>71.498620000000003</v>
      </c>
      <c r="K373" s="460">
        <v>8002.5655800000004</v>
      </c>
      <c r="L373" s="459" t="s">
        <v>538</v>
      </c>
      <c r="M373" s="309" t="s">
        <v>571</v>
      </c>
      <c r="N373" s="182">
        <v>356.70179999999999</v>
      </c>
      <c r="O373">
        <v>17.577999999999999</v>
      </c>
      <c r="P373" t="s">
        <v>9124</v>
      </c>
    </row>
    <row r="374" spans="1:16" ht="14.4" x14ac:dyDescent="0.3">
      <c r="A374" s="310">
        <v>96428</v>
      </c>
      <c r="B374" t="str">
        <f t="shared" si="10"/>
        <v>SEVROLL Fox II rączka 2,7m złoty</v>
      </c>
      <c r="C374" s="185">
        <f t="shared" si="11"/>
        <v>71.498620000000003</v>
      </c>
      <c r="D374" s="407" t="s">
        <v>2781</v>
      </c>
      <c r="E374" s="407" t="s">
        <v>4400</v>
      </c>
      <c r="F374" s="407" t="s">
        <v>4401</v>
      </c>
      <c r="G374" s="407" t="s">
        <v>4402</v>
      </c>
      <c r="H374" s="460">
        <v>578.27463999999998</v>
      </c>
      <c r="I374" s="460">
        <v>20.792059999999999</v>
      </c>
      <c r="J374" s="460">
        <v>71.498620000000003</v>
      </c>
      <c r="K374" s="460">
        <v>8002.5655800000004</v>
      </c>
      <c r="L374" s="459" t="s">
        <v>539</v>
      </c>
      <c r="M374" s="309" t="s">
        <v>571</v>
      </c>
      <c r="N374" s="182">
        <v>356.70179999999999</v>
      </c>
      <c r="O374">
        <v>17.577999999999999</v>
      </c>
      <c r="P374" t="s">
        <v>9125</v>
      </c>
    </row>
    <row r="375" spans="1:16" ht="14.4" x14ac:dyDescent="0.3">
      <c r="A375" s="310">
        <v>84390</v>
      </c>
      <c r="B375" t="str">
        <f t="shared" si="10"/>
        <v>SEVROLL Elegant II tor dolny 3m jasny brąz</v>
      </c>
      <c r="C375" s="185">
        <f t="shared" si="11"/>
        <v>68.931600000000003</v>
      </c>
      <c r="D375" s="407" t="s">
        <v>2743</v>
      </c>
      <c r="E375" s="407" t="s">
        <v>4403</v>
      </c>
      <c r="F375" s="407" t="s">
        <v>4404</v>
      </c>
      <c r="G375" s="407" t="s">
        <v>4405</v>
      </c>
      <c r="H375" s="460">
        <v>510.24234000000001</v>
      </c>
      <c r="I375" s="460">
        <v>18.345929999999999</v>
      </c>
      <c r="J375" s="460">
        <v>68.931600000000003</v>
      </c>
      <c r="K375" s="460">
        <v>7061.0871100000004</v>
      </c>
      <c r="L375" s="459" t="s">
        <v>538</v>
      </c>
      <c r="M375" s="309" t="s">
        <v>571</v>
      </c>
      <c r="N375" s="182">
        <v>358.00839999999999</v>
      </c>
      <c r="O375">
        <v>17.622</v>
      </c>
      <c r="P375" t="s">
        <v>9126</v>
      </c>
    </row>
    <row r="376" spans="1:16" ht="14.4" x14ac:dyDescent="0.3">
      <c r="A376" s="310">
        <v>180412</v>
      </c>
      <c r="B376" t="str">
        <f t="shared" si="10"/>
        <v>SEVROLL 02806 Maxim II tor dolny 2,5m srebrny</v>
      </c>
      <c r="C376" s="185" t="e">
        <f t="shared" si="11"/>
        <v>#N/A</v>
      </c>
      <c r="D376" s="407" t="s">
        <v>2915</v>
      </c>
      <c r="E376" s="407" t="s">
        <v>4406</v>
      </c>
      <c r="F376" s="407" t="s">
        <v>1229</v>
      </c>
      <c r="G376" s="407" t="s">
        <v>4407</v>
      </c>
      <c r="H376" s="460" t="e">
        <v>#N/A</v>
      </c>
      <c r="I376" s="460" t="e">
        <v>#N/A</v>
      </c>
      <c r="J376" s="460" t="e">
        <v>#N/A</v>
      </c>
      <c r="K376" s="460" t="e">
        <v>#N/A</v>
      </c>
      <c r="L376" s="459" t="e">
        <v>#N/A</v>
      </c>
      <c r="M376" s="309" t="s">
        <v>571</v>
      </c>
      <c r="N376" s="182">
        <v>359.315</v>
      </c>
      <c r="O376" t="e">
        <v>#N/A</v>
      </c>
      <c r="P376" t="e">
        <v>#N/A</v>
      </c>
    </row>
    <row r="377" spans="1:16" ht="14.4" x14ac:dyDescent="0.3">
      <c r="A377" s="310">
        <v>89028</v>
      </c>
      <c r="B377" t="str">
        <f t="shared" si="10"/>
        <v>SEVROLL Single tor górny 1,7m jasny brąz</v>
      </c>
      <c r="C377" s="185">
        <f t="shared" si="11"/>
        <v>62.236049999999999</v>
      </c>
      <c r="D377" s="407" t="s">
        <v>2725</v>
      </c>
      <c r="E377" s="407" t="s">
        <v>4408</v>
      </c>
      <c r="F377" s="407" t="s">
        <v>4409</v>
      </c>
      <c r="G377" s="407" t="s">
        <v>4410</v>
      </c>
      <c r="H377" s="460">
        <v>483.62245999999999</v>
      </c>
      <c r="I377" s="460">
        <v>18.24184</v>
      </c>
      <c r="J377" s="460">
        <v>62.236049999999999</v>
      </c>
      <c r="K377" s="460">
        <v>6883.3569299999999</v>
      </c>
      <c r="L377" s="459" t="s">
        <v>539</v>
      </c>
      <c r="M377" s="309" t="s">
        <v>571</v>
      </c>
      <c r="N377" s="182">
        <v>359.315</v>
      </c>
      <c r="O377">
        <v>15.422000000000001</v>
      </c>
      <c r="P377" t="s">
        <v>9127</v>
      </c>
    </row>
    <row r="378" spans="1:16" ht="14.4" x14ac:dyDescent="0.3">
      <c r="A378" s="310">
        <v>349798</v>
      </c>
      <c r="B378" t="str">
        <f t="shared" si="10"/>
        <v>SEVROLL Blue tor górny 2 m, jasny brąz</v>
      </c>
      <c r="C378" s="185">
        <f t="shared" si="11"/>
        <v>63.289290000000001</v>
      </c>
      <c r="D378" s="407" t="s">
        <v>3392</v>
      </c>
      <c r="E378" s="407" t="s">
        <v>4411</v>
      </c>
      <c r="F378" s="407" t="s">
        <v>4412</v>
      </c>
      <c r="G378" s="407" t="s">
        <v>4413</v>
      </c>
      <c r="H378" s="460">
        <v>519.05488000000003</v>
      </c>
      <c r="I378" s="460">
        <v>18.866389999999999</v>
      </c>
      <c r="J378" s="460">
        <v>63.289290000000001</v>
      </c>
      <c r="K378" s="460">
        <v>7375.3059899999998</v>
      </c>
      <c r="L378" s="459" t="s">
        <v>538</v>
      </c>
      <c r="M378" s="309" t="s">
        <v>571</v>
      </c>
      <c r="N378" s="182">
        <v>360.28800000000001</v>
      </c>
      <c r="O378">
        <v>16.72</v>
      </c>
      <c r="P378" t="s">
        <v>9128</v>
      </c>
    </row>
    <row r="379" spans="1:16" ht="14.4" x14ac:dyDescent="0.3">
      <c r="A379" s="310">
        <v>163128</v>
      </c>
      <c r="B379" t="str">
        <f t="shared" si="10"/>
        <v>SEVROLL Doubler II maskownica 6m srebrna</v>
      </c>
      <c r="C379" s="185">
        <f t="shared" si="11"/>
        <v>0</v>
      </c>
      <c r="D379" s="407" t="s">
        <v>2896</v>
      </c>
      <c r="E379" s="407" t="s">
        <v>4414</v>
      </c>
      <c r="F379" s="407" t="s">
        <v>4415</v>
      </c>
      <c r="G379" s="407" t="s">
        <v>4416</v>
      </c>
      <c r="H379" s="460">
        <v>460.30372999999997</v>
      </c>
      <c r="I379" s="460">
        <v>16.550370000000001</v>
      </c>
      <c r="J379" s="460">
        <v>0</v>
      </c>
      <c r="K379" s="460">
        <v>6370.0018499999996</v>
      </c>
      <c r="L379" s="459" t="s">
        <v>539</v>
      </c>
      <c r="M379" s="309" t="s">
        <v>571</v>
      </c>
      <c r="N379" s="182">
        <v>361.2749</v>
      </c>
      <c r="O379">
        <v>15.488</v>
      </c>
      <c r="P379" t="s">
        <v>9129</v>
      </c>
    </row>
    <row r="380" spans="1:16" ht="14.4" x14ac:dyDescent="0.3">
      <c r="A380" s="310">
        <v>135532</v>
      </c>
      <c r="B380" t="str">
        <f t="shared" si="10"/>
        <v>SEVROLL Victoria II rączka 18mm 2,7m srebrna</v>
      </c>
      <c r="C380" s="185">
        <f t="shared" si="11"/>
        <v>58.884599999999999</v>
      </c>
      <c r="D380" s="407" t="s">
        <v>2865</v>
      </c>
      <c r="E380" s="407" t="s">
        <v>4417</v>
      </c>
      <c r="F380" s="407" t="s">
        <v>4418</v>
      </c>
      <c r="G380" s="407" t="s">
        <v>4419</v>
      </c>
      <c r="H380" s="460">
        <v>458.85620999999998</v>
      </c>
      <c r="I380" s="460">
        <v>16.498329999999999</v>
      </c>
      <c r="J380" s="460">
        <v>58.884599999999999</v>
      </c>
      <c r="K380" s="460">
        <v>6349.9706999999999</v>
      </c>
      <c r="L380" s="459" t="s">
        <v>538</v>
      </c>
      <c r="M380" s="309" t="s">
        <v>571</v>
      </c>
      <c r="N380" s="182">
        <v>361.2749</v>
      </c>
      <c r="O380">
        <v>15.795999999999999</v>
      </c>
      <c r="P380" t="s">
        <v>9130</v>
      </c>
    </row>
    <row r="381" spans="1:16" ht="14.4" x14ac:dyDescent="0.3">
      <c r="A381" s="310">
        <v>349816</v>
      </c>
      <c r="B381" t="str">
        <f t="shared" si="10"/>
        <v>SEVROLL Blue-V tor dolny 4m jasny brąz</v>
      </c>
      <c r="C381" s="185">
        <f t="shared" si="11"/>
        <v>73.594700000000003</v>
      </c>
      <c r="D381" s="407" t="s">
        <v>3408</v>
      </c>
      <c r="E381" s="407" t="s">
        <v>4420</v>
      </c>
      <c r="F381" s="407" t="s">
        <v>4421</v>
      </c>
      <c r="G381" s="407" t="s">
        <v>4422</v>
      </c>
      <c r="H381" s="460">
        <v>554.85176999999999</v>
      </c>
      <c r="I381" s="460">
        <v>20.16752</v>
      </c>
      <c r="J381" s="460">
        <v>73.594700000000003</v>
      </c>
      <c r="K381" s="460">
        <v>7883.9477800000004</v>
      </c>
      <c r="L381" s="459" t="s">
        <v>538</v>
      </c>
      <c r="M381" s="309" t="s">
        <v>571</v>
      </c>
      <c r="N381" s="182">
        <v>361.78919999999999</v>
      </c>
      <c r="O381">
        <v>17.687999999999999</v>
      </c>
      <c r="P381" t="s">
        <v>9131</v>
      </c>
    </row>
    <row r="382" spans="1:16" ht="14.4" x14ac:dyDescent="0.3">
      <c r="A382" s="310">
        <v>276742</v>
      </c>
      <c r="B382" t="str">
        <f t="shared" si="10"/>
        <v>SEVROLL Faworyt II rączka 2,7 m, biała matowa</v>
      </c>
      <c r="C382" s="185">
        <f t="shared" si="11"/>
        <v>60.088200000000001</v>
      </c>
      <c r="D382" s="407" t="s">
        <v>3216</v>
      </c>
      <c r="E382" s="407" t="s">
        <v>4423</v>
      </c>
      <c r="F382" s="407" t="s">
        <v>4424</v>
      </c>
      <c r="G382" s="407" t="s">
        <v>4425</v>
      </c>
      <c r="H382" s="460">
        <v>455.23748000000001</v>
      </c>
      <c r="I382" s="460">
        <v>16.368220000000001</v>
      </c>
      <c r="J382" s="460">
        <v>60.088200000000001</v>
      </c>
      <c r="K382" s="460">
        <v>6299.8920699999999</v>
      </c>
      <c r="L382" s="459" t="s">
        <v>538</v>
      </c>
      <c r="M382" s="309" t="s">
        <v>571</v>
      </c>
      <c r="N382" s="182">
        <v>362.58150000000001</v>
      </c>
      <c r="O382">
        <v>16.126000000000001</v>
      </c>
      <c r="P382" t="s">
        <v>9132</v>
      </c>
    </row>
    <row r="383" spans="1:16" ht="14.4" x14ac:dyDescent="0.3">
      <c r="A383" s="310">
        <v>135553</v>
      </c>
      <c r="B383" t="str">
        <f t="shared" si="10"/>
        <v>SEVROLL Minicomfort II rączka 2,7m jasny brąz</v>
      </c>
      <c r="C383" s="185" t="e">
        <f t="shared" si="11"/>
        <v>#N/A</v>
      </c>
      <c r="D383" s="407" t="s">
        <v>2869</v>
      </c>
      <c r="E383" s="407" t="s">
        <v>4426</v>
      </c>
      <c r="F383" s="407" t="s">
        <v>2869</v>
      </c>
      <c r="G383" s="407" t="s">
        <v>4427</v>
      </c>
      <c r="H383" s="460" t="e">
        <v>#N/A</v>
      </c>
      <c r="I383" s="460" t="e">
        <v>#N/A</v>
      </c>
      <c r="J383" s="460" t="e">
        <v>#N/A</v>
      </c>
      <c r="K383" s="460" t="e">
        <v>#N/A</v>
      </c>
      <c r="L383" s="459" t="e">
        <v>#N/A</v>
      </c>
      <c r="M383" s="309" t="s">
        <v>571</v>
      </c>
      <c r="N383" s="182">
        <v>362.58150000000001</v>
      </c>
      <c r="O383">
        <v>17.908000000000001</v>
      </c>
      <c r="P383" t="s">
        <v>9133</v>
      </c>
    </row>
    <row r="384" spans="1:16" ht="14.4" x14ac:dyDescent="0.3">
      <c r="A384" s="310">
        <v>135344</v>
      </c>
      <c r="B384" t="str">
        <f t="shared" si="10"/>
        <v>SEVROLL 02713 Julia II rączka 2,7m srebrna</v>
      </c>
      <c r="C384" s="185">
        <f t="shared" si="11"/>
        <v>65.637</v>
      </c>
      <c r="D384" s="407" t="s">
        <v>2856</v>
      </c>
      <c r="E384" s="407" t="s">
        <v>4428</v>
      </c>
      <c r="F384" s="407" t="s">
        <v>1235</v>
      </c>
      <c r="G384" s="407" t="s">
        <v>4429</v>
      </c>
      <c r="H384" s="460">
        <v>484.91115000000002</v>
      </c>
      <c r="I384" s="460">
        <v>17.435140000000001</v>
      </c>
      <c r="J384" s="460">
        <v>65.637</v>
      </c>
      <c r="K384" s="460">
        <v>6710.5366999999997</v>
      </c>
      <c r="L384" s="459" t="s">
        <v>538</v>
      </c>
      <c r="M384" s="309" t="s">
        <v>571</v>
      </c>
      <c r="N384" s="182">
        <v>364.54140000000001</v>
      </c>
      <c r="O384">
        <v>17.181999999999999</v>
      </c>
      <c r="P384" t="s">
        <v>9134</v>
      </c>
    </row>
    <row r="385" spans="1:16" ht="14.4" x14ac:dyDescent="0.3">
      <c r="A385" s="310">
        <v>135366</v>
      </c>
      <c r="B385" t="str">
        <f t="shared" si="10"/>
        <v>SEVROLL Romeo II rączka 2,7m srebrna</v>
      </c>
      <c r="C385" s="185">
        <f t="shared" si="11"/>
        <v>65.637</v>
      </c>
      <c r="D385" s="407" t="s">
        <v>2859</v>
      </c>
      <c r="E385" s="407" t="s">
        <v>4430</v>
      </c>
      <c r="F385" s="407" t="s">
        <v>2178</v>
      </c>
      <c r="G385" s="407" t="s">
        <v>4431</v>
      </c>
      <c r="H385" s="460">
        <v>484.91115000000002</v>
      </c>
      <c r="I385" s="460">
        <v>17.435140000000001</v>
      </c>
      <c r="J385" s="460">
        <v>65.637</v>
      </c>
      <c r="K385" s="460">
        <v>6710.5366999999997</v>
      </c>
      <c r="L385" s="459" t="s">
        <v>538</v>
      </c>
      <c r="M385" s="309" t="s">
        <v>571</v>
      </c>
      <c r="N385" s="182">
        <v>364.54140000000001</v>
      </c>
      <c r="O385">
        <v>17.181999999999999</v>
      </c>
      <c r="P385" t="s">
        <v>9135</v>
      </c>
    </row>
    <row r="386" spans="1:16" ht="14.4" x14ac:dyDescent="0.3">
      <c r="A386" s="310">
        <v>246894</v>
      </c>
      <c r="B386" t="str">
        <f t="shared" si="10"/>
        <v>SEVROLL Oaza II rączka 2,7m jasny brąz</v>
      </c>
      <c r="C386" s="185">
        <f t="shared" si="11"/>
        <v>72.050979999999996</v>
      </c>
      <c r="D386" s="407" t="s">
        <v>3187</v>
      </c>
      <c r="E386" s="407" t="s">
        <v>4432</v>
      </c>
      <c r="F386" s="407" t="s">
        <v>1222</v>
      </c>
      <c r="G386" s="407" t="s">
        <v>4433</v>
      </c>
      <c r="H386" s="460">
        <v>468.98869999999999</v>
      </c>
      <c r="I386" s="460">
        <v>16.862639999999999</v>
      </c>
      <c r="J386" s="460">
        <v>72.050979999999996</v>
      </c>
      <c r="K386" s="460">
        <v>6490.1906399999998</v>
      </c>
      <c r="L386" s="459" t="s">
        <v>538</v>
      </c>
      <c r="M386" s="309" t="s">
        <v>571</v>
      </c>
      <c r="N386" s="182">
        <v>366.50130000000001</v>
      </c>
      <c r="O386">
        <v>14.256</v>
      </c>
      <c r="P386" t="s">
        <v>9136</v>
      </c>
    </row>
    <row r="387" spans="1:16" ht="14.4" x14ac:dyDescent="0.3">
      <c r="A387" s="310">
        <v>308629</v>
      </c>
      <c r="B387" t="str">
        <f t="shared" si="10"/>
        <v>SEVROLL kątownik 36x36mm 3m jasny brąz</v>
      </c>
      <c r="C387" s="185" t="e">
        <f t="shared" si="11"/>
        <v>#N/A</v>
      </c>
      <c r="D387" s="407" t="s">
        <v>3299</v>
      </c>
      <c r="E387" s="407" t="s">
        <v>4434</v>
      </c>
      <c r="F387" s="407" t="s">
        <v>4435</v>
      </c>
      <c r="G387" s="407" t="s">
        <v>4436</v>
      </c>
      <c r="H387" s="460" t="e">
        <v>#N/A</v>
      </c>
      <c r="I387" s="460" t="e">
        <v>#N/A</v>
      </c>
      <c r="J387" s="460" t="e">
        <v>#N/A</v>
      </c>
      <c r="K387" s="460" t="e">
        <v>#N/A</v>
      </c>
      <c r="L387" s="459" t="e">
        <v>#N/A</v>
      </c>
      <c r="M387" s="309" t="s">
        <v>571</v>
      </c>
      <c r="N387" s="182">
        <v>366.50130000000001</v>
      </c>
      <c r="O387">
        <v>16.28</v>
      </c>
      <c r="P387" t="s">
        <v>9137</v>
      </c>
    </row>
    <row r="388" spans="1:16" ht="14.4" x14ac:dyDescent="0.3">
      <c r="A388" s="310">
        <v>216363</v>
      </c>
      <c r="B388" t="str">
        <f t="shared" ref="B388:B451" si="12">IF($A$2=1,D388,IF($A$2=2,F388,IF($A$2=3,G388,IF($A$2=4,E388,IF($A$2&gt;4,P388,"zadat jazyk")))))</f>
        <v>SEVROLL zamek do drzwi przesuwnych 10/18mm</v>
      </c>
      <c r="C388" s="185">
        <f t="shared" ref="C388:C451" si="13">IF($A$2=1,H388,IF($A$2=2,I388,IF($A$2=3,J388,IF($A$2=4,K388,IF($A$2&gt;4,O388,"zadat jazyk")))))</f>
        <v>66.840599999999995</v>
      </c>
      <c r="D388" s="407" t="s">
        <v>3018</v>
      </c>
      <c r="E388" s="407" t="s">
        <v>4437</v>
      </c>
      <c r="F388" s="407" t="s">
        <v>4438</v>
      </c>
      <c r="G388" s="407" t="s">
        <v>4439</v>
      </c>
      <c r="H388" s="460">
        <v>467.71562999999998</v>
      </c>
      <c r="I388" s="460">
        <v>15.855560000000001</v>
      </c>
      <c r="J388" s="460">
        <v>66.840599999999995</v>
      </c>
      <c r="K388" s="460">
        <v>6243.0970299999999</v>
      </c>
      <c r="L388" s="459" t="s">
        <v>538</v>
      </c>
      <c r="M388" s="309" t="s">
        <v>571</v>
      </c>
      <c r="N388" s="182">
        <v>366.50130000000001</v>
      </c>
      <c r="O388">
        <v>15.686</v>
      </c>
      <c r="P388" t="s">
        <v>9138</v>
      </c>
    </row>
    <row r="389" spans="1:16" ht="14.4" x14ac:dyDescent="0.3">
      <c r="A389" s="310">
        <v>180418</v>
      </c>
      <c r="B389" t="str">
        <f t="shared" si="12"/>
        <v>SEVROLL Maxim II maskownica 6m srebrny</v>
      </c>
      <c r="C389" s="185" t="e">
        <f t="shared" si="13"/>
        <v>#N/A</v>
      </c>
      <c r="D389" s="407" t="s">
        <v>2919</v>
      </c>
      <c r="E389" s="407" t="s">
        <v>4440</v>
      </c>
      <c r="F389" s="407" t="s">
        <v>4441</v>
      </c>
      <c r="G389" s="407" t="s">
        <v>4442</v>
      </c>
      <c r="H389" s="460" t="e">
        <v>#N/A</v>
      </c>
      <c r="I389" s="460" t="e">
        <v>#N/A</v>
      </c>
      <c r="J389" s="460" t="e">
        <v>#N/A</v>
      </c>
      <c r="K389" s="460" t="e">
        <v>#N/A</v>
      </c>
      <c r="L389" s="459" t="e">
        <v>#N/A</v>
      </c>
      <c r="M389" s="309" t="s">
        <v>571</v>
      </c>
      <c r="N389" s="182">
        <v>367.15460000000002</v>
      </c>
      <c r="O389" t="e">
        <v>#N/A</v>
      </c>
      <c r="P389" t="e">
        <v>#N/A</v>
      </c>
    </row>
    <row r="390" spans="1:16" ht="14.4" x14ac:dyDescent="0.3">
      <c r="A390" s="310">
        <v>90106</v>
      </c>
      <c r="B390" t="str">
        <f t="shared" si="12"/>
        <v>SEVROLL Universal 18 rączka 2,7 m, srebrna</v>
      </c>
      <c r="C390" s="185">
        <f t="shared" si="13"/>
        <v>57.807389999999998</v>
      </c>
      <c r="D390" s="407" t="s">
        <v>2627</v>
      </c>
      <c r="E390" s="407" t="s">
        <v>4443</v>
      </c>
      <c r="F390" s="407" t="s">
        <v>4444</v>
      </c>
      <c r="G390" s="407" t="s">
        <v>4445</v>
      </c>
      <c r="H390" s="460">
        <v>467.54120999999998</v>
      </c>
      <c r="I390" s="460">
        <v>16.810600000000001</v>
      </c>
      <c r="J390" s="460">
        <v>57.807389999999998</v>
      </c>
      <c r="K390" s="460">
        <v>6470.1591200000003</v>
      </c>
      <c r="L390" s="459" t="s">
        <v>538</v>
      </c>
      <c r="M390" s="309" t="s">
        <v>571</v>
      </c>
      <c r="N390" s="182">
        <v>367.15460000000002</v>
      </c>
      <c r="O390">
        <v>14.96</v>
      </c>
      <c r="P390" t="s">
        <v>9139</v>
      </c>
    </row>
    <row r="391" spans="1:16" ht="14.4" x14ac:dyDescent="0.3">
      <c r="A391" s="310">
        <v>349868</v>
      </c>
      <c r="B391" t="str">
        <f t="shared" si="12"/>
        <v>SEVROLL Blue-C tor dolny 6m srebrny</v>
      </c>
      <c r="C391" s="185" t="e">
        <f t="shared" si="13"/>
        <v>#N/A</v>
      </c>
      <c r="D391" s="407" t="s">
        <v>3422</v>
      </c>
      <c r="E391" s="407" t="s">
        <v>4446</v>
      </c>
      <c r="F391" s="407" t="s">
        <v>4447</v>
      </c>
      <c r="G391" s="407" t="s">
        <v>4448</v>
      </c>
      <c r="H391" s="460" t="e">
        <v>#N/A</v>
      </c>
      <c r="I391" s="460" t="e">
        <v>#N/A</v>
      </c>
      <c r="J391" s="460" t="e">
        <v>#N/A</v>
      </c>
      <c r="K391" s="460" t="e">
        <v>#N/A</v>
      </c>
      <c r="L391" s="459" t="e">
        <v>#N/A</v>
      </c>
      <c r="M391" s="309" t="s">
        <v>571</v>
      </c>
      <c r="N391" s="182">
        <v>375.3</v>
      </c>
      <c r="O391">
        <v>18.106000000000002</v>
      </c>
      <c r="P391" t="s">
        <v>9140</v>
      </c>
    </row>
    <row r="392" spans="1:16" ht="14.4" x14ac:dyDescent="0.3">
      <c r="A392" s="310">
        <v>89109</v>
      </c>
      <c r="B392" t="str">
        <f t="shared" si="12"/>
        <v>SEVROLL 01025 Gemini horní vedení 2,35m stříbrná</v>
      </c>
      <c r="C392" s="185">
        <f t="shared" si="13"/>
        <v>72.115889999999993</v>
      </c>
      <c r="D392" s="407" t="s">
        <v>2634</v>
      </c>
      <c r="E392" s="407" t="s">
        <v>4449</v>
      </c>
      <c r="F392" s="407" t="s">
        <v>4450</v>
      </c>
      <c r="G392" s="407" t="s">
        <v>2634</v>
      </c>
      <c r="H392" s="460">
        <v>543.53472999999997</v>
      </c>
      <c r="I392" s="460">
        <v>19.54297</v>
      </c>
      <c r="J392" s="460">
        <v>72.115889999999993</v>
      </c>
      <c r="K392" s="460">
        <v>7521.8103799999999</v>
      </c>
      <c r="L392" s="459" t="s">
        <v>538</v>
      </c>
      <c r="M392" s="309" t="s">
        <v>571</v>
      </c>
      <c r="N392" s="182">
        <v>377.60739999999998</v>
      </c>
      <c r="O392">
        <v>19.315999999999999</v>
      </c>
      <c r="P392" t="s">
        <v>9141</v>
      </c>
    </row>
    <row r="393" spans="1:16" ht="14.4" x14ac:dyDescent="0.3">
      <c r="A393" s="310">
        <v>135538</v>
      </c>
      <c r="B393" t="str">
        <f t="shared" si="12"/>
        <v>SEVROLL Victoria II rączka 18mm 2,7m złoty</v>
      </c>
      <c r="C393" s="185" t="e">
        <f t="shared" si="13"/>
        <v>#N/A</v>
      </c>
      <c r="D393" s="407" t="s">
        <v>2867</v>
      </c>
      <c r="E393" s="407" t="s">
        <v>4451</v>
      </c>
      <c r="F393" s="407" t="s">
        <v>1044</v>
      </c>
      <c r="G393" s="407" t="s">
        <v>4452</v>
      </c>
      <c r="H393" s="460" t="e">
        <v>#N/A</v>
      </c>
      <c r="I393" s="460" t="e">
        <v>#N/A</v>
      </c>
      <c r="J393" s="460" t="e">
        <v>#N/A</v>
      </c>
      <c r="K393" s="460" t="e">
        <v>#N/A</v>
      </c>
      <c r="L393" s="459" t="e">
        <v>#N/A</v>
      </c>
      <c r="M393" s="309" t="s">
        <v>571</v>
      </c>
      <c r="N393" s="182">
        <v>378.26069999999999</v>
      </c>
      <c r="O393" t="e">
        <v>#N/A</v>
      </c>
      <c r="P393" t="e">
        <v>#N/A</v>
      </c>
    </row>
    <row r="394" spans="1:16" ht="14.4" x14ac:dyDescent="0.3">
      <c r="A394" s="310">
        <v>308657</v>
      </c>
      <c r="B394" t="str">
        <f t="shared" si="12"/>
        <v>SEVROLL Gemini II tor dolny 3m jasny brąz</v>
      </c>
      <c r="C394" s="185">
        <f t="shared" si="13"/>
        <v>64.966210000000004</v>
      </c>
      <c r="D394" s="407" t="s">
        <v>3309</v>
      </c>
      <c r="E394" s="407" t="s">
        <v>4453</v>
      </c>
      <c r="F394" s="407" t="s">
        <v>4454</v>
      </c>
      <c r="G394" s="407" t="s">
        <v>4455</v>
      </c>
      <c r="H394" s="460">
        <v>525.44104000000004</v>
      </c>
      <c r="I394" s="460">
        <v>18.892410000000002</v>
      </c>
      <c r="J394" s="460">
        <v>64.966210000000004</v>
      </c>
      <c r="K394" s="460">
        <v>7271.4172099999996</v>
      </c>
      <c r="L394" s="459" t="s">
        <v>538</v>
      </c>
      <c r="M394" s="309" t="s">
        <v>571</v>
      </c>
      <c r="N394" s="182">
        <v>379.56729999999999</v>
      </c>
      <c r="O394">
        <v>16.940000000000001</v>
      </c>
      <c r="P394" t="s">
        <v>9142</v>
      </c>
    </row>
    <row r="395" spans="1:16" ht="14.4" x14ac:dyDescent="0.3">
      <c r="A395" s="310">
        <v>252569</v>
      </c>
      <c r="B395" t="str">
        <f t="shared" si="12"/>
        <v>SEVROLL Faworyt II rączka 2,7m biały połysk</v>
      </c>
      <c r="C395" s="185">
        <f t="shared" si="13"/>
        <v>60.088200000000001</v>
      </c>
      <c r="D395" s="407" t="s">
        <v>3196</v>
      </c>
      <c r="E395" s="407" t="s">
        <v>4456</v>
      </c>
      <c r="F395" s="407" t="s">
        <v>4457</v>
      </c>
      <c r="G395" s="407" t="s">
        <v>4458</v>
      </c>
      <c r="H395" s="460">
        <v>455.23748000000001</v>
      </c>
      <c r="I395" s="460">
        <v>16.368220000000001</v>
      </c>
      <c r="J395" s="460">
        <v>60.088200000000001</v>
      </c>
      <c r="K395" s="460">
        <v>6299.8920699999999</v>
      </c>
      <c r="L395" s="459" t="s">
        <v>538</v>
      </c>
      <c r="M395" s="309" t="s">
        <v>571</v>
      </c>
      <c r="N395" s="182">
        <v>380.87389999999999</v>
      </c>
      <c r="O395">
        <v>16.126000000000001</v>
      </c>
      <c r="P395" t="s">
        <v>9143</v>
      </c>
    </row>
    <row r="396" spans="1:16" ht="14.4" x14ac:dyDescent="0.3">
      <c r="A396" s="310">
        <v>135345</v>
      </c>
      <c r="B396" t="str">
        <f t="shared" si="12"/>
        <v>SEVROLL Julia II rączka 2,7m złoty</v>
      </c>
      <c r="C396" s="185" t="e">
        <f t="shared" si="13"/>
        <v>#N/A</v>
      </c>
      <c r="D396" s="407" t="s">
        <v>2857</v>
      </c>
      <c r="E396" s="407" t="s">
        <v>4459</v>
      </c>
      <c r="F396" s="407" t="s">
        <v>1145</v>
      </c>
      <c r="G396" s="407" t="s">
        <v>4460</v>
      </c>
      <c r="H396" s="460" t="e">
        <v>#N/A</v>
      </c>
      <c r="I396" s="460" t="e">
        <v>#N/A</v>
      </c>
      <c r="J396" s="460" t="e">
        <v>#N/A</v>
      </c>
      <c r="K396" s="460" t="e">
        <v>#N/A</v>
      </c>
      <c r="L396" s="459" t="e">
        <v>#N/A</v>
      </c>
      <c r="M396" s="309" t="s">
        <v>571</v>
      </c>
      <c r="N396" s="182">
        <v>381.52719999999999</v>
      </c>
      <c r="O396" t="e">
        <v>#N/A</v>
      </c>
      <c r="P396" t="e">
        <v>#N/A</v>
      </c>
    </row>
    <row r="397" spans="1:16" ht="14.4" x14ac:dyDescent="0.3">
      <c r="A397" s="310">
        <v>135367</v>
      </c>
      <c r="B397" t="str">
        <f t="shared" si="12"/>
        <v>SEVROLL Romeo II rączka 2,7m złoty</v>
      </c>
      <c r="C397" s="185" t="e">
        <f t="shared" si="13"/>
        <v>#N/A</v>
      </c>
      <c r="D397" s="407" t="s">
        <v>2860</v>
      </c>
      <c r="E397" s="407" t="s">
        <v>4461</v>
      </c>
      <c r="F397" s="407" t="s">
        <v>1104</v>
      </c>
      <c r="G397" s="407" t="s">
        <v>4462</v>
      </c>
      <c r="H397" s="460" t="e">
        <v>#N/A</v>
      </c>
      <c r="I397" s="460" t="e">
        <v>#N/A</v>
      </c>
      <c r="J397" s="460" t="e">
        <v>#N/A</v>
      </c>
      <c r="K397" s="460" t="e">
        <v>#N/A</v>
      </c>
      <c r="L397" s="459" t="e">
        <v>#N/A</v>
      </c>
      <c r="M397" s="309" t="s">
        <v>571</v>
      </c>
      <c r="N397" s="182">
        <v>381.52719999999999</v>
      </c>
      <c r="O397" t="e">
        <v>#N/A</v>
      </c>
      <c r="P397" t="e">
        <v>#N/A</v>
      </c>
    </row>
    <row r="398" spans="1:16" ht="14.4" x14ac:dyDescent="0.3">
      <c r="A398" s="313">
        <v>134487</v>
      </c>
      <c r="B398" t="str">
        <f t="shared" si="12"/>
        <v>SEVROLL Ursus tor górny 1,8m surowy</v>
      </c>
      <c r="C398" s="185" t="e">
        <f t="shared" si="13"/>
        <v>#N/A</v>
      </c>
      <c r="D398" s="407" t="s">
        <v>2840</v>
      </c>
      <c r="E398" s="407" t="s">
        <v>4463</v>
      </c>
      <c r="F398" s="407" t="s">
        <v>4464</v>
      </c>
      <c r="G398" s="407" t="s">
        <v>4465</v>
      </c>
      <c r="H398" s="460" t="e">
        <v>#N/A</v>
      </c>
      <c r="I398" s="460" t="e">
        <v>#N/A</v>
      </c>
      <c r="J398" s="460" t="e">
        <v>#N/A</v>
      </c>
      <c r="K398" s="460" t="e">
        <v>#N/A</v>
      </c>
      <c r="L398" s="459" t="e">
        <v>#N/A</v>
      </c>
      <c r="M398" s="314" t="s">
        <v>571</v>
      </c>
      <c r="N398" s="182">
        <v>385.57765999999998</v>
      </c>
      <c r="O398" t="e">
        <v>#N/A</v>
      </c>
      <c r="P398" t="e">
        <v>#N/A</v>
      </c>
    </row>
    <row r="399" spans="1:16" ht="14.4" x14ac:dyDescent="0.3">
      <c r="A399" s="310">
        <v>349799</v>
      </c>
      <c r="B399" t="str">
        <f t="shared" si="12"/>
        <v>SEVROLL Blue tor górny 2,5m srebrny</v>
      </c>
      <c r="C399" s="185">
        <f t="shared" si="13"/>
        <v>67.065889999999996</v>
      </c>
      <c r="D399" s="407" t="s">
        <v>3393</v>
      </c>
      <c r="E399" s="407" t="s">
        <v>4466</v>
      </c>
      <c r="F399" s="407" t="s">
        <v>4467</v>
      </c>
      <c r="G399" s="407" t="s">
        <v>4468</v>
      </c>
      <c r="H399" s="460">
        <v>519.05488000000003</v>
      </c>
      <c r="I399" s="460">
        <v>18.866389999999999</v>
      </c>
      <c r="J399" s="460">
        <v>67.065889999999996</v>
      </c>
      <c r="K399" s="460">
        <v>7375.3059899999998</v>
      </c>
      <c r="L399" s="459" t="s">
        <v>539</v>
      </c>
      <c r="M399" s="309" t="s">
        <v>571</v>
      </c>
      <c r="N399" s="182">
        <v>385.80840000000001</v>
      </c>
      <c r="O399">
        <v>19.536000000000001</v>
      </c>
      <c r="P399" t="s">
        <v>9144</v>
      </c>
    </row>
    <row r="400" spans="1:16" ht="14.4" x14ac:dyDescent="0.3">
      <c r="A400" s="311">
        <v>248418</v>
      </c>
      <c r="B400" t="e">
        <f t="shared" si="12"/>
        <v>#N/A</v>
      </c>
      <c r="C400" s="185" t="e">
        <f t="shared" si="13"/>
        <v>#N/A</v>
      </c>
      <c r="D400" s="407" t="e">
        <v>#N/A</v>
      </c>
      <c r="E400" s="407" t="e">
        <v>#N/A</v>
      </c>
      <c r="F400" s="407" t="e">
        <v>#N/A</v>
      </c>
      <c r="G400" s="407" t="e">
        <v>#N/A</v>
      </c>
      <c r="H400" s="460" t="e">
        <v>#N/A</v>
      </c>
      <c r="I400" s="460" t="e">
        <v>#N/A</v>
      </c>
      <c r="J400" s="460" t="e">
        <v>#N/A</v>
      </c>
      <c r="K400" s="460" t="e">
        <v>#N/A</v>
      </c>
      <c r="L400" s="459" t="e">
        <v>#N/A</v>
      </c>
      <c r="M400" s="312" t="s">
        <v>571</v>
      </c>
      <c r="N400" s="182">
        <v>387.47640000000001</v>
      </c>
      <c r="O400" t="e">
        <v>#N/A</v>
      </c>
      <c r="P400" t="e">
        <v>#N/A</v>
      </c>
    </row>
    <row r="401" spans="1:16" ht="14.4" x14ac:dyDescent="0.3">
      <c r="A401" s="313">
        <v>308673</v>
      </c>
      <c r="B401" t="str">
        <f t="shared" si="12"/>
        <v>SEVROLL Hide M tor dolny 6m srebrny</v>
      </c>
      <c r="C401" s="185">
        <f t="shared" si="13"/>
        <v>0</v>
      </c>
      <c r="D401" s="407" t="s">
        <v>3314</v>
      </c>
      <c r="E401" s="407" t="s">
        <v>4469</v>
      </c>
      <c r="F401" s="407" t="s">
        <v>4470</v>
      </c>
      <c r="G401" s="407" t="s">
        <v>4471</v>
      </c>
      <c r="H401" s="460">
        <v>464.99504999999999</v>
      </c>
      <c r="I401" s="460">
        <v>17.53923</v>
      </c>
      <c r="J401" s="460">
        <v>0</v>
      </c>
      <c r="K401" s="460">
        <v>6618.2350800000004</v>
      </c>
      <c r="L401" s="459" t="s">
        <v>539</v>
      </c>
      <c r="M401" s="314" t="s">
        <v>571</v>
      </c>
      <c r="N401" s="182">
        <v>388.1019</v>
      </c>
      <c r="O401">
        <v>16.411999999999999</v>
      </c>
      <c r="P401" t="s">
        <v>9145</v>
      </c>
    </row>
    <row r="402" spans="1:16" ht="14.4" x14ac:dyDescent="0.3">
      <c r="A402" s="310">
        <v>284974</v>
      </c>
      <c r="B402" t="str">
        <f t="shared" si="12"/>
        <v>SEVROLL Maxim II tor dolny 2,5m jasny brąz</v>
      </c>
      <c r="C402" s="185" t="e">
        <f t="shared" si="13"/>
        <v>#N/A</v>
      </c>
      <c r="D402" s="407" t="s">
        <v>3268</v>
      </c>
      <c r="E402" s="407" t="s">
        <v>4472</v>
      </c>
      <c r="F402" s="407" t="s">
        <v>1129</v>
      </c>
      <c r="G402" s="407" t="s">
        <v>4473</v>
      </c>
      <c r="H402" s="460" t="e">
        <v>#N/A</v>
      </c>
      <c r="I402" s="460" t="e">
        <v>#N/A</v>
      </c>
      <c r="J402" s="460" t="e">
        <v>#N/A</v>
      </c>
      <c r="K402" s="460" t="e">
        <v>#N/A</v>
      </c>
      <c r="L402" s="459" t="e">
        <v>#N/A</v>
      </c>
      <c r="M402" s="309" t="s">
        <v>571</v>
      </c>
      <c r="N402" s="182">
        <v>394.59320000000002</v>
      </c>
      <c r="O402" t="e">
        <v>#N/A</v>
      </c>
      <c r="P402" t="e">
        <v>#N/A</v>
      </c>
    </row>
    <row r="403" spans="1:16" ht="14.4" x14ac:dyDescent="0.3">
      <c r="A403" s="310">
        <v>276730</v>
      </c>
      <c r="B403" t="str">
        <f t="shared" si="12"/>
        <v>SEVROLL Alfa II rączka 18mm 2,7m biały połysk</v>
      </c>
      <c r="C403" s="185">
        <f t="shared" si="13"/>
        <v>66.463200000000001</v>
      </c>
      <c r="D403" s="407" t="s">
        <v>3211</v>
      </c>
      <c r="E403" s="407" t="s">
        <v>4474</v>
      </c>
      <c r="F403" s="407" t="s">
        <v>4475</v>
      </c>
      <c r="G403" s="407" t="s">
        <v>4476</v>
      </c>
      <c r="H403" s="460">
        <v>457.40872000000002</v>
      </c>
      <c r="I403" s="460">
        <v>16.446280000000002</v>
      </c>
      <c r="J403" s="460">
        <v>66.463200000000001</v>
      </c>
      <c r="K403" s="460">
        <v>6329.9391800000003</v>
      </c>
      <c r="L403" s="459" t="s">
        <v>538</v>
      </c>
      <c r="M403" s="309" t="s">
        <v>571</v>
      </c>
      <c r="N403" s="182">
        <v>395.89980000000003</v>
      </c>
      <c r="O403">
        <v>17.666</v>
      </c>
      <c r="P403" t="s">
        <v>9146</v>
      </c>
    </row>
    <row r="404" spans="1:16" ht="14.4" x14ac:dyDescent="0.3">
      <c r="A404" s="310">
        <v>212762</v>
      </c>
      <c r="B404" t="str">
        <f t="shared" si="12"/>
        <v>SEVROLL Line tor dolny 2m aluminium surowe</v>
      </c>
      <c r="C404" s="185" t="e">
        <f t="shared" si="13"/>
        <v>#N/A</v>
      </c>
      <c r="D404" s="407" t="s">
        <v>2994</v>
      </c>
      <c r="E404" s="407" t="s">
        <v>4477</v>
      </c>
      <c r="F404" s="407" t="s">
        <v>1138</v>
      </c>
      <c r="G404" s="407" t="s">
        <v>4478</v>
      </c>
      <c r="H404" s="460" t="e">
        <v>#N/A</v>
      </c>
      <c r="I404" s="460" t="e">
        <v>#N/A</v>
      </c>
      <c r="J404" s="460" t="e">
        <v>#N/A</v>
      </c>
      <c r="K404" s="460" t="e">
        <v>#N/A</v>
      </c>
      <c r="L404" s="459" t="e">
        <v>#N/A</v>
      </c>
      <c r="M404" s="309" t="s">
        <v>571</v>
      </c>
      <c r="N404" s="182">
        <v>397.20639999999997</v>
      </c>
      <c r="O404">
        <v>16.763999999999999</v>
      </c>
      <c r="P404" t="s">
        <v>9147</v>
      </c>
    </row>
    <row r="405" spans="1:16" ht="14.4" x14ac:dyDescent="0.3">
      <c r="A405" s="310">
        <v>135534</v>
      </c>
      <c r="B405" t="str">
        <f t="shared" si="12"/>
        <v>SEVROLL Victoria II rączka 18mm 2,7m jasny brąz</v>
      </c>
      <c r="C405" s="185">
        <f t="shared" si="13"/>
        <v>70.961690000000004</v>
      </c>
      <c r="D405" s="407" t="s">
        <v>2866</v>
      </c>
      <c r="E405" s="407" t="s">
        <v>4479</v>
      </c>
      <c r="F405" s="407" t="s">
        <v>2866</v>
      </c>
      <c r="G405" s="407" t="s">
        <v>4480</v>
      </c>
      <c r="H405" s="460">
        <v>573.93214</v>
      </c>
      <c r="I405" s="460">
        <v>20.635919999999999</v>
      </c>
      <c r="J405" s="460">
        <v>70.961690000000004</v>
      </c>
      <c r="K405" s="460">
        <v>7942.4709800000001</v>
      </c>
      <c r="L405" s="459" t="s">
        <v>538</v>
      </c>
      <c r="M405" s="309" t="s">
        <v>571</v>
      </c>
      <c r="N405" s="182">
        <v>397.20639999999997</v>
      </c>
      <c r="O405">
        <v>18.710999999999999</v>
      </c>
      <c r="P405" t="s">
        <v>9148</v>
      </c>
    </row>
    <row r="406" spans="1:16" ht="14.4" x14ac:dyDescent="0.3">
      <c r="A406" s="310">
        <v>163134</v>
      </c>
      <c r="B406" t="str">
        <f t="shared" si="12"/>
        <v>SEVROLL Doubler II maskownica 6m jasny brąz</v>
      </c>
      <c r="C406" s="185">
        <f t="shared" si="13"/>
        <v>0</v>
      </c>
      <c r="D406" s="407" t="s">
        <v>2901</v>
      </c>
      <c r="E406" s="407" t="s">
        <v>4481</v>
      </c>
      <c r="F406" s="407" t="s">
        <v>2901</v>
      </c>
      <c r="G406" s="407" t="s">
        <v>4482</v>
      </c>
      <c r="H406" s="460">
        <v>560.18092999999999</v>
      </c>
      <c r="I406" s="460">
        <v>20.141490000000001</v>
      </c>
      <c r="J406" s="460">
        <v>0</v>
      </c>
      <c r="K406" s="460">
        <v>7752.1724100000001</v>
      </c>
      <c r="L406" s="459" t="s">
        <v>539</v>
      </c>
      <c r="M406" s="309" t="s">
        <v>571</v>
      </c>
      <c r="N406" s="182">
        <v>397.85969999999998</v>
      </c>
      <c r="O406">
        <v>17.027999999999999</v>
      </c>
      <c r="P406" t="s">
        <v>9149</v>
      </c>
    </row>
    <row r="407" spans="1:16" ht="14.4" x14ac:dyDescent="0.3">
      <c r="A407" s="310">
        <v>135342</v>
      </c>
      <c r="B407" t="str">
        <f t="shared" si="12"/>
        <v>SEVROLL 02711 Julia II rączka 2,7m Oliwka</v>
      </c>
      <c r="C407" s="185">
        <f t="shared" si="13"/>
        <v>74.899050000000003</v>
      </c>
      <c r="D407" s="407" t="s">
        <v>2855</v>
      </c>
      <c r="E407" s="407" t="s">
        <v>4483</v>
      </c>
      <c r="F407" s="407" t="s">
        <v>1236</v>
      </c>
      <c r="G407" s="407" t="s">
        <v>4484</v>
      </c>
      <c r="H407" s="460">
        <v>605.77706999999998</v>
      </c>
      <c r="I407" s="460">
        <v>21.780919999999998</v>
      </c>
      <c r="J407" s="460">
        <v>74.899050000000003</v>
      </c>
      <c r="K407" s="460">
        <v>8383.1630999999998</v>
      </c>
      <c r="L407" s="459" t="s">
        <v>538</v>
      </c>
      <c r="M407" s="309" t="s">
        <v>571</v>
      </c>
      <c r="N407" s="182">
        <v>400.47289999999998</v>
      </c>
      <c r="O407">
        <v>18.853999999999999</v>
      </c>
      <c r="P407" t="s">
        <v>9150</v>
      </c>
    </row>
    <row r="408" spans="1:16" ht="14.4" x14ac:dyDescent="0.3">
      <c r="A408" s="310">
        <v>135365</v>
      </c>
      <c r="B408" t="str">
        <f t="shared" si="12"/>
        <v>SEVROLL Romeo II rączka 2,7m jasny brąz</v>
      </c>
      <c r="C408" s="185">
        <f t="shared" si="13"/>
        <v>76.688749999999999</v>
      </c>
      <c r="D408" s="407" t="s">
        <v>2858</v>
      </c>
      <c r="E408" s="407" t="s">
        <v>4485</v>
      </c>
      <c r="F408" s="407" t="s">
        <v>1211</v>
      </c>
      <c r="G408" s="407" t="s">
        <v>4486</v>
      </c>
      <c r="H408" s="460">
        <v>620.25202999999999</v>
      </c>
      <c r="I408" s="460">
        <v>22.301369999999999</v>
      </c>
      <c r="J408" s="460">
        <v>76.688749999999999</v>
      </c>
      <c r="K408" s="460">
        <v>8583.4776099999999</v>
      </c>
      <c r="L408" s="459" t="s">
        <v>538</v>
      </c>
      <c r="M408" s="309" t="s">
        <v>571</v>
      </c>
      <c r="N408" s="182">
        <v>400.47289999999998</v>
      </c>
      <c r="O408">
        <v>18.853999999999999</v>
      </c>
      <c r="P408" t="s">
        <v>9151</v>
      </c>
    </row>
    <row r="409" spans="1:16" ht="14.4" x14ac:dyDescent="0.3">
      <c r="A409" s="310">
        <v>224157</v>
      </c>
      <c r="B409" t="str">
        <f t="shared" si="12"/>
        <v>SEVROLL maskownica dolna Simple/Blue 2,5 m (do płyty laminowanej 10 mm) oliwka</v>
      </c>
      <c r="C409" s="185" t="e">
        <f t="shared" si="13"/>
        <v>#N/A</v>
      </c>
      <c r="D409" s="407" t="s">
        <v>3123</v>
      </c>
      <c r="E409" s="407" t="s">
        <v>4487</v>
      </c>
      <c r="F409" s="407" t="s">
        <v>4488</v>
      </c>
      <c r="G409" s="407" t="s">
        <v>4489</v>
      </c>
      <c r="H409" s="460" t="e">
        <v>#N/A</v>
      </c>
      <c r="I409" s="460" t="e">
        <v>#N/A</v>
      </c>
      <c r="J409" s="460" t="e">
        <v>#N/A</v>
      </c>
      <c r="K409" s="460" t="e">
        <v>#N/A</v>
      </c>
      <c r="L409" s="459" t="e">
        <v>#N/A</v>
      </c>
      <c r="M409" s="309" t="s">
        <v>571</v>
      </c>
      <c r="N409" s="182">
        <v>400.82040000000001</v>
      </c>
      <c r="O409" t="e">
        <v>#N/A</v>
      </c>
      <c r="P409" t="e">
        <v>#N/A</v>
      </c>
    </row>
    <row r="410" spans="1:16" ht="14.4" x14ac:dyDescent="0.3">
      <c r="A410" s="310">
        <v>90105</v>
      </c>
      <c r="B410" t="str">
        <f t="shared" si="12"/>
        <v>SEVROLL Universal 18 rączka 2,7 m, jasny brąz</v>
      </c>
      <c r="C410" s="185">
        <f t="shared" si="13"/>
        <v>72.303970000000007</v>
      </c>
      <c r="D410" s="407" t="s">
        <v>3488</v>
      </c>
      <c r="E410" s="407" t="s">
        <v>4490</v>
      </c>
      <c r="F410" s="407" t="s">
        <v>3488</v>
      </c>
      <c r="G410" s="407" t="s">
        <v>4491</v>
      </c>
      <c r="H410" s="460">
        <v>584.78836999999999</v>
      </c>
      <c r="I410" s="460">
        <v>21.013249999999999</v>
      </c>
      <c r="J410" s="460">
        <v>72.303970000000007</v>
      </c>
      <c r="K410" s="460">
        <v>8092.7068799999997</v>
      </c>
      <c r="L410" s="459" t="s">
        <v>538</v>
      </c>
      <c r="M410" s="309" t="s">
        <v>571</v>
      </c>
      <c r="N410" s="182">
        <v>402.43279999999999</v>
      </c>
      <c r="O410">
        <v>16.456</v>
      </c>
      <c r="P410" t="s">
        <v>9152</v>
      </c>
    </row>
    <row r="411" spans="1:16" ht="14.4" x14ac:dyDescent="0.3">
      <c r="A411" s="313">
        <v>223507</v>
      </c>
      <c r="B411" t="str">
        <f t="shared" si="12"/>
        <v>SEVROLL Herkules 2 tor górny 1,5 m alu</v>
      </c>
      <c r="C411" s="185" t="e">
        <f t="shared" si="13"/>
        <v>#N/A</v>
      </c>
      <c r="D411" s="407" t="s">
        <v>3050</v>
      </c>
      <c r="E411" s="407" t="s">
        <v>4492</v>
      </c>
      <c r="F411" s="407" t="s">
        <v>4493</v>
      </c>
      <c r="G411" s="407" t="s">
        <v>4494</v>
      </c>
      <c r="H411" s="460" t="e">
        <v>#N/A</v>
      </c>
      <c r="I411" s="460" t="e">
        <v>#N/A</v>
      </c>
      <c r="J411" s="460" t="e">
        <v>#N/A</v>
      </c>
      <c r="K411" s="460" t="e">
        <v>#N/A</v>
      </c>
      <c r="L411" s="459" t="e">
        <v>#N/A</v>
      </c>
      <c r="M411" s="314" t="s">
        <v>571</v>
      </c>
      <c r="N411" s="182">
        <v>403.24734000000001</v>
      </c>
      <c r="O411" t="e">
        <v>#N/A</v>
      </c>
      <c r="P411" t="e">
        <v>#N/A</v>
      </c>
    </row>
    <row r="412" spans="1:16" ht="14.4" x14ac:dyDescent="0.3">
      <c r="A412" s="310">
        <v>224120</v>
      </c>
      <c r="B412" t="str">
        <f t="shared" si="12"/>
        <v>SEVROLL Simple tor górny 2,5 m oliwka</v>
      </c>
      <c r="C412" s="185" t="e">
        <f t="shared" si="13"/>
        <v>#N/A</v>
      </c>
      <c r="D412" s="407" t="s">
        <v>3094</v>
      </c>
      <c r="E412" s="407" t="s">
        <v>4495</v>
      </c>
      <c r="F412" s="407" t="s">
        <v>4496</v>
      </c>
      <c r="G412" s="407" t="s">
        <v>4497</v>
      </c>
      <c r="H412" s="460" t="e">
        <v>#N/A</v>
      </c>
      <c r="I412" s="460" t="e">
        <v>#N/A</v>
      </c>
      <c r="J412" s="460" t="e">
        <v>#N/A</v>
      </c>
      <c r="K412" s="460" t="e">
        <v>#N/A</v>
      </c>
      <c r="L412" s="459" t="e">
        <v>#N/A</v>
      </c>
      <c r="M412" s="309" t="s">
        <v>571</v>
      </c>
      <c r="N412" s="182">
        <v>407.57580000000002</v>
      </c>
      <c r="O412" t="e">
        <v>#N/A</v>
      </c>
      <c r="P412" t="e">
        <v>#N/A</v>
      </c>
    </row>
    <row r="413" spans="1:16" ht="14.4" x14ac:dyDescent="0.3">
      <c r="A413" s="310">
        <v>349869</v>
      </c>
      <c r="B413" t="str">
        <f t="shared" si="12"/>
        <v>SEVROLL Blue-C tor dolny 6m jasny brąz</v>
      </c>
      <c r="C413" s="185" t="e">
        <f t="shared" si="13"/>
        <v>#N/A</v>
      </c>
      <c r="D413" s="407" t="s">
        <v>3423</v>
      </c>
      <c r="E413" s="407" t="s">
        <v>4498</v>
      </c>
      <c r="F413" s="407" t="s">
        <v>4499</v>
      </c>
      <c r="G413" s="407" t="s">
        <v>4500</v>
      </c>
      <c r="H413" s="460" t="e">
        <v>#N/A</v>
      </c>
      <c r="I413" s="460" t="e">
        <v>#N/A</v>
      </c>
      <c r="J413" s="460" t="e">
        <v>#N/A</v>
      </c>
      <c r="K413" s="460" t="e">
        <v>#N/A</v>
      </c>
      <c r="L413" s="459" t="e">
        <v>#N/A</v>
      </c>
      <c r="M413" s="309" t="s">
        <v>571</v>
      </c>
      <c r="N413" s="182">
        <v>409.82760000000002</v>
      </c>
      <c r="O413">
        <v>20.239999999999998</v>
      </c>
      <c r="P413" t="s">
        <v>9153</v>
      </c>
    </row>
    <row r="414" spans="1:16" ht="14.4" x14ac:dyDescent="0.3">
      <c r="A414" s="310">
        <v>98072</v>
      </c>
      <c r="B414" t="str">
        <f t="shared" si="12"/>
        <v>SEVROLL Gemini-2 rączka 2,7m złoty</v>
      </c>
      <c r="C414" s="185" t="e">
        <f t="shared" si="13"/>
        <v>#N/A</v>
      </c>
      <c r="D414" s="407" t="s">
        <v>2776</v>
      </c>
      <c r="E414" s="407" t="s">
        <v>4501</v>
      </c>
      <c r="F414" s="407" t="s">
        <v>1162</v>
      </c>
      <c r="G414" s="407" t="s">
        <v>4502</v>
      </c>
      <c r="H414" s="460" t="e">
        <v>#N/A</v>
      </c>
      <c r="I414" s="460" t="e">
        <v>#N/A</v>
      </c>
      <c r="J414" s="460" t="e">
        <v>#N/A</v>
      </c>
      <c r="K414" s="460" t="e">
        <v>#N/A</v>
      </c>
      <c r="L414" s="459" t="e">
        <v>#N/A</v>
      </c>
      <c r="M414" s="309" t="s">
        <v>571</v>
      </c>
      <c r="N414" s="182">
        <v>414.19220000000001</v>
      </c>
      <c r="O414">
        <v>20.504000000000001</v>
      </c>
      <c r="P414" t="s">
        <v>9154</v>
      </c>
    </row>
    <row r="415" spans="1:16" ht="14.4" x14ac:dyDescent="0.3">
      <c r="A415" s="310">
        <v>98075</v>
      </c>
      <c r="B415" t="str">
        <f t="shared" si="12"/>
        <v>SEVROLL System 10 II rączka 2,7m złoty</v>
      </c>
      <c r="C415" s="185">
        <f t="shared" si="13"/>
        <v>82.701599999999999</v>
      </c>
      <c r="D415" s="407" t="s">
        <v>2779</v>
      </c>
      <c r="E415" s="407" t="s">
        <v>4503</v>
      </c>
      <c r="F415" s="407" t="s">
        <v>1096</v>
      </c>
      <c r="G415" s="407" t="s">
        <v>4504</v>
      </c>
      <c r="H415" s="460">
        <v>654.26815999999997</v>
      </c>
      <c r="I415" s="460">
        <v>23.524429999999999</v>
      </c>
      <c r="J415" s="460">
        <v>82.701599999999999</v>
      </c>
      <c r="K415" s="460">
        <v>9054.2168399999991</v>
      </c>
      <c r="L415" s="459" t="s">
        <v>539</v>
      </c>
      <c r="M415" s="309" t="s">
        <v>571</v>
      </c>
      <c r="N415" s="182">
        <v>414.19220000000001</v>
      </c>
      <c r="O415">
        <v>19.888000000000002</v>
      </c>
      <c r="P415" t="s">
        <v>9155</v>
      </c>
    </row>
    <row r="416" spans="1:16" ht="14.4" x14ac:dyDescent="0.3">
      <c r="A416" s="310">
        <v>205160</v>
      </c>
      <c r="B416" t="str">
        <f t="shared" si="12"/>
        <v>SEVROLL listwa łącząca H10 3 m oliwka ciemna szczotkowana</v>
      </c>
      <c r="C416" s="185" t="e">
        <f t="shared" si="13"/>
        <v>#N/A</v>
      </c>
      <c r="D416" s="407" t="s">
        <v>2968</v>
      </c>
      <c r="E416" s="407" t="s">
        <v>4505</v>
      </c>
      <c r="F416" s="407" t="s">
        <v>4506</v>
      </c>
      <c r="G416" s="407" t="s">
        <v>4507</v>
      </c>
      <c r="H416" s="460" t="e">
        <v>#N/A</v>
      </c>
      <c r="I416" s="460" t="e">
        <v>#N/A</v>
      </c>
      <c r="J416" s="460" t="e">
        <v>#N/A</v>
      </c>
      <c r="K416" s="460" t="e">
        <v>#N/A</v>
      </c>
      <c r="L416" s="459" t="e">
        <v>#N/A</v>
      </c>
      <c r="M416" s="309" t="s">
        <v>571</v>
      </c>
      <c r="N416" s="182">
        <v>416.80540000000002</v>
      </c>
      <c r="O416">
        <v>19.25</v>
      </c>
      <c r="P416" t="s">
        <v>9156</v>
      </c>
    </row>
    <row r="417" spans="1:16" ht="14.4" x14ac:dyDescent="0.3">
      <c r="A417" s="310">
        <v>89255</v>
      </c>
      <c r="B417" t="str">
        <f t="shared" si="12"/>
        <v>SEVROLL listwa pozioma dolna 2,35m 10mm złoty</v>
      </c>
      <c r="C417" s="185">
        <f t="shared" si="13"/>
        <v>85.010859999999994</v>
      </c>
      <c r="D417" s="407" t="s">
        <v>2680</v>
      </c>
      <c r="E417" s="407" t="s">
        <v>4508</v>
      </c>
      <c r="F417" s="407" t="s">
        <v>4509</v>
      </c>
      <c r="G417" s="407" t="s">
        <v>4510</v>
      </c>
      <c r="H417" s="460">
        <v>687.56057999999996</v>
      </c>
      <c r="I417" s="460">
        <v>24.72147</v>
      </c>
      <c r="J417" s="460">
        <v>85.010859999999994</v>
      </c>
      <c r="K417" s="460">
        <v>9514.9400999999998</v>
      </c>
      <c r="L417" s="459" t="s">
        <v>539</v>
      </c>
      <c r="M417" s="309" t="s">
        <v>571</v>
      </c>
      <c r="N417" s="182">
        <v>424.64499999999998</v>
      </c>
      <c r="O417">
        <v>19.998000000000001</v>
      </c>
      <c r="P417" t="s">
        <v>9157</v>
      </c>
    </row>
    <row r="418" spans="1:16" ht="14.4" x14ac:dyDescent="0.3">
      <c r="A418" s="310">
        <v>98062</v>
      </c>
      <c r="B418" t="str">
        <f t="shared" si="12"/>
        <v>SEVROLL Prince 01 rączka 2,7m srebrny</v>
      </c>
      <c r="C418" s="185" t="e">
        <f t="shared" si="13"/>
        <v>#N/A</v>
      </c>
      <c r="D418" s="407" t="s">
        <v>2771</v>
      </c>
      <c r="E418" s="407" t="s">
        <v>4511</v>
      </c>
      <c r="F418" s="407" t="s">
        <v>4512</v>
      </c>
      <c r="G418" s="407" t="s">
        <v>4513</v>
      </c>
      <c r="H418" s="460" t="e">
        <v>#N/A</v>
      </c>
      <c r="I418" s="460" t="e">
        <v>#N/A</v>
      </c>
      <c r="J418" s="460" t="e">
        <v>#N/A</v>
      </c>
      <c r="K418" s="460" t="e">
        <v>#N/A</v>
      </c>
      <c r="L418" s="459" t="e">
        <v>#N/A</v>
      </c>
      <c r="M418" s="309" t="s">
        <v>571</v>
      </c>
      <c r="N418" s="182">
        <v>424.70337999999998</v>
      </c>
      <c r="O418">
        <v>18.722000000000001</v>
      </c>
      <c r="P418" t="s">
        <v>9158</v>
      </c>
    </row>
    <row r="419" spans="1:16" ht="14.4" x14ac:dyDescent="0.3">
      <c r="A419" s="310">
        <v>163107</v>
      </c>
      <c r="B419" t="str">
        <f t="shared" si="12"/>
        <v>SEVROLL 02850 Doubler II tor dolny 2,35m srebrny</v>
      </c>
      <c r="C419" s="185">
        <f t="shared" si="13"/>
        <v>73.745999999999995</v>
      </c>
      <c r="D419" s="407" t="s">
        <v>2884</v>
      </c>
      <c r="E419" s="407" t="s">
        <v>4514</v>
      </c>
      <c r="F419" s="407" t="s">
        <v>1256</v>
      </c>
      <c r="G419" s="407" t="s">
        <v>4515</v>
      </c>
      <c r="H419" s="460">
        <v>557.28593999999998</v>
      </c>
      <c r="I419" s="460">
        <v>20.037400000000002</v>
      </c>
      <c r="J419" s="460">
        <v>73.745999999999995</v>
      </c>
      <c r="K419" s="460">
        <v>7712.1093300000002</v>
      </c>
      <c r="L419" s="459" t="s">
        <v>538</v>
      </c>
      <c r="M419" s="309" t="s">
        <v>571</v>
      </c>
      <c r="N419" s="182">
        <v>425.29829999999998</v>
      </c>
      <c r="O419">
        <v>19.8</v>
      </c>
      <c r="P419" t="s">
        <v>9159</v>
      </c>
    </row>
    <row r="420" spans="1:16" ht="14.4" x14ac:dyDescent="0.3">
      <c r="A420" s="310">
        <v>349800</v>
      </c>
      <c r="B420" t="str">
        <f t="shared" si="12"/>
        <v>SEVROLL Blue tor górny 2,5m jasny brąz</v>
      </c>
      <c r="C420" s="185">
        <f t="shared" si="13"/>
        <v>79.111639999999994</v>
      </c>
      <c r="D420" s="407" t="s">
        <v>3394</v>
      </c>
      <c r="E420" s="407" t="s">
        <v>4516</v>
      </c>
      <c r="F420" s="407" t="s">
        <v>4517</v>
      </c>
      <c r="G420" s="407" t="s">
        <v>4518</v>
      </c>
      <c r="H420" s="460">
        <v>648.63960999999995</v>
      </c>
      <c r="I420" s="460">
        <v>23.57648</v>
      </c>
      <c r="J420" s="460">
        <v>79.111639999999994</v>
      </c>
      <c r="K420" s="460">
        <v>9216.5891300000003</v>
      </c>
      <c r="L420" s="459" t="s">
        <v>539</v>
      </c>
      <c r="M420" s="309" t="s">
        <v>571</v>
      </c>
      <c r="N420" s="182">
        <v>425.59019999999998</v>
      </c>
      <c r="O420">
        <v>20.768000000000001</v>
      </c>
      <c r="P420" t="s">
        <v>9160</v>
      </c>
    </row>
    <row r="421" spans="1:16" ht="14.4" x14ac:dyDescent="0.3">
      <c r="A421" s="310">
        <v>224013</v>
      </c>
      <c r="B421" t="str">
        <f t="shared" si="12"/>
        <v>SEVROLL Simple tor górny 3 m srebrny</v>
      </c>
      <c r="C421" s="185">
        <f t="shared" si="13"/>
        <v>78.849220000000003</v>
      </c>
      <c r="D421" s="407" t="s">
        <v>3085</v>
      </c>
      <c r="E421" s="407" t="s">
        <v>4519</v>
      </c>
      <c r="F421" s="407" t="s">
        <v>4520</v>
      </c>
      <c r="G421" s="407" t="s">
        <v>4521</v>
      </c>
      <c r="H421" s="460">
        <v>590.64865999999995</v>
      </c>
      <c r="I421" s="460">
        <v>21.46865</v>
      </c>
      <c r="J421" s="460">
        <v>78.849220000000003</v>
      </c>
      <c r="K421" s="460">
        <v>8392.5895899999996</v>
      </c>
      <c r="L421" s="459" t="s">
        <v>539</v>
      </c>
      <c r="M421" s="309" t="s">
        <v>571</v>
      </c>
      <c r="N421" s="182">
        <v>425.59019999999998</v>
      </c>
      <c r="O421">
        <v>21.186</v>
      </c>
      <c r="P421" t="s">
        <v>9161</v>
      </c>
    </row>
    <row r="422" spans="1:16" ht="14.4" x14ac:dyDescent="0.3">
      <c r="A422" s="310">
        <v>102832</v>
      </c>
      <c r="B422" t="str">
        <f t="shared" si="12"/>
        <v>SEVROLL01884 Maxim listwa łącząca H25 2,5 m, srebrna</v>
      </c>
      <c r="C422" s="185" t="e">
        <f t="shared" si="13"/>
        <v>#N/A</v>
      </c>
      <c r="D422" s="407" t="s">
        <v>2807</v>
      </c>
      <c r="E422" s="407" t="s">
        <v>4522</v>
      </c>
      <c r="F422" s="407" t="s">
        <v>4523</v>
      </c>
      <c r="G422" s="407" t="s">
        <v>4524</v>
      </c>
      <c r="H422" s="460" t="e">
        <v>#N/A</v>
      </c>
      <c r="I422" s="460" t="e">
        <v>#N/A</v>
      </c>
      <c r="J422" s="460" t="e">
        <v>#N/A</v>
      </c>
      <c r="K422" s="460" t="e">
        <v>#N/A</v>
      </c>
      <c r="L422" s="459" t="e">
        <v>#N/A</v>
      </c>
      <c r="M422" s="309" t="s">
        <v>571</v>
      </c>
      <c r="N422" s="182">
        <v>425.95159999999998</v>
      </c>
      <c r="O422" t="e">
        <v>#N/A</v>
      </c>
      <c r="P422" t="e">
        <v>#N/A</v>
      </c>
    </row>
    <row r="423" spans="1:16" ht="14.4" x14ac:dyDescent="0.3">
      <c r="A423" s="310">
        <v>98058</v>
      </c>
      <c r="B423" t="str">
        <f t="shared" si="12"/>
        <v>SEVROLL Gemini II tor dolny 4,05m srebrny</v>
      </c>
      <c r="C423" s="185">
        <f t="shared" si="13"/>
        <v>71.187690000000003</v>
      </c>
      <c r="D423" s="407" t="s">
        <v>2769</v>
      </c>
      <c r="E423" s="407" t="s">
        <v>4525</v>
      </c>
      <c r="F423" s="407" t="s">
        <v>4526</v>
      </c>
      <c r="G423" s="407" t="s">
        <v>4527</v>
      </c>
      <c r="H423" s="460">
        <v>536.29724999999996</v>
      </c>
      <c r="I423" s="460">
        <v>19.28275</v>
      </c>
      <c r="J423" s="460">
        <v>71.187690000000003</v>
      </c>
      <c r="K423" s="460">
        <v>7421.6531100000002</v>
      </c>
      <c r="L423" s="459" t="s">
        <v>538</v>
      </c>
      <c r="M423" s="309" t="s">
        <v>571</v>
      </c>
      <c r="N423" s="182">
        <v>426.60489999999999</v>
      </c>
      <c r="O423">
        <v>19.052</v>
      </c>
      <c r="P423" t="s">
        <v>9162</v>
      </c>
    </row>
    <row r="424" spans="1:16" ht="14.4" x14ac:dyDescent="0.3">
      <c r="A424" s="310">
        <v>276739</v>
      </c>
      <c r="B424" t="str">
        <f t="shared" si="12"/>
        <v>SEVROLL listwa łącząca H10 3m biały połysk</v>
      </c>
      <c r="C424" s="185">
        <f t="shared" si="13"/>
        <v>67.289400000000001</v>
      </c>
      <c r="D424" s="407" t="s">
        <v>3215</v>
      </c>
      <c r="E424" s="407" t="s">
        <v>4528</v>
      </c>
      <c r="F424" s="407" t="s">
        <v>4529</v>
      </c>
      <c r="G424" s="407" t="s">
        <v>4530</v>
      </c>
      <c r="H424" s="460">
        <v>440.03877999999997</v>
      </c>
      <c r="I424" s="460">
        <v>15.82174</v>
      </c>
      <c r="J424" s="460">
        <v>67.289400000000001</v>
      </c>
      <c r="K424" s="460">
        <v>6089.5615900000003</v>
      </c>
      <c r="L424" s="459" t="s">
        <v>538</v>
      </c>
      <c r="M424" s="309" t="s">
        <v>571</v>
      </c>
      <c r="N424" s="182">
        <v>427.91149999999999</v>
      </c>
      <c r="O424">
        <v>18.062000000000001</v>
      </c>
      <c r="P424" t="s">
        <v>9163</v>
      </c>
    </row>
    <row r="425" spans="1:16" ht="14.4" x14ac:dyDescent="0.3">
      <c r="A425" s="310">
        <v>205170</v>
      </c>
      <c r="B425" t="str">
        <f t="shared" si="12"/>
        <v>SEVROLL listwa pozioma dolna 1,7 m 10mm oliwka ciemna szczotkowana</v>
      </c>
      <c r="C425" s="185">
        <f t="shared" si="13"/>
        <v>76.599260000000001</v>
      </c>
      <c r="D425" s="407" t="s">
        <v>2978</v>
      </c>
      <c r="E425" s="407" t="s">
        <v>4531</v>
      </c>
      <c r="F425" s="407" t="s">
        <v>4532</v>
      </c>
      <c r="G425" s="407" t="s">
        <v>4533</v>
      </c>
      <c r="H425" s="460">
        <v>619.52828</v>
      </c>
      <c r="I425" s="460">
        <v>22.27535</v>
      </c>
      <c r="J425" s="460">
        <v>76.599260000000001</v>
      </c>
      <c r="K425" s="460">
        <v>8573.4616399999995</v>
      </c>
      <c r="L425" s="459" t="s">
        <v>539</v>
      </c>
      <c r="M425" s="309" t="s">
        <v>571</v>
      </c>
      <c r="N425" s="182">
        <v>429.21809999999999</v>
      </c>
      <c r="O425">
        <v>18.832000000000001</v>
      </c>
      <c r="P425" t="s">
        <v>9164</v>
      </c>
    </row>
    <row r="426" spans="1:16" ht="14.4" x14ac:dyDescent="0.3">
      <c r="A426" s="313">
        <v>225358</v>
      </c>
      <c r="B426" t="str">
        <f t="shared" si="12"/>
        <v>SEVROLL Exclusive tor górny 1,8m jasny brąz</v>
      </c>
      <c r="C426" s="185">
        <f t="shared" si="13"/>
        <v>80.880240000000001</v>
      </c>
      <c r="D426" s="407" t="s">
        <v>3127</v>
      </c>
      <c r="E426" s="407" t="s">
        <v>4534</v>
      </c>
      <c r="F426" s="407" t="s">
        <v>1174</v>
      </c>
      <c r="G426" s="407" t="s">
        <v>4535</v>
      </c>
      <c r="H426" s="460">
        <v>628.50221999999997</v>
      </c>
      <c r="I426" s="460">
        <v>23.706589999999998</v>
      </c>
      <c r="J426" s="460">
        <v>80.880240000000001</v>
      </c>
      <c r="K426" s="460">
        <v>8945.4182500000006</v>
      </c>
      <c r="L426" s="459" t="s">
        <v>539</v>
      </c>
      <c r="M426" s="314" t="s">
        <v>571</v>
      </c>
      <c r="N426" s="182">
        <v>430.38292000000001</v>
      </c>
      <c r="O426">
        <v>20.042000000000002</v>
      </c>
      <c r="P426" t="s">
        <v>9165</v>
      </c>
    </row>
    <row r="427" spans="1:16" ht="14.4" x14ac:dyDescent="0.3">
      <c r="A427" s="310">
        <v>98071</v>
      </c>
      <c r="B427" t="str">
        <f t="shared" si="12"/>
        <v>SEVROLL Gemini-2 rączka 2,7m jasny brąz</v>
      </c>
      <c r="C427" s="185">
        <f t="shared" si="13"/>
        <v>86.852999999999994</v>
      </c>
      <c r="D427" s="407" t="s">
        <v>2775</v>
      </c>
      <c r="E427" s="407" t="s">
        <v>4536</v>
      </c>
      <c r="F427" s="407" t="s">
        <v>1246</v>
      </c>
      <c r="G427" s="407" t="s">
        <v>4537</v>
      </c>
      <c r="H427" s="460">
        <v>657.16317000000004</v>
      </c>
      <c r="I427" s="460">
        <v>23.628520000000002</v>
      </c>
      <c r="J427" s="460">
        <v>86.852999999999994</v>
      </c>
      <c r="K427" s="460">
        <v>9094.2795100000003</v>
      </c>
      <c r="L427" s="459" t="s">
        <v>538</v>
      </c>
      <c r="M427" s="309" t="s">
        <v>571</v>
      </c>
      <c r="N427" s="182">
        <v>431.8313</v>
      </c>
      <c r="O427">
        <v>20.504000000000001</v>
      </c>
      <c r="P427" t="s">
        <v>9166</v>
      </c>
    </row>
    <row r="428" spans="1:16" ht="14.4" x14ac:dyDescent="0.3">
      <c r="A428" s="310">
        <v>98074</v>
      </c>
      <c r="B428" t="str">
        <f t="shared" si="12"/>
        <v>SEVROLL System 10 II rączka 2,7 m, oliwka</v>
      </c>
      <c r="C428" s="185">
        <f t="shared" si="13"/>
        <v>82.701599999999999</v>
      </c>
      <c r="D428" s="407" t="s">
        <v>2778</v>
      </c>
      <c r="E428" s="407" t="s">
        <v>4538</v>
      </c>
      <c r="F428" s="407" t="s">
        <v>1202</v>
      </c>
      <c r="G428" s="407" t="s">
        <v>4539</v>
      </c>
      <c r="H428" s="460">
        <v>654.26815999999997</v>
      </c>
      <c r="I428" s="460">
        <v>23.524429999999999</v>
      </c>
      <c r="J428" s="460">
        <v>82.701599999999999</v>
      </c>
      <c r="K428" s="460">
        <v>9054.2168399999991</v>
      </c>
      <c r="L428" s="459" t="s">
        <v>538</v>
      </c>
      <c r="M428" s="309" t="s">
        <v>571</v>
      </c>
      <c r="N428" s="182">
        <v>435.09780000000001</v>
      </c>
      <c r="O428">
        <v>19.888000000000002</v>
      </c>
      <c r="P428" t="s">
        <v>9167</v>
      </c>
    </row>
    <row r="429" spans="1:16" ht="14.4" x14ac:dyDescent="0.3">
      <c r="A429" s="310">
        <v>351517</v>
      </c>
      <c r="B429" t="str">
        <f t="shared" si="12"/>
        <v>SEVROLL Gemini II tor dolny 3m biały połysk</v>
      </c>
      <c r="C429" s="185">
        <f t="shared" si="13"/>
        <v>73.929599999999994</v>
      </c>
      <c r="D429" s="407" t="s">
        <v>3432</v>
      </c>
      <c r="E429" s="407" t="s">
        <v>4540</v>
      </c>
      <c r="F429" s="407" t="s">
        <v>4541</v>
      </c>
      <c r="G429" s="407" t="s">
        <v>4542</v>
      </c>
      <c r="H429" s="460">
        <v>516.75604999999996</v>
      </c>
      <c r="I429" s="460">
        <v>18.58014</v>
      </c>
      <c r="J429" s="460">
        <v>73.929599999999994</v>
      </c>
      <c r="K429" s="460">
        <v>7151.2288200000003</v>
      </c>
      <c r="L429" s="459" t="s">
        <v>539</v>
      </c>
      <c r="M429" s="309" t="s">
        <v>571</v>
      </c>
      <c r="N429" s="182">
        <v>436.40440000000001</v>
      </c>
      <c r="O429">
        <v>19.844000000000001</v>
      </c>
      <c r="P429" t="s">
        <v>9168</v>
      </c>
    </row>
    <row r="430" spans="1:16" ht="14.4" x14ac:dyDescent="0.3">
      <c r="A430" s="310">
        <v>205161</v>
      </c>
      <c r="B430" t="str">
        <f t="shared" si="12"/>
        <v>SEVROLL listwa łącząca H10 3m czarna szczotkowana</v>
      </c>
      <c r="C430" s="185">
        <f t="shared" si="13"/>
        <v>74.362139999999997</v>
      </c>
      <c r="D430" s="407" t="s">
        <v>2969</v>
      </c>
      <c r="E430" s="407" t="s">
        <v>4543</v>
      </c>
      <c r="F430" s="407" t="s">
        <v>1207</v>
      </c>
      <c r="G430" s="407" t="s">
        <v>4544</v>
      </c>
      <c r="H430" s="460">
        <v>601.43457000000001</v>
      </c>
      <c r="I430" s="460">
        <v>21.624780000000001</v>
      </c>
      <c r="J430" s="460">
        <v>74.362139999999997</v>
      </c>
      <c r="K430" s="460">
        <v>8323.0684999999994</v>
      </c>
      <c r="L430" s="459" t="s">
        <v>538</v>
      </c>
      <c r="M430" s="309" t="s">
        <v>571</v>
      </c>
      <c r="N430" s="182">
        <v>437.71100000000001</v>
      </c>
      <c r="O430">
        <v>19.25</v>
      </c>
      <c r="P430" t="s">
        <v>9169</v>
      </c>
    </row>
    <row r="431" spans="1:16" ht="14.4" x14ac:dyDescent="0.3">
      <c r="A431" s="310">
        <v>121028</v>
      </c>
      <c r="B431" t="str">
        <f t="shared" si="12"/>
        <v>SEVROLL 02493-Y Listwa łącząca H10 3m jasny brąz szczotkowany</v>
      </c>
      <c r="C431" s="185">
        <f t="shared" si="13"/>
        <v>74.362139999999997</v>
      </c>
      <c r="D431" s="407" t="s">
        <v>2829</v>
      </c>
      <c r="E431" s="407" t="s">
        <v>4545</v>
      </c>
      <c r="F431" s="407" t="s">
        <v>4546</v>
      </c>
      <c r="G431" s="407" t="s">
        <v>4547</v>
      </c>
      <c r="H431" s="460">
        <v>601.43457000000001</v>
      </c>
      <c r="I431" s="460">
        <v>21.624780000000001</v>
      </c>
      <c r="J431" s="460">
        <v>74.362139999999997</v>
      </c>
      <c r="K431" s="460">
        <v>8323.0684999999994</v>
      </c>
      <c r="L431" s="459" t="s">
        <v>538</v>
      </c>
      <c r="M431" s="309" t="s">
        <v>571</v>
      </c>
      <c r="N431" s="182">
        <v>437.71100000000001</v>
      </c>
      <c r="O431">
        <v>19.25</v>
      </c>
      <c r="P431" t="s">
        <v>9170</v>
      </c>
    </row>
    <row r="432" spans="1:16" ht="14.4" x14ac:dyDescent="0.3">
      <c r="A432" s="310">
        <v>102835</v>
      </c>
      <c r="B432" t="str">
        <f t="shared" si="12"/>
        <v>SEVROLL Maxim tor górny 1,8 m srebrny</v>
      </c>
      <c r="C432" s="185" t="e">
        <f t="shared" si="13"/>
        <v>#N/A</v>
      </c>
      <c r="D432" s="407" t="s">
        <v>2810</v>
      </c>
      <c r="E432" s="407" t="s">
        <v>4548</v>
      </c>
      <c r="F432" s="407" t="s">
        <v>4549</v>
      </c>
      <c r="G432" s="407" t="s">
        <v>4550</v>
      </c>
      <c r="H432" s="460" t="e">
        <v>#N/A</v>
      </c>
      <c r="I432" s="460" t="e">
        <v>#N/A</v>
      </c>
      <c r="J432" s="460" t="e">
        <v>#N/A</v>
      </c>
      <c r="K432" s="460" t="e">
        <v>#N/A</v>
      </c>
      <c r="L432" s="459" t="e">
        <v>#N/A</v>
      </c>
      <c r="M432" s="309" t="s">
        <v>571</v>
      </c>
      <c r="N432" s="182">
        <v>439.67090000000002</v>
      </c>
      <c r="O432" t="e">
        <v>#N/A</v>
      </c>
      <c r="P432" t="e">
        <v>#N/A</v>
      </c>
    </row>
    <row r="433" spans="1:16" ht="14.4" x14ac:dyDescent="0.3">
      <c r="A433" s="310">
        <v>299761</v>
      </c>
      <c r="B433" t="str">
        <f t="shared" si="12"/>
        <v>SEVROLL Idea zestaw okuć dla drzwi wewnętrznych 50kg</v>
      </c>
      <c r="C433" s="185" t="e">
        <f t="shared" si="13"/>
        <v>#N/A</v>
      </c>
      <c r="D433" s="407" t="s">
        <v>3285</v>
      </c>
      <c r="E433" s="407" t="s">
        <v>4551</v>
      </c>
      <c r="F433" s="407" t="s">
        <v>4552</v>
      </c>
      <c r="G433" s="407" t="s">
        <v>4553</v>
      </c>
      <c r="H433" s="460" t="e">
        <v>#N/A</v>
      </c>
      <c r="I433" s="460" t="e">
        <v>#N/A</v>
      </c>
      <c r="J433" s="460" t="e">
        <v>#N/A</v>
      </c>
      <c r="K433" s="460" t="e">
        <v>#N/A</v>
      </c>
      <c r="L433" s="459" t="e">
        <v>#N/A</v>
      </c>
      <c r="M433" s="309" t="s">
        <v>572</v>
      </c>
      <c r="N433" s="182">
        <v>440.32420000000002</v>
      </c>
      <c r="O433">
        <v>18.128</v>
      </c>
      <c r="P433" t="s">
        <v>9171</v>
      </c>
    </row>
    <row r="434" spans="1:16" ht="14.4" x14ac:dyDescent="0.3">
      <c r="A434" s="310">
        <v>328825</v>
      </c>
      <c r="B434" t="str">
        <f t="shared" si="12"/>
        <v>SEVROLL listwa łącząca Simple/Blue H28 3m (do płyty laminowanej 18mm) srebrny</v>
      </c>
      <c r="C434" s="185">
        <f t="shared" si="13"/>
        <v>70.338160000000002</v>
      </c>
      <c r="D434" s="407" t="s">
        <v>3341</v>
      </c>
      <c r="E434" s="407" t="s">
        <v>4554</v>
      </c>
      <c r="F434" s="407" t="s">
        <v>4555</v>
      </c>
      <c r="G434" s="407" t="s">
        <v>4556</v>
      </c>
      <c r="H434" s="460">
        <v>545.54456000000005</v>
      </c>
      <c r="I434" s="460">
        <v>19.829219999999999</v>
      </c>
      <c r="J434" s="460">
        <v>70.338160000000002</v>
      </c>
      <c r="K434" s="460">
        <v>7751.701</v>
      </c>
      <c r="L434" s="459" t="s">
        <v>538</v>
      </c>
      <c r="M434" s="309" t="s">
        <v>571</v>
      </c>
      <c r="N434" s="182">
        <v>442.85399999999998</v>
      </c>
      <c r="O434">
        <v>18.568000000000001</v>
      </c>
      <c r="P434" t="s">
        <v>9172</v>
      </c>
    </row>
    <row r="435" spans="1:16" ht="14.4" x14ac:dyDescent="0.3">
      <c r="A435" s="310">
        <v>163112</v>
      </c>
      <c r="B435" t="str">
        <f t="shared" si="12"/>
        <v>SEVROLL Doubler II tor dolny 2,35m jasny brąz</v>
      </c>
      <c r="C435" s="185">
        <f t="shared" si="13"/>
        <v>86.174180000000007</v>
      </c>
      <c r="D435" s="407" t="s">
        <v>2888</v>
      </c>
      <c r="E435" s="407" t="s">
        <v>4557</v>
      </c>
      <c r="F435" s="407" t="s">
        <v>4558</v>
      </c>
      <c r="G435" s="407" t="s">
        <v>4559</v>
      </c>
      <c r="H435" s="460">
        <v>696.96929999999998</v>
      </c>
      <c r="I435" s="460">
        <v>25.059760000000001</v>
      </c>
      <c r="J435" s="460">
        <v>86.174180000000007</v>
      </c>
      <c r="K435" s="460">
        <v>9645.1444499999998</v>
      </c>
      <c r="L435" s="459" t="s">
        <v>539</v>
      </c>
      <c r="M435" s="309" t="s">
        <v>571</v>
      </c>
      <c r="N435" s="182">
        <v>445.55059999999997</v>
      </c>
      <c r="O435">
        <v>21.78</v>
      </c>
      <c r="P435" t="s">
        <v>9173</v>
      </c>
    </row>
    <row r="436" spans="1:16" ht="14.4" x14ac:dyDescent="0.3">
      <c r="A436" s="310">
        <v>216341</v>
      </c>
      <c r="B436" t="str">
        <f t="shared" si="12"/>
        <v>SEVROLL Simple tor dolny 6 m srebrny</v>
      </c>
      <c r="C436" s="185">
        <f t="shared" si="13"/>
        <v>0</v>
      </c>
      <c r="D436" s="407" t="s">
        <v>3011</v>
      </c>
      <c r="E436" s="407" t="s">
        <v>4560</v>
      </c>
      <c r="F436" s="407" t="s">
        <v>1046</v>
      </c>
      <c r="G436" s="407" t="s">
        <v>4561</v>
      </c>
      <c r="H436" s="460">
        <v>621.43397000000004</v>
      </c>
      <c r="I436" s="460">
        <v>22.587620000000001</v>
      </c>
      <c r="J436" s="460">
        <v>0</v>
      </c>
      <c r="K436" s="460">
        <v>8830.0214500000002</v>
      </c>
      <c r="L436" s="459" t="s">
        <v>539</v>
      </c>
      <c r="M436" s="309" t="s">
        <v>571</v>
      </c>
      <c r="N436" s="182">
        <v>451.11059999999998</v>
      </c>
      <c r="O436">
        <v>21.846</v>
      </c>
      <c r="P436" t="s">
        <v>9174</v>
      </c>
    </row>
    <row r="437" spans="1:16" ht="14.4" x14ac:dyDescent="0.3">
      <c r="A437" s="311">
        <v>195450</v>
      </c>
      <c r="B437" t="e">
        <f t="shared" si="12"/>
        <v>#N/A</v>
      </c>
      <c r="C437" s="185" t="e">
        <f t="shared" si="13"/>
        <v>#N/A</v>
      </c>
      <c r="D437" s="407" t="e">
        <v>#N/A</v>
      </c>
      <c r="E437" s="407" t="e">
        <v>#N/A</v>
      </c>
      <c r="F437" s="407" t="e">
        <v>#N/A</v>
      </c>
      <c r="G437" s="407" t="e">
        <v>#N/A</v>
      </c>
      <c r="H437" s="460" t="e">
        <v>#N/A</v>
      </c>
      <c r="I437" s="460" t="e">
        <v>#N/A</v>
      </c>
      <c r="J437" s="460" t="e">
        <v>#N/A</v>
      </c>
      <c r="K437" s="460" t="e">
        <v>#N/A</v>
      </c>
      <c r="L437" s="459" t="e">
        <v>#N/A</v>
      </c>
      <c r="M437" s="312" t="s">
        <v>571</v>
      </c>
      <c r="N437" s="182">
        <v>455.57249999999999</v>
      </c>
      <c r="O437" t="e">
        <v>#N/A</v>
      </c>
      <c r="P437" t="e">
        <v>#N/A</v>
      </c>
    </row>
    <row r="438" spans="1:16" ht="14.4" x14ac:dyDescent="0.3">
      <c r="A438" s="310">
        <v>89108</v>
      </c>
      <c r="B438" t="str">
        <f t="shared" si="12"/>
        <v>SEVROLL 01010 Gemini horní vedení 2,35m oliva</v>
      </c>
      <c r="C438" s="185">
        <f t="shared" si="13"/>
        <v>84.116020000000006</v>
      </c>
      <c r="D438" s="407" t="s">
        <v>2633</v>
      </c>
      <c r="E438" s="407" t="s">
        <v>4562</v>
      </c>
      <c r="F438" s="407" t="s">
        <v>4563</v>
      </c>
      <c r="G438" s="407" t="s">
        <v>2633</v>
      </c>
      <c r="H438" s="460">
        <v>680.32309999999995</v>
      </c>
      <c r="I438" s="460">
        <v>24.46124</v>
      </c>
      <c r="J438" s="460">
        <v>84.116020000000006</v>
      </c>
      <c r="K438" s="460">
        <v>9414.7828399999999</v>
      </c>
      <c r="L438" s="459" t="s">
        <v>538</v>
      </c>
      <c r="M438" s="309" t="s">
        <v>571</v>
      </c>
      <c r="N438" s="182">
        <v>458.61660000000001</v>
      </c>
      <c r="O438">
        <v>22.902000000000001</v>
      </c>
      <c r="P438" t="s">
        <v>9175</v>
      </c>
    </row>
    <row r="439" spans="1:16" ht="14.4" x14ac:dyDescent="0.3">
      <c r="A439" s="310">
        <v>89107</v>
      </c>
      <c r="B439" t="str">
        <f t="shared" si="12"/>
        <v>SEVROLL 01032 Gemini horní vedení 2,35m zlatá</v>
      </c>
      <c r="C439" s="185">
        <f t="shared" si="13"/>
        <v>84.116020000000006</v>
      </c>
      <c r="D439" s="407" t="s">
        <v>2632</v>
      </c>
      <c r="E439" s="407" t="s">
        <v>4564</v>
      </c>
      <c r="F439" s="407" t="s">
        <v>4565</v>
      </c>
      <c r="G439" s="407" t="s">
        <v>2632</v>
      </c>
      <c r="H439" s="460">
        <v>680.32309999999995</v>
      </c>
      <c r="I439" s="460">
        <v>24.46124</v>
      </c>
      <c r="J439" s="460">
        <v>84.116020000000006</v>
      </c>
      <c r="K439" s="460">
        <v>9414.7828399999999</v>
      </c>
      <c r="L439" s="459" t="s">
        <v>539</v>
      </c>
      <c r="M439" s="309" t="s">
        <v>571</v>
      </c>
      <c r="N439" s="182">
        <v>458.61660000000001</v>
      </c>
      <c r="O439">
        <v>23.606000000000002</v>
      </c>
      <c r="P439" t="s">
        <v>9176</v>
      </c>
    </row>
    <row r="440" spans="1:16" ht="14.4" x14ac:dyDescent="0.3">
      <c r="A440" s="310">
        <v>216620</v>
      </c>
      <c r="B440" t="str">
        <f t="shared" si="12"/>
        <v>SEVROLL Victoria II 2,7 m oliwka ciemna szczotkowana</v>
      </c>
      <c r="C440" s="185">
        <f t="shared" si="13"/>
        <v>82.505279999999999</v>
      </c>
      <c r="D440" s="407" t="s">
        <v>3019</v>
      </c>
      <c r="E440" s="407" t="s">
        <v>4566</v>
      </c>
      <c r="F440" s="407" t="s">
        <v>4567</v>
      </c>
      <c r="G440" s="407" t="s">
        <v>4568</v>
      </c>
      <c r="H440" s="460">
        <v>667.29562999999996</v>
      </c>
      <c r="I440" s="460">
        <v>23.992840000000001</v>
      </c>
      <c r="J440" s="460">
        <v>82.505279999999999</v>
      </c>
      <c r="K440" s="460">
        <v>9234.4998200000009</v>
      </c>
      <c r="L440" s="459" t="s">
        <v>539</v>
      </c>
      <c r="M440" s="309" t="s">
        <v>571</v>
      </c>
      <c r="N440" s="182">
        <v>461.88310000000001</v>
      </c>
      <c r="O440">
        <v>21.34</v>
      </c>
      <c r="P440" t="s">
        <v>9177</v>
      </c>
    </row>
    <row r="441" spans="1:16" ht="14.4" x14ac:dyDescent="0.3">
      <c r="A441" s="310">
        <v>102827</v>
      </c>
      <c r="B441" t="str">
        <f t="shared" si="12"/>
        <v>SEVROLL 02804 Maxim maskownica dolna 1,8 m, 18 mm, srebrna</v>
      </c>
      <c r="C441" s="185" t="e">
        <f t="shared" si="13"/>
        <v>#N/A</v>
      </c>
      <c r="D441" s="407" t="s">
        <v>2803</v>
      </c>
      <c r="E441" s="407" t="s">
        <v>4569</v>
      </c>
      <c r="F441" s="407" t="s">
        <v>4570</v>
      </c>
      <c r="G441" s="407" t="s">
        <v>4571</v>
      </c>
      <c r="H441" s="460" t="e">
        <v>#N/A</v>
      </c>
      <c r="I441" s="460" t="e">
        <v>#N/A</v>
      </c>
      <c r="J441" s="460" t="e">
        <v>#N/A</v>
      </c>
      <c r="K441" s="460" t="e">
        <v>#N/A</v>
      </c>
      <c r="L441" s="459" t="e">
        <v>#N/A</v>
      </c>
      <c r="M441" s="309" t="s">
        <v>571</v>
      </c>
      <c r="N441" s="182">
        <v>464.49630000000002</v>
      </c>
      <c r="O441" t="e">
        <v>#N/A</v>
      </c>
      <c r="P441" t="e">
        <v>#N/A</v>
      </c>
    </row>
    <row r="442" spans="1:16" ht="14.4" x14ac:dyDescent="0.3">
      <c r="A442" s="310">
        <v>299758</v>
      </c>
      <c r="B442" t="str">
        <f t="shared" si="12"/>
        <v>SEVROLL 04097 Idea tor górny/dolny 3m, srebrny</v>
      </c>
      <c r="C442" s="185" t="e">
        <f t="shared" si="13"/>
        <v>#N/A</v>
      </c>
      <c r="D442" s="407" t="s">
        <v>3282</v>
      </c>
      <c r="E442" s="407" t="s">
        <v>4572</v>
      </c>
      <c r="F442" s="407" t="s">
        <v>4573</v>
      </c>
      <c r="G442" s="407" t="s">
        <v>4574</v>
      </c>
      <c r="H442" s="460" t="e">
        <v>#N/A</v>
      </c>
      <c r="I442" s="460" t="e">
        <v>#N/A</v>
      </c>
      <c r="J442" s="460" t="e">
        <v>#N/A</v>
      </c>
      <c r="K442" s="460" t="e">
        <v>#N/A</v>
      </c>
      <c r="L442" s="459" t="e">
        <v>#N/A</v>
      </c>
      <c r="M442" s="309" t="s">
        <v>571</v>
      </c>
      <c r="N442" s="182">
        <v>465.14960000000002</v>
      </c>
      <c r="O442">
        <v>21.01</v>
      </c>
      <c r="P442" t="s">
        <v>9178</v>
      </c>
    </row>
    <row r="443" spans="1:16" ht="14.4" x14ac:dyDescent="0.3">
      <c r="A443" s="310">
        <v>238038</v>
      </c>
      <c r="B443" t="str">
        <f t="shared" si="12"/>
        <v>SEVROLL Maxim listwa łącząca H25 2,5m jasny brąz</v>
      </c>
      <c r="C443" s="185" t="e">
        <f t="shared" si="13"/>
        <v>#N/A</v>
      </c>
      <c r="D443" s="407" t="s">
        <v>3180</v>
      </c>
      <c r="E443" s="407" t="s">
        <v>4575</v>
      </c>
      <c r="F443" s="407" t="s">
        <v>1123</v>
      </c>
      <c r="G443" s="407" t="s">
        <v>4576</v>
      </c>
      <c r="H443" s="460" t="e">
        <v>#N/A</v>
      </c>
      <c r="I443" s="460" t="e">
        <v>#N/A</v>
      </c>
      <c r="J443" s="460" t="e">
        <v>#N/A</v>
      </c>
      <c r="K443" s="460" t="e">
        <v>#N/A</v>
      </c>
      <c r="L443" s="459" t="e">
        <v>#N/A</v>
      </c>
      <c r="M443" s="309" t="s">
        <v>571</v>
      </c>
      <c r="N443" s="182">
        <v>466.45620000000002</v>
      </c>
      <c r="O443" t="e">
        <v>#N/A</v>
      </c>
      <c r="P443" t="e">
        <v>#N/A</v>
      </c>
    </row>
    <row r="444" spans="1:16" ht="14.4" x14ac:dyDescent="0.3">
      <c r="A444" s="310">
        <v>102822</v>
      </c>
      <c r="B444" t="str">
        <f t="shared" si="12"/>
        <v>SEVROLL 02022 Maxim tor 2,5 m, srebrny</v>
      </c>
      <c r="C444" s="185" t="e">
        <f t="shared" si="13"/>
        <v>#N/A</v>
      </c>
      <c r="D444" s="407" t="s">
        <v>2800</v>
      </c>
      <c r="E444" s="407" t="s">
        <v>4577</v>
      </c>
      <c r="F444" s="407" t="s">
        <v>1227</v>
      </c>
      <c r="G444" s="407" t="s">
        <v>4578</v>
      </c>
      <c r="H444" s="460" t="e">
        <v>#N/A</v>
      </c>
      <c r="I444" s="460" t="e">
        <v>#N/A</v>
      </c>
      <c r="J444" s="460" t="e">
        <v>#N/A</v>
      </c>
      <c r="K444" s="460" t="e">
        <v>#N/A</v>
      </c>
      <c r="L444" s="459" t="e">
        <v>#N/A</v>
      </c>
      <c r="M444" s="309" t="s">
        <v>571</v>
      </c>
      <c r="N444" s="182">
        <v>467.10950000000003</v>
      </c>
      <c r="O444" t="e">
        <v>#N/A</v>
      </c>
      <c r="P444" t="e">
        <v>#N/A</v>
      </c>
    </row>
    <row r="445" spans="1:16" ht="14.4" x14ac:dyDescent="0.3">
      <c r="A445" s="310">
        <v>224121</v>
      </c>
      <c r="B445" t="str">
        <f t="shared" si="12"/>
        <v>SEVROLL Simple tor górny 3 m oliwka</v>
      </c>
      <c r="C445" s="185" t="e">
        <f t="shared" si="13"/>
        <v>#N/A</v>
      </c>
      <c r="D445" s="407" t="s">
        <v>3095</v>
      </c>
      <c r="E445" s="407" t="s">
        <v>4579</v>
      </c>
      <c r="F445" s="407" t="s">
        <v>4580</v>
      </c>
      <c r="G445" s="407" t="s">
        <v>4581</v>
      </c>
      <c r="H445" s="460" t="e">
        <v>#N/A</v>
      </c>
      <c r="I445" s="460" t="e">
        <v>#N/A</v>
      </c>
      <c r="J445" s="460" t="e">
        <v>#N/A</v>
      </c>
      <c r="K445" s="460" t="e">
        <v>#N/A</v>
      </c>
      <c r="L445" s="459" t="e">
        <v>#N/A</v>
      </c>
      <c r="M445" s="309" t="s">
        <v>571</v>
      </c>
      <c r="N445" s="182">
        <v>469.125</v>
      </c>
      <c r="O445" t="e">
        <v>#N/A</v>
      </c>
      <c r="P445" t="e">
        <v>#N/A</v>
      </c>
    </row>
    <row r="446" spans="1:16" ht="14.4" x14ac:dyDescent="0.3">
      <c r="A446" s="311">
        <v>340614</v>
      </c>
      <c r="B446" t="e">
        <f t="shared" si="12"/>
        <v>#N/A</v>
      </c>
      <c r="C446" s="185" t="e">
        <f t="shared" si="13"/>
        <v>#N/A</v>
      </c>
      <c r="D446" s="407" t="e">
        <v>#N/A</v>
      </c>
      <c r="E446" s="407" t="e">
        <v>#N/A</v>
      </c>
      <c r="F446" s="407" t="e">
        <v>#N/A</v>
      </c>
      <c r="G446" s="407" t="e">
        <v>#N/A</v>
      </c>
      <c r="H446" s="460" t="e">
        <v>#N/A</v>
      </c>
      <c r="I446" s="460" t="e">
        <v>#N/A</v>
      </c>
      <c r="J446" s="460" t="e">
        <v>#N/A</v>
      </c>
      <c r="K446" s="460" t="e">
        <v>#N/A</v>
      </c>
      <c r="L446" s="459" t="e">
        <v>#N/A</v>
      </c>
      <c r="M446" s="312" t="s">
        <v>571</v>
      </c>
      <c r="N446" s="182">
        <v>471.87720000000002</v>
      </c>
      <c r="O446" t="e">
        <v>#N/A</v>
      </c>
      <c r="P446" t="e">
        <v>#N/A</v>
      </c>
    </row>
    <row r="447" spans="1:16" ht="14.4" x14ac:dyDescent="0.3">
      <c r="A447" s="310">
        <v>135709</v>
      </c>
      <c r="B447" t="str">
        <f t="shared" si="12"/>
        <v>SEVROLL Comfort 16 II rączka 2,7m srebrny</v>
      </c>
      <c r="C447" s="185" t="e">
        <f t="shared" si="13"/>
        <v>#N/A</v>
      </c>
      <c r="D447" s="407" t="s">
        <v>2875</v>
      </c>
      <c r="E447" s="407" t="s">
        <v>4582</v>
      </c>
      <c r="F447" s="407" t="s">
        <v>4583</v>
      </c>
      <c r="G447" s="407" t="s">
        <v>4584</v>
      </c>
      <c r="H447" s="460" t="e">
        <v>#N/A</v>
      </c>
      <c r="I447" s="460" t="e">
        <v>#N/A</v>
      </c>
      <c r="J447" s="460" t="e">
        <v>#N/A</v>
      </c>
      <c r="K447" s="460" t="e">
        <v>#N/A</v>
      </c>
      <c r="L447" s="459" t="e">
        <v>#N/A</v>
      </c>
      <c r="M447" s="309" t="s">
        <v>571</v>
      </c>
      <c r="N447" s="182">
        <v>473.64249999999998</v>
      </c>
      <c r="O447">
        <v>23.408000000000001</v>
      </c>
      <c r="P447" t="s">
        <v>9179</v>
      </c>
    </row>
    <row r="448" spans="1:16" ht="14.4" x14ac:dyDescent="0.3">
      <c r="A448" s="310">
        <v>84392</v>
      </c>
      <c r="B448" t="str">
        <f t="shared" si="12"/>
        <v>SEVROLL Elegant II tor dolny 4,05m złoty</v>
      </c>
      <c r="C448" s="185" t="e">
        <f t="shared" si="13"/>
        <v>#N/A</v>
      </c>
      <c r="D448" s="407" t="s">
        <v>2745</v>
      </c>
      <c r="E448" s="407" t="s">
        <v>4585</v>
      </c>
      <c r="F448" s="407" t="s">
        <v>4586</v>
      </c>
      <c r="G448" s="407" t="s">
        <v>4587</v>
      </c>
      <c r="H448" s="460" t="e">
        <v>#N/A</v>
      </c>
      <c r="I448" s="460" t="e">
        <v>#N/A</v>
      </c>
      <c r="J448" s="460" t="e">
        <v>#N/A</v>
      </c>
      <c r="K448" s="460" t="e">
        <v>#N/A</v>
      </c>
      <c r="L448" s="459" t="e">
        <v>#N/A</v>
      </c>
      <c r="M448" s="309" t="s">
        <v>571</v>
      </c>
      <c r="N448" s="182">
        <v>473.64249999999998</v>
      </c>
      <c r="O448">
        <v>23.76</v>
      </c>
      <c r="P448" t="s">
        <v>9180</v>
      </c>
    </row>
    <row r="449" spans="1:16" ht="14.4" x14ac:dyDescent="0.3">
      <c r="A449" s="311">
        <v>157353</v>
      </c>
      <c r="B449" t="e">
        <f t="shared" si="12"/>
        <v>#N/A</v>
      </c>
      <c r="C449" s="185" t="e">
        <f t="shared" si="13"/>
        <v>#N/A</v>
      </c>
      <c r="D449" s="407" t="e">
        <v>#N/A</v>
      </c>
      <c r="E449" s="407" t="e">
        <v>#N/A</v>
      </c>
      <c r="F449" s="407" t="e">
        <v>#N/A</v>
      </c>
      <c r="G449" s="407" t="e">
        <v>#N/A</v>
      </c>
      <c r="H449" s="460" t="e">
        <v>#N/A</v>
      </c>
      <c r="I449" s="460" t="e">
        <v>#N/A</v>
      </c>
      <c r="J449" s="460" t="e">
        <v>#N/A</v>
      </c>
      <c r="K449" s="460" t="e">
        <v>#N/A</v>
      </c>
      <c r="L449" s="459" t="e">
        <v>#N/A</v>
      </c>
      <c r="M449" s="312" t="s">
        <v>571</v>
      </c>
      <c r="N449" s="182">
        <v>473.79539999999997</v>
      </c>
      <c r="O449" t="e">
        <v>#N/A</v>
      </c>
      <c r="P449" t="e">
        <v>#N/A</v>
      </c>
    </row>
    <row r="450" spans="1:16" ht="14.4" x14ac:dyDescent="0.3">
      <c r="A450" s="310">
        <v>89032</v>
      </c>
      <c r="B450" t="str">
        <f t="shared" si="12"/>
        <v>SEVROLL 01256 Single horní vedení 2,35m stříbrná</v>
      </c>
      <c r="C450" s="185">
        <f t="shared" si="13"/>
        <v>70.492769999999993</v>
      </c>
      <c r="D450" s="407" t="s">
        <v>2728</v>
      </c>
      <c r="E450" s="407" t="s">
        <v>4588</v>
      </c>
      <c r="F450" s="407" t="s">
        <v>4589</v>
      </c>
      <c r="G450" s="407" t="s">
        <v>2728</v>
      </c>
      <c r="H450" s="460">
        <v>547.78349000000003</v>
      </c>
      <c r="I450" s="460">
        <v>20.661940000000001</v>
      </c>
      <c r="J450" s="460">
        <v>70.492769999999993</v>
      </c>
      <c r="K450" s="460">
        <v>7796.5558300000002</v>
      </c>
      <c r="L450" s="459" t="s">
        <v>538</v>
      </c>
      <c r="M450" s="309" t="s">
        <v>571</v>
      </c>
      <c r="N450" s="182">
        <v>474.29579999999999</v>
      </c>
      <c r="O450">
        <v>19.36</v>
      </c>
      <c r="P450" t="s">
        <v>9181</v>
      </c>
    </row>
    <row r="451" spans="1:16" ht="14.4" x14ac:dyDescent="0.3">
      <c r="A451" s="311">
        <v>195453</v>
      </c>
      <c r="B451" t="e">
        <f t="shared" si="12"/>
        <v>#N/A</v>
      </c>
      <c r="C451" s="185" t="e">
        <f t="shared" si="13"/>
        <v>#N/A</v>
      </c>
      <c r="D451" s="407" t="e">
        <v>#N/A</v>
      </c>
      <c r="E451" s="407" t="e">
        <v>#N/A</v>
      </c>
      <c r="F451" s="407" t="e">
        <v>#N/A</v>
      </c>
      <c r="G451" s="407" t="e">
        <v>#N/A</v>
      </c>
      <c r="H451" s="460" t="e">
        <v>#N/A</v>
      </c>
      <c r="I451" s="460" t="e">
        <v>#N/A</v>
      </c>
      <c r="J451" s="460" t="e">
        <v>#N/A</v>
      </c>
      <c r="K451" s="460" t="e">
        <v>#N/A</v>
      </c>
      <c r="L451" s="459" t="e">
        <v>#N/A</v>
      </c>
      <c r="M451" s="312" t="s">
        <v>571</v>
      </c>
      <c r="N451" s="182">
        <v>474.75450000000001</v>
      </c>
      <c r="O451" t="e">
        <v>#N/A</v>
      </c>
      <c r="P451" t="e">
        <v>#N/A</v>
      </c>
    </row>
    <row r="452" spans="1:16" ht="14.4" x14ac:dyDescent="0.3">
      <c r="A452" s="310">
        <v>318662</v>
      </c>
      <c r="B452" t="str">
        <f t="shared" ref="B452:B515" si="14">IF($A$2=1,D452,IF($A$2=2,F452,IF($A$2=3,G452,IF($A$2=4,E452,IF($A$2&gt;4,P452,"zadat jazyk")))))</f>
        <v>SEVROLL tłumienie Mini SV25 (14-25kg)</v>
      </c>
      <c r="C452" s="185">
        <f t="shared" ref="C452:C515" si="15">IF($A$2=1,H452,IF($A$2=2,I452,IF($A$2=3,J452,IF($A$2=4,K452,IF($A$2&gt;4,O452,"zadat jazyk")))))</f>
        <v>96.889799999999994</v>
      </c>
      <c r="D452" s="407" t="s">
        <v>4590</v>
      </c>
      <c r="E452" s="407" t="s">
        <v>4591</v>
      </c>
      <c r="F452" s="407" t="s">
        <v>4592</v>
      </c>
      <c r="G452" s="407" t="s">
        <v>4593</v>
      </c>
      <c r="H452" s="460">
        <v>677.38124000000005</v>
      </c>
      <c r="I452" s="460">
        <v>22.951930000000001</v>
      </c>
      <c r="J452" s="460">
        <v>96.889799999999994</v>
      </c>
      <c r="K452" s="460">
        <v>9041.7265599999992</v>
      </c>
      <c r="L452" s="459" t="s">
        <v>538</v>
      </c>
      <c r="M452" s="309" t="s">
        <v>574</v>
      </c>
      <c r="N452" s="182">
        <v>476.90899999999999</v>
      </c>
      <c r="O452">
        <v>20.416</v>
      </c>
      <c r="P452" t="s">
        <v>9182</v>
      </c>
    </row>
    <row r="453" spans="1:16" ht="14.4" x14ac:dyDescent="0.3">
      <c r="A453" s="310">
        <v>283956</v>
      </c>
      <c r="B453" t="str">
        <f t="shared" si="14"/>
        <v>SEVROLL tłumienie Mini SV40 (25 - 40kg)</v>
      </c>
      <c r="C453" s="185">
        <f t="shared" si="15"/>
        <v>96.889799999999994</v>
      </c>
      <c r="D453" s="407" t="s">
        <v>4594</v>
      </c>
      <c r="E453" s="407" t="s">
        <v>4595</v>
      </c>
      <c r="F453" s="407" t="s">
        <v>4596</v>
      </c>
      <c r="G453" s="407" t="s">
        <v>4597</v>
      </c>
      <c r="H453" s="460">
        <v>677.38124000000005</v>
      </c>
      <c r="I453" s="460">
        <v>22.951930000000001</v>
      </c>
      <c r="J453" s="460">
        <v>96.889799999999994</v>
      </c>
      <c r="K453" s="460">
        <v>9041.7265599999992</v>
      </c>
      <c r="L453" s="459" t="s">
        <v>538</v>
      </c>
      <c r="M453" s="309" t="s">
        <v>574</v>
      </c>
      <c r="N453" s="182">
        <v>476.90899999999999</v>
      </c>
      <c r="O453">
        <v>20.416</v>
      </c>
      <c r="P453" t="s">
        <v>9183</v>
      </c>
    </row>
    <row r="454" spans="1:16" ht="14.4" x14ac:dyDescent="0.3">
      <c r="A454" s="310">
        <v>351743</v>
      </c>
      <c r="B454" t="str">
        <f t="shared" si="14"/>
        <v>SEVROLL tłumienie Mini SV60 (40 - 60kg)</v>
      </c>
      <c r="C454" s="185">
        <f t="shared" si="15"/>
        <v>96.889799999999994</v>
      </c>
      <c r="D454" s="407" t="s">
        <v>4598</v>
      </c>
      <c r="E454" s="407" t="s">
        <v>4599</v>
      </c>
      <c r="F454" s="407" t="s">
        <v>4600</v>
      </c>
      <c r="G454" s="407" t="s">
        <v>4601</v>
      </c>
      <c r="H454" s="460">
        <v>677.38124000000005</v>
      </c>
      <c r="I454" s="460">
        <v>22.951930000000001</v>
      </c>
      <c r="J454" s="460">
        <v>96.889799999999994</v>
      </c>
      <c r="K454" s="460">
        <v>9041.7265599999992</v>
      </c>
      <c r="L454" s="459" t="s">
        <v>538</v>
      </c>
      <c r="M454" s="309" t="s">
        <v>574</v>
      </c>
      <c r="N454" s="182">
        <v>476.90899999999999</v>
      </c>
      <c r="O454">
        <v>20.416</v>
      </c>
      <c r="P454" t="s">
        <v>9184</v>
      </c>
    </row>
    <row r="455" spans="1:16" ht="14.4" x14ac:dyDescent="0.3">
      <c r="A455" s="310">
        <v>89112</v>
      </c>
      <c r="B455" t="str">
        <f t="shared" si="14"/>
        <v>SEVROLL 01026 Gemini horní vedení 3m stříbrná</v>
      </c>
      <c r="C455" s="185">
        <f t="shared" si="15"/>
        <v>92.079909999999998</v>
      </c>
      <c r="D455" s="407" t="s">
        <v>2637</v>
      </c>
      <c r="E455" s="407" t="s">
        <v>4602</v>
      </c>
      <c r="F455" s="407" t="s">
        <v>4603</v>
      </c>
      <c r="G455" s="407" t="s">
        <v>2637</v>
      </c>
      <c r="H455" s="460">
        <v>694.07431999999994</v>
      </c>
      <c r="I455" s="460">
        <v>24.9817</v>
      </c>
      <c r="J455" s="460">
        <v>92.079909999999998</v>
      </c>
      <c r="K455" s="460">
        <v>9605.0817900000002</v>
      </c>
      <c r="L455" s="459" t="s">
        <v>538</v>
      </c>
      <c r="M455" s="309" t="s">
        <v>571</v>
      </c>
      <c r="N455" s="182">
        <v>480.8288</v>
      </c>
      <c r="O455">
        <v>24.661999999999999</v>
      </c>
      <c r="P455" t="s">
        <v>9185</v>
      </c>
    </row>
    <row r="456" spans="1:16" ht="14.4" x14ac:dyDescent="0.3">
      <c r="A456" s="313">
        <v>223508</v>
      </c>
      <c r="B456" t="str">
        <f t="shared" si="14"/>
        <v>SEVROLL Herkules 2 tor górny 1,8 m alu</v>
      </c>
      <c r="C456" s="185" t="e">
        <f t="shared" si="15"/>
        <v>#N/A</v>
      </c>
      <c r="D456" s="407" t="s">
        <v>3051</v>
      </c>
      <c r="E456" s="407" t="s">
        <v>4604</v>
      </c>
      <c r="F456" s="407" t="s">
        <v>4605</v>
      </c>
      <c r="G456" s="407" t="s">
        <v>4606</v>
      </c>
      <c r="H456" s="460" t="e">
        <v>#N/A</v>
      </c>
      <c r="I456" s="460" t="e">
        <v>#N/A</v>
      </c>
      <c r="J456" s="460" t="e">
        <v>#N/A</v>
      </c>
      <c r="K456" s="460" t="e">
        <v>#N/A</v>
      </c>
      <c r="L456" s="459" t="e">
        <v>#N/A</v>
      </c>
      <c r="M456" s="314" t="s">
        <v>571</v>
      </c>
      <c r="N456" s="182">
        <v>482.12984</v>
      </c>
      <c r="O456" t="e">
        <v>#N/A</v>
      </c>
      <c r="P456" t="e">
        <v>#N/A</v>
      </c>
    </row>
    <row r="457" spans="1:16" ht="14.4" x14ac:dyDescent="0.3">
      <c r="A457" s="310">
        <v>84393</v>
      </c>
      <c r="B457" t="str">
        <f t="shared" si="14"/>
        <v>SEVROLL Elegant II tor dolny 4,05m jasny brąz</v>
      </c>
      <c r="C457" s="185">
        <f t="shared" si="15"/>
        <v>93.075000000000003</v>
      </c>
      <c r="D457" s="407" t="s">
        <v>2746</v>
      </c>
      <c r="E457" s="407" t="s">
        <v>4607</v>
      </c>
      <c r="F457" s="407" t="s">
        <v>4608</v>
      </c>
      <c r="G457" s="407" t="s">
        <v>4609</v>
      </c>
      <c r="H457" s="460">
        <v>689.00806999999998</v>
      </c>
      <c r="I457" s="460">
        <v>24.773520000000001</v>
      </c>
      <c r="J457" s="460">
        <v>93.075000000000003</v>
      </c>
      <c r="K457" s="460">
        <v>9534.97163</v>
      </c>
      <c r="L457" s="459" t="s">
        <v>538</v>
      </c>
      <c r="M457" s="309" t="s">
        <v>571</v>
      </c>
      <c r="N457" s="182">
        <v>482.78870000000001</v>
      </c>
      <c r="O457">
        <v>23.76</v>
      </c>
      <c r="P457" t="s">
        <v>9186</v>
      </c>
    </row>
    <row r="458" spans="1:16" ht="14.4" x14ac:dyDescent="0.3">
      <c r="A458" s="310">
        <v>349802</v>
      </c>
      <c r="B458" t="str">
        <f t="shared" si="14"/>
        <v>SEVROLL Blue tor górny 3 m, srebrny</v>
      </c>
      <c r="C458" s="185">
        <f t="shared" si="15"/>
        <v>80.48536</v>
      </c>
      <c r="D458" s="407" t="s">
        <v>3396</v>
      </c>
      <c r="E458" s="407" t="s">
        <v>4610</v>
      </c>
      <c r="F458" s="407" t="s">
        <v>4611</v>
      </c>
      <c r="G458" s="407" t="s">
        <v>4612</v>
      </c>
      <c r="H458" s="460">
        <v>622.86584000000005</v>
      </c>
      <c r="I458" s="460">
        <v>22.639659999999999</v>
      </c>
      <c r="J458" s="460">
        <v>80.48536</v>
      </c>
      <c r="K458" s="460">
        <v>8850.3671900000008</v>
      </c>
      <c r="L458" s="459" t="s">
        <v>538</v>
      </c>
      <c r="M458" s="309" t="s">
        <v>571</v>
      </c>
      <c r="N458" s="182">
        <v>483.38639999999998</v>
      </c>
      <c r="O458">
        <v>23.231999999999999</v>
      </c>
      <c r="P458" t="s">
        <v>9187</v>
      </c>
    </row>
    <row r="459" spans="1:16" ht="14.4" x14ac:dyDescent="0.3">
      <c r="A459" s="310">
        <v>216621</v>
      </c>
      <c r="B459" t="str">
        <f t="shared" si="14"/>
        <v>SEVROLL Victoria II 2,7m czarny szczotkowany</v>
      </c>
      <c r="C459" s="185">
        <f t="shared" si="15"/>
        <v>82.505279999999999</v>
      </c>
      <c r="D459" s="407" t="s">
        <v>3020</v>
      </c>
      <c r="E459" s="407" t="s">
        <v>4613</v>
      </c>
      <c r="F459" s="407" t="s">
        <v>4614</v>
      </c>
      <c r="G459" s="407" t="s">
        <v>4615</v>
      </c>
      <c r="H459" s="460">
        <v>667.29562999999996</v>
      </c>
      <c r="I459" s="460">
        <v>23.992840000000001</v>
      </c>
      <c r="J459" s="460">
        <v>82.505279999999999</v>
      </c>
      <c r="K459" s="460">
        <v>9234.4998200000009</v>
      </c>
      <c r="L459" s="459" t="s">
        <v>538</v>
      </c>
      <c r="M459" s="309" t="s">
        <v>571</v>
      </c>
      <c r="N459" s="182">
        <v>484.74860000000001</v>
      </c>
      <c r="O459">
        <v>21.34</v>
      </c>
      <c r="P459" t="s">
        <v>9188</v>
      </c>
    </row>
    <row r="460" spans="1:16" ht="14.4" x14ac:dyDescent="0.3">
      <c r="A460" s="310">
        <v>191699</v>
      </c>
      <c r="B460" t="str">
        <f t="shared" si="14"/>
        <v>SEVROLL Victoria II rączka 2,7m jasny brąz szczotkowany</v>
      </c>
      <c r="C460" s="185">
        <f t="shared" si="15"/>
        <v>82.505279999999999</v>
      </c>
      <c r="D460" s="407" t="s">
        <v>2936</v>
      </c>
      <c r="E460" s="407" t="s">
        <v>4616</v>
      </c>
      <c r="F460" s="407" t="s">
        <v>2936</v>
      </c>
      <c r="G460" s="407" t="s">
        <v>4617</v>
      </c>
      <c r="H460" s="460">
        <v>667.29562999999996</v>
      </c>
      <c r="I460" s="460">
        <v>23.992840000000001</v>
      </c>
      <c r="J460" s="460">
        <v>82.505279999999999</v>
      </c>
      <c r="K460" s="460">
        <v>9234.4998200000009</v>
      </c>
      <c r="L460" s="459" t="s">
        <v>538</v>
      </c>
      <c r="M460" s="309" t="s">
        <v>571</v>
      </c>
      <c r="N460" s="182">
        <v>484.74860000000001</v>
      </c>
      <c r="O460">
        <v>21.34</v>
      </c>
      <c r="P460" t="s">
        <v>9189</v>
      </c>
    </row>
    <row r="461" spans="1:16" ht="14.4" x14ac:dyDescent="0.3">
      <c r="A461" s="311">
        <v>348023</v>
      </c>
      <c r="B461" t="e">
        <f t="shared" si="14"/>
        <v>#N/A</v>
      </c>
      <c r="C461" s="185" t="e">
        <f t="shared" si="15"/>
        <v>#N/A</v>
      </c>
      <c r="D461" s="407" t="e">
        <v>#N/A</v>
      </c>
      <c r="E461" s="407" t="e">
        <v>#N/A</v>
      </c>
      <c r="F461" s="407" t="e">
        <v>#N/A</v>
      </c>
      <c r="G461" s="407" t="e">
        <v>#N/A</v>
      </c>
      <c r="H461" s="460" t="e">
        <v>#N/A</v>
      </c>
      <c r="I461" s="460" t="e">
        <v>#N/A</v>
      </c>
      <c r="J461" s="460" t="e">
        <v>#N/A</v>
      </c>
      <c r="K461" s="460" t="e">
        <v>#N/A</v>
      </c>
      <c r="L461" s="459" t="e">
        <v>#N/A</v>
      </c>
      <c r="M461" s="312" t="s">
        <v>571</v>
      </c>
      <c r="N461" s="182">
        <v>493.35</v>
      </c>
      <c r="O461" t="e">
        <v>#N/A</v>
      </c>
      <c r="P461" t="e">
        <v>#N/A</v>
      </c>
    </row>
    <row r="462" spans="1:16" ht="14.4" x14ac:dyDescent="0.3">
      <c r="A462" s="310">
        <v>289095</v>
      </c>
      <c r="B462" t="str">
        <f t="shared" si="14"/>
        <v>SEVROLL Porto rączka 2,7m srebrny</v>
      </c>
      <c r="C462" s="185" t="e">
        <f t="shared" si="15"/>
        <v>#N/A</v>
      </c>
      <c r="D462" s="407" t="s">
        <v>3276</v>
      </c>
      <c r="E462" s="407" t="s">
        <v>4618</v>
      </c>
      <c r="F462" s="407" t="s">
        <v>1113</v>
      </c>
      <c r="G462" s="407" t="s">
        <v>4619</v>
      </c>
      <c r="H462" s="460" t="e">
        <v>#N/A</v>
      </c>
      <c r="I462" s="460" t="e">
        <v>#N/A</v>
      </c>
      <c r="J462" s="460" t="e">
        <v>#N/A</v>
      </c>
      <c r="K462" s="460" t="e">
        <v>#N/A</v>
      </c>
      <c r="L462" s="459" t="e">
        <v>#N/A</v>
      </c>
      <c r="M462" s="309" t="s">
        <v>571</v>
      </c>
      <c r="N462" s="182">
        <v>494.54809999999998</v>
      </c>
      <c r="O462" t="e">
        <v>#N/A</v>
      </c>
      <c r="P462" t="e">
        <v>#N/A</v>
      </c>
    </row>
    <row r="463" spans="1:16" ht="14.4" x14ac:dyDescent="0.3">
      <c r="A463" s="310">
        <v>223557</v>
      </c>
      <c r="B463" t="str">
        <f t="shared" si="14"/>
        <v>SEVROLL Simple tor dolny 6 m oliwka</v>
      </c>
      <c r="C463" s="185" t="e">
        <f t="shared" si="15"/>
        <v>#N/A</v>
      </c>
      <c r="D463" s="407" t="s">
        <v>3073</v>
      </c>
      <c r="E463" s="407" t="s">
        <v>4620</v>
      </c>
      <c r="F463" s="407" t="s">
        <v>4621</v>
      </c>
      <c r="G463" s="407" t="s">
        <v>4622</v>
      </c>
      <c r="H463" s="460" t="e">
        <v>#N/A</v>
      </c>
      <c r="I463" s="460" t="e">
        <v>#N/A</v>
      </c>
      <c r="J463" s="460" t="e">
        <v>#N/A</v>
      </c>
      <c r="K463" s="460" t="e">
        <v>#N/A</v>
      </c>
      <c r="L463" s="459" t="e">
        <v>#N/A</v>
      </c>
      <c r="M463" s="309" t="s">
        <v>571</v>
      </c>
      <c r="N463" s="182">
        <v>496.14659999999998</v>
      </c>
      <c r="O463" t="e">
        <v>#N/A</v>
      </c>
      <c r="P463" t="e">
        <v>#N/A</v>
      </c>
    </row>
    <row r="464" spans="1:16" ht="14.4" x14ac:dyDescent="0.3">
      <c r="A464" s="310">
        <v>89031</v>
      </c>
      <c r="B464" t="str">
        <f t="shared" si="14"/>
        <v>SEVROLL Single tor górny 2,35m jasny brąz</v>
      </c>
      <c r="C464" s="185">
        <f t="shared" si="15"/>
        <v>85.940809999999999</v>
      </c>
      <c r="D464" s="407" t="s">
        <v>2727</v>
      </c>
      <c r="E464" s="407" t="s">
        <v>4623</v>
      </c>
      <c r="F464" s="407" t="s">
        <v>4624</v>
      </c>
      <c r="G464" s="407" t="s">
        <v>4625</v>
      </c>
      <c r="H464" s="460">
        <v>667.82673999999997</v>
      </c>
      <c r="I464" s="460">
        <v>25.189879999999999</v>
      </c>
      <c r="J464" s="460">
        <v>85.940809999999999</v>
      </c>
      <c r="K464" s="460">
        <v>9505.12068</v>
      </c>
      <c r="L464" s="459" t="s">
        <v>539</v>
      </c>
      <c r="M464" s="309" t="s">
        <v>571</v>
      </c>
      <c r="N464" s="182">
        <v>496.50799999999998</v>
      </c>
      <c r="O464">
        <v>21.295999999999999</v>
      </c>
      <c r="P464" t="s">
        <v>9190</v>
      </c>
    </row>
    <row r="465" spans="1:16" ht="14.4" x14ac:dyDescent="0.3">
      <c r="A465" s="310">
        <v>135555</v>
      </c>
      <c r="B465" t="str">
        <f t="shared" si="14"/>
        <v>Sevroll 02723 Comfort 18 II rączka 2,7m srebrna</v>
      </c>
      <c r="C465" s="185">
        <f t="shared" si="15"/>
        <v>92.779200000000003</v>
      </c>
      <c r="D465" s="407" t="s">
        <v>2870</v>
      </c>
      <c r="E465" s="407" t="s">
        <v>4626</v>
      </c>
      <c r="F465" s="407" t="s">
        <v>1261</v>
      </c>
      <c r="G465" s="407" t="s">
        <v>4627</v>
      </c>
      <c r="H465" s="460">
        <v>660.78189999999995</v>
      </c>
      <c r="I465" s="460">
        <v>23.75863</v>
      </c>
      <c r="J465" s="460">
        <v>92.779200000000003</v>
      </c>
      <c r="K465" s="460">
        <v>9144.3581400000003</v>
      </c>
      <c r="L465" s="459" t="s">
        <v>538</v>
      </c>
      <c r="M465" s="309" t="s">
        <v>571</v>
      </c>
      <c r="N465" s="182">
        <v>497.16129999999998</v>
      </c>
      <c r="O465">
        <v>23.408000000000001</v>
      </c>
      <c r="P465" t="s">
        <v>9191</v>
      </c>
    </row>
    <row r="466" spans="1:16" ht="14.4" x14ac:dyDescent="0.3">
      <c r="A466" s="310">
        <v>89069</v>
      </c>
      <c r="B466" t="str">
        <f t="shared" si="14"/>
        <v>SEVROLL 00222 spojovací lišta H30 3m stříbrná</v>
      </c>
      <c r="C466" s="185">
        <f t="shared" si="15"/>
        <v>78.601200000000006</v>
      </c>
      <c r="D466" s="407" t="s">
        <v>2692</v>
      </c>
      <c r="E466" s="407" t="s">
        <v>4628</v>
      </c>
      <c r="F466" s="407" t="s">
        <v>4629</v>
      </c>
      <c r="G466" s="407" t="s">
        <v>2692</v>
      </c>
      <c r="H466" s="460">
        <v>626.04201999999998</v>
      </c>
      <c r="I466" s="460">
        <v>22.509550000000001</v>
      </c>
      <c r="J466" s="460">
        <v>78.601200000000006</v>
      </c>
      <c r="K466" s="460">
        <v>8663.6033499999994</v>
      </c>
      <c r="L466" s="459" t="s">
        <v>538</v>
      </c>
      <c r="M466" s="309" t="s">
        <v>571</v>
      </c>
      <c r="N466" s="182">
        <v>497.81459999999998</v>
      </c>
      <c r="O466">
        <v>21.097999999999999</v>
      </c>
      <c r="P466" t="s">
        <v>9192</v>
      </c>
    </row>
    <row r="467" spans="1:16" ht="14.4" x14ac:dyDescent="0.3">
      <c r="A467" s="310">
        <v>98078</v>
      </c>
      <c r="B467" t="str">
        <f t="shared" si="14"/>
        <v>SEVROLL Everest wózek do skrzydła skośnego - 2 szt.</v>
      </c>
      <c r="C467" s="185">
        <f t="shared" si="15"/>
        <v>67.640100000000004</v>
      </c>
      <c r="D467" s="407" t="s">
        <v>2784</v>
      </c>
      <c r="E467" s="407" t="s">
        <v>4630</v>
      </c>
      <c r="F467" s="407" t="s">
        <v>4631</v>
      </c>
      <c r="G467" s="407" t="s">
        <v>4632</v>
      </c>
      <c r="H467" s="460">
        <v>595.97262999999998</v>
      </c>
      <c r="I467" s="460">
        <v>20.193539999999999</v>
      </c>
      <c r="J467" s="460">
        <v>67.640100000000004</v>
      </c>
      <c r="K467" s="460">
        <v>7955.0789299999997</v>
      </c>
      <c r="L467" s="459" t="s">
        <v>538</v>
      </c>
      <c r="M467" s="309" t="s">
        <v>572</v>
      </c>
      <c r="N467" s="182">
        <v>499.12119999999999</v>
      </c>
      <c r="O467">
        <v>17.974</v>
      </c>
      <c r="P467" t="s">
        <v>9193</v>
      </c>
    </row>
    <row r="468" spans="1:16" ht="14.4" x14ac:dyDescent="0.3">
      <c r="A468" s="310">
        <v>349818</v>
      </c>
      <c r="B468" t="str">
        <f t="shared" si="14"/>
        <v>SEVROLL Blue-V tor dolny 6m srebrny</v>
      </c>
      <c r="C468" s="185">
        <f t="shared" si="15"/>
        <v>0</v>
      </c>
      <c r="D468" s="407" t="s">
        <v>3410</v>
      </c>
      <c r="E468" s="407" t="s">
        <v>4633</v>
      </c>
      <c r="F468" s="407" t="s">
        <v>4634</v>
      </c>
      <c r="G468" s="407" t="s">
        <v>4635</v>
      </c>
      <c r="H468" s="460">
        <v>665.82210999999995</v>
      </c>
      <c r="I468" s="460">
        <v>24.20102</v>
      </c>
      <c r="J468" s="460">
        <v>0</v>
      </c>
      <c r="K468" s="460">
        <v>9460.7373399999997</v>
      </c>
      <c r="L468" s="459" t="s">
        <v>538</v>
      </c>
      <c r="M468" s="309" t="s">
        <v>571</v>
      </c>
      <c r="N468" s="182">
        <v>499.149</v>
      </c>
      <c r="O468">
        <v>23.76</v>
      </c>
      <c r="P468" t="s">
        <v>9194</v>
      </c>
    </row>
    <row r="469" spans="1:16" ht="14.4" x14ac:dyDescent="0.3">
      <c r="A469" s="311">
        <v>340578</v>
      </c>
      <c r="B469" t="e">
        <f t="shared" si="14"/>
        <v>#N/A</v>
      </c>
      <c r="C469" s="185" t="e">
        <f t="shared" si="15"/>
        <v>#N/A</v>
      </c>
      <c r="D469" s="407" t="e">
        <v>#N/A</v>
      </c>
      <c r="E469" s="407" t="e">
        <v>#N/A</v>
      </c>
      <c r="F469" s="407" t="e">
        <v>#N/A</v>
      </c>
      <c r="G469" s="407" t="e">
        <v>#N/A</v>
      </c>
      <c r="H469" s="460" t="e">
        <v>#N/A</v>
      </c>
      <c r="I469" s="460" t="e">
        <v>#N/A</v>
      </c>
      <c r="J469" s="460" t="e">
        <v>#N/A</v>
      </c>
      <c r="K469" s="460" t="e">
        <v>#N/A</v>
      </c>
      <c r="L469" s="459" t="e">
        <v>#N/A</v>
      </c>
      <c r="M469" s="312" t="s">
        <v>571</v>
      </c>
      <c r="N469" s="182">
        <v>501.28960000000001</v>
      </c>
      <c r="O469" t="e">
        <v>#N/A</v>
      </c>
      <c r="P469" t="e">
        <v>#N/A</v>
      </c>
    </row>
    <row r="470" spans="1:16" ht="14.4" x14ac:dyDescent="0.3">
      <c r="A470" s="310">
        <v>223572</v>
      </c>
      <c r="B470" t="str">
        <f t="shared" si="14"/>
        <v>SEVROLL Karat rączka 2,7m srebrny</v>
      </c>
      <c r="C470" s="185">
        <f t="shared" si="15"/>
        <v>78.988799999999998</v>
      </c>
      <c r="D470" s="407" t="s">
        <v>3080</v>
      </c>
      <c r="E470" s="407" t="s">
        <v>4636</v>
      </c>
      <c r="F470" s="407" t="s">
        <v>1234</v>
      </c>
      <c r="G470" s="407" t="s">
        <v>4637</v>
      </c>
      <c r="H470" s="460">
        <v>613.73829000000001</v>
      </c>
      <c r="I470" s="460">
        <v>22.067160000000001</v>
      </c>
      <c r="J470" s="460">
        <v>78.988799999999998</v>
      </c>
      <c r="K470" s="460">
        <v>8493.3359199999995</v>
      </c>
      <c r="L470" s="459" t="s">
        <v>538</v>
      </c>
      <c r="M470" s="309" t="s">
        <v>571</v>
      </c>
      <c r="N470" s="182">
        <v>503.6943</v>
      </c>
      <c r="O470">
        <v>21.207999999999998</v>
      </c>
      <c r="P470" t="s">
        <v>9195</v>
      </c>
    </row>
    <row r="471" spans="1:16" ht="14.4" x14ac:dyDescent="0.3">
      <c r="A471" s="310">
        <v>180324</v>
      </c>
      <c r="B471" t="str">
        <f t="shared" si="14"/>
        <v>SEVROLL 02808 Maxim II tor dolny 3,5m srebrny</v>
      </c>
      <c r="C471" s="185" t="e">
        <f t="shared" si="15"/>
        <v>#N/A</v>
      </c>
      <c r="D471" s="407" t="s">
        <v>2911</v>
      </c>
      <c r="E471" s="407" t="s">
        <v>4638</v>
      </c>
      <c r="F471" s="407" t="s">
        <v>4639</v>
      </c>
      <c r="G471" s="407" t="s">
        <v>4640</v>
      </c>
      <c r="H471" s="460" t="e">
        <v>#N/A</v>
      </c>
      <c r="I471" s="460" t="e">
        <v>#N/A</v>
      </c>
      <c r="J471" s="460" t="e">
        <v>#N/A</v>
      </c>
      <c r="K471" s="460" t="e">
        <v>#N/A</v>
      </c>
      <c r="L471" s="459" t="e">
        <v>#N/A</v>
      </c>
      <c r="M471" s="309" t="s">
        <v>571</v>
      </c>
      <c r="N471" s="182">
        <v>503.6943</v>
      </c>
      <c r="O471" t="e">
        <v>#N/A</v>
      </c>
      <c r="P471" t="e">
        <v>#N/A</v>
      </c>
    </row>
    <row r="472" spans="1:16" ht="14.4" x14ac:dyDescent="0.3">
      <c r="A472" s="311">
        <v>196711</v>
      </c>
      <c r="B472" t="str">
        <f t="shared" si="14"/>
        <v>Sevroll Lux III rączka 2,7 m srebrna</v>
      </c>
      <c r="C472" s="185">
        <f t="shared" si="15"/>
        <v>102.72564</v>
      </c>
      <c r="D472" s="407" t="s">
        <v>2942</v>
      </c>
      <c r="E472" s="407" t="s">
        <v>4641</v>
      </c>
      <c r="F472" s="407" t="s">
        <v>4642</v>
      </c>
      <c r="G472" s="407" t="s">
        <v>4643</v>
      </c>
      <c r="H472" s="460">
        <v>688.28432999999995</v>
      </c>
      <c r="I472" s="460">
        <v>24.747489999999999</v>
      </c>
      <c r="J472" s="460">
        <v>102.72564</v>
      </c>
      <c r="K472" s="460">
        <v>9524.9556599999996</v>
      </c>
      <c r="L472" s="459" t="s">
        <v>538</v>
      </c>
      <c r="M472" s="312" t="s">
        <v>571</v>
      </c>
      <c r="N472" s="182">
        <v>503.84719999999999</v>
      </c>
      <c r="O472">
        <v>22.021999999999998</v>
      </c>
      <c r="P472" t="s">
        <v>9196</v>
      </c>
    </row>
    <row r="473" spans="1:16" ht="14.4" x14ac:dyDescent="0.3">
      <c r="A473" s="310">
        <v>221220</v>
      </c>
      <c r="B473" t="str">
        <f t="shared" si="14"/>
        <v>SEVROLL Comfort tor dolny 3m jasny brąz</v>
      </c>
      <c r="C473" s="185" t="e">
        <f t="shared" si="15"/>
        <v>#N/A</v>
      </c>
      <c r="D473" s="407" t="s">
        <v>3028</v>
      </c>
      <c r="E473" s="407" t="s">
        <v>4644</v>
      </c>
      <c r="F473" s="407" t="s">
        <v>1182</v>
      </c>
      <c r="G473" s="407" t="s">
        <v>4645</v>
      </c>
      <c r="H473" s="460" t="e">
        <v>#N/A</v>
      </c>
      <c r="I473" s="460" t="e">
        <v>#N/A</v>
      </c>
      <c r="J473" s="460" t="e">
        <v>#N/A</v>
      </c>
      <c r="K473" s="460" t="e">
        <v>#N/A</v>
      </c>
      <c r="L473" s="459" t="e">
        <v>#N/A</v>
      </c>
      <c r="M473" s="309" t="s">
        <v>571</v>
      </c>
      <c r="N473" s="182">
        <v>510.22730000000001</v>
      </c>
      <c r="O473">
        <v>25.212</v>
      </c>
      <c r="P473" t="s">
        <v>9197</v>
      </c>
    </row>
    <row r="474" spans="1:16" ht="14.4" x14ac:dyDescent="0.3">
      <c r="A474" s="310">
        <v>308666</v>
      </c>
      <c r="B474" t="str">
        <f t="shared" si="14"/>
        <v>SEVROLL Gemini II tor dolny 4,05m jasny brąz</v>
      </c>
      <c r="C474" s="185">
        <f t="shared" si="15"/>
        <v>87.695409999999995</v>
      </c>
      <c r="D474" s="407" t="s">
        <v>3310</v>
      </c>
      <c r="E474" s="407" t="s">
        <v>4646</v>
      </c>
      <c r="F474" s="407" t="s">
        <v>4647</v>
      </c>
      <c r="G474" s="407" t="s">
        <v>4648</v>
      </c>
      <c r="H474" s="460">
        <v>709.27301999999997</v>
      </c>
      <c r="I474" s="460">
        <v>25.50215</v>
      </c>
      <c r="J474" s="460">
        <v>87.695409999999995</v>
      </c>
      <c r="K474" s="460">
        <v>9815.4118799999997</v>
      </c>
      <c r="L474" s="459" t="s">
        <v>538</v>
      </c>
      <c r="M474" s="309" t="s">
        <v>571</v>
      </c>
      <c r="N474" s="182">
        <v>510.88060000000002</v>
      </c>
      <c r="O474">
        <v>22.835999999999999</v>
      </c>
      <c r="P474" t="s">
        <v>9198</v>
      </c>
    </row>
    <row r="475" spans="1:16" ht="14.4" x14ac:dyDescent="0.3">
      <c r="A475" s="310">
        <v>350024</v>
      </c>
      <c r="B475" t="str">
        <f t="shared" si="14"/>
        <v>SEVROLL tłumienie Simple/Blue 10/18 25kg L+P</v>
      </c>
      <c r="C475" s="185">
        <f t="shared" si="15"/>
        <v>109.51739999999999</v>
      </c>
      <c r="D475" s="407" t="s">
        <v>3426</v>
      </c>
      <c r="E475" s="407" t="s">
        <v>4649</v>
      </c>
      <c r="F475" s="407" t="s">
        <v>4650</v>
      </c>
      <c r="G475" s="407" t="s">
        <v>4651</v>
      </c>
      <c r="H475" s="460">
        <v>728.83765000000005</v>
      </c>
      <c r="I475" s="460">
        <v>24.695450000000001</v>
      </c>
      <c r="J475" s="460">
        <v>109.51739999999999</v>
      </c>
      <c r="K475" s="460">
        <v>9728.5697999999993</v>
      </c>
      <c r="L475" s="459" t="s">
        <v>539</v>
      </c>
      <c r="M475" s="309" t="s">
        <v>574</v>
      </c>
      <c r="N475" s="182">
        <v>511.15859999999998</v>
      </c>
      <c r="O475">
        <v>21.978000000000002</v>
      </c>
      <c r="P475" t="s">
        <v>9199</v>
      </c>
    </row>
    <row r="476" spans="1:16" ht="14.4" x14ac:dyDescent="0.3">
      <c r="A476" s="310">
        <v>293776</v>
      </c>
      <c r="B476" t="str">
        <f t="shared" si="14"/>
        <v>SEVROLL tłumienie Simple/Blue 10/18, 25 - 40kg, L+P</v>
      </c>
      <c r="C476" s="185">
        <f t="shared" si="15"/>
        <v>109.51739999999999</v>
      </c>
      <c r="D476" s="407" t="s">
        <v>3278</v>
      </c>
      <c r="E476" s="407" t="s">
        <v>4652</v>
      </c>
      <c r="F476" s="407" t="s">
        <v>4653</v>
      </c>
      <c r="G476" s="407" t="s">
        <v>4654</v>
      </c>
      <c r="H476" s="460">
        <v>728.83765000000005</v>
      </c>
      <c r="I476" s="460">
        <v>24.695450000000001</v>
      </c>
      <c r="J476" s="460">
        <v>109.51739999999999</v>
      </c>
      <c r="K476" s="460">
        <v>9728.5697999999993</v>
      </c>
      <c r="L476" s="459" t="s">
        <v>539</v>
      </c>
      <c r="M476" s="309" t="s">
        <v>571</v>
      </c>
      <c r="N476" s="182">
        <v>511.15859999999998</v>
      </c>
      <c r="O476">
        <v>21.978000000000002</v>
      </c>
      <c r="P476" t="s">
        <v>9200</v>
      </c>
    </row>
    <row r="477" spans="1:16" ht="14.4" x14ac:dyDescent="0.3">
      <c r="A477" s="310">
        <v>284957</v>
      </c>
      <c r="B477" t="str">
        <f t="shared" si="14"/>
        <v>SEVROLL Maxim tor 2,5 m, jsny brąz</v>
      </c>
      <c r="C477" s="185" t="e">
        <f t="shared" si="15"/>
        <v>#N/A</v>
      </c>
      <c r="D477" s="407" t="s">
        <v>3262</v>
      </c>
      <c r="E477" s="407" t="s">
        <v>4655</v>
      </c>
      <c r="F477" s="407" t="s">
        <v>4656</v>
      </c>
      <c r="G477" s="407" t="s">
        <v>4657</v>
      </c>
      <c r="H477" s="460" t="e">
        <v>#N/A</v>
      </c>
      <c r="I477" s="460" t="e">
        <v>#N/A</v>
      </c>
      <c r="J477" s="460" t="e">
        <v>#N/A</v>
      </c>
      <c r="K477" s="460" t="e">
        <v>#N/A</v>
      </c>
      <c r="L477" s="459" t="e">
        <v>#N/A</v>
      </c>
      <c r="M477" s="309" t="s">
        <v>571</v>
      </c>
      <c r="N477" s="182">
        <v>511.53390000000002</v>
      </c>
      <c r="O477" t="e">
        <v>#N/A</v>
      </c>
      <c r="P477" t="e">
        <v>#N/A</v>
      </c>
    </row>
    <row r="478" spans="1:16" ht="14.4" x14ac:dyDescent="0.3">
      <c r="A478" s="310">
        <v>205074</v>
      </c>
      <c r="B478" t="str">
        <f t="shared" si="14"/>
        <v>SEVROLL Fox II rączka 2,7 m koniak szczotkowany</v>
      </c>
      <c r="C478" s="185">
        <f t="shared" si="15"/>
        <v>90.198599999999999</v>
      </c>
      <c r="D478" s="407" t="s">
        <v>2953</v>
      </c>
      <c r="E478" s="407" t="s">
        <v>4658</v>
      </c>
      <c r="F478" s="407" t="s">
        <v>2953</v>
      </c>
      <c r="G478" s="407" t="s">
        <v>4659</v>
      </c>
      <c r="H478" s="460">
        <v>699.86431000000005</v>
      </c>
      <c r="I478" s="460">
        <v>25.169070000000001</v>
      </c>
      <c r="J478" s="460">
        <v>90.198599999999999</v>
      </c>
      <c r="K478" s="460">
        <v>9685.2075299999997</v>
      </c>
      <c r="L478" s="459" t="s">
        <v>539</v>
      </c>
      <c r="M478" s="309" t="s">
        <v>571</v>
      </c>
      <c r="N478" s="182">
        <v>517.41359999999997</v>
      </c>
      <c r="O478">
        <v>23.122</v>
      </c>
      <c r="P478" t="s">
        <v>9201</v>
      </c>
    </row>
    <row r="479" spans="1:16" ht="14.4" x14ac:dyDescent="0.3">
      <c r="A479" s="310">
        <v>262429</v>
      </c>
      <c r="B479" t="str">
        <f t="shared" si="14"/>
        <v>SEVROLL Optima tor dolny 6m surowy</v>
      </c>
      <c r="C479" s="185" t="e">
        <f t="shared" si="15"/>
        <v>#N/A</v>
      </c>
      <c r="D479" s="407" t="s">
        <v>3200</v>
      </c>
      <c r="E479" s="407" t="s">
        <v>4660</v>
      </c>
      <c r="F479" s="407" t="s">
        <v>1118</v>
      </c>
      <c r="G479" s="407" t="s">
        <v>4661</v>
      </c>
      <c r="H479" s="460" t="e">
        <v>#N/A</v>
      </c>
      <c r="I479" s="460" t="e">
        <v>#N/A</v>
      </c>
      <c r="J479" s="460" t="e">
        <v>#N/A</v>
      </c>
      <c r="K479" s="460" t="e">
        <v>#N/A</v>
      </c>
      <c r="L479" s="459" t="e">
        <v>#N/A</v>
      </c>
      <c r="M479" s="309" t="s">
        <v>571</v>
      </c>
      <c r="N479" s="182">
        <v>519.37350000000004</v>
      </c>
      <c r="O479">
        <v>22.242000000000001</v>
      </c>
      <c r="P479" t="s">
        <v>9202</v>
      </c>
    </row>
    <row r="480" spans="1:16" ht="14.4" x14ac:dyDescent="0.3">
      <c r="A480" s="310">
        <v>278056</v>
      </c>
      <c r="B480" t="str">
        <f t="shared" si="14"/>
        <v>SEVROLL Pax rączka 2,7m srebrny</v>
      </c>
      <c r="C480" s="185">
        <f t="shared" si="15"/>
        <v>78.988799999999998</v>
      </c>
      <c r="D480" s="407" t="s">
        <v>3223</v>
      </c>
      <c r="E480" s="407" t="s">
        <v>4662</v>
      </c>
      <c r="F480" s="407" t="s">
        <v>4663</v>
      </c>
      <c r="G480" s="407" t="s">
        <v>4664</v>
      </c>
      <c r="H480" s="460">
        <v>575.37965999999994</v>
      </c>
      <c r="I480" s="460">
        <v>20.68797</v>
      </c>
      <c r="J480" s="460">
        <v>78.988799999999998</v>
      </c>
      <c r="K480" s="460">
        <v>7962.5024999999996</v>
      </c>
      <c r="L480" s="459" t="s">
        <v>538</v>
      </c>
      <c r="M480" s="309" t="s">
        <v>571</v>
      </c>
      <c r="N480" s="182">
        <v>519.37350000000004</v>
      </c>
      <c r="O480">
        <v>21.207999999999998</v>
      </c>
      <c r="P480" t="s">
        <v>9203</v>
      </c>
    </row>
    <row r="481" spans="1:16" ht="14.4" x14ac:dyDescent="0.3">
      <c r="A481" s="310">
        <v>188680</v>
      </c>
      <c r="B481" t="str">
        <f t="shared" si="14"/>
        <v>SEVROLL Prosper II rączka 2,7m srebrny</v>
      </c>
      <c r="C481" s="185" t="e">
        <f t="shared" si="15"/>
        <v>#N/A</v>
      </c>
      <c r="D481" s="407" t="s">
        <v>2923</v>
      </c>
      <c r="E481" s="407" t="s">
        <v>4665</v>
      </c>
      <c r="F481" s="407" t="s">
        <v>1214</v>
      </c>
      <c r="G481" s="407" t="s">
        <v>4666</v>
      </c>
      <c r="H481" s="460" t="e">
        <v>#N/A</v>
      </c>
      <c r="I481" s="460" t="e">
        <v>#N/A</v>
      </c>
      <c r="J481" s="460" t="e">
        <v>#N/A</v>
      </c>
      <c r="K481" s="460" t="e">
        <v>#N/A</v>
      </c>
      <c r="L481" s="459" t="e">
        <v>#N/A</v>
      </c>
      <c r="M481" s="309" t="s">
        <v>571</v>
      </c>
      <c r="N481" s="182">
        <v>519.37350000000004</v>
      </c>
      <c r="O481" t="e">
        <v>#N/A</v>
      </c>
      <c r="P481" t="e">
        <v>#N/A</v>
      </c>
    </row>
    <row r="482" spans="1:16" ht="14.4" x14ac:dyDescent="0.3">
      <c r="A482" s="310">
        <v>284539</v>
      </c>
      <c r="B482" t="str">
        <f t="shared" si="14"/>
        <v>SEVROLL Rex rączka 2,7m srebrny</v>
      </c>
      <c r="C482" s="185" t="e">
        <f t="shared" si="15"/>
        <v>#N/A</v>
      </c>
      <c r="D482" s="407" t="s">
        <v>3252</v>
      </c>
      <c r="E482" s="407" t="s">
        <v>4667</v>
      </c>
      <c r="F482" s="407" t="s">
        <v>1212</v>
      </c>
      <c r="G482" s="407" t="s">
        <v>4668</v>
      </c>
      <c r="H482" s="460" t="e">
        <v>#N/A</v>
      </c>
      <c r="I482" s="460" t="e">
        <v>#N/A</v>
      </c>
      <c r="J482" s="460" t="e">
        <v>#N/A</v>
      </c>
      <c r="K482" s="460" t="e">
        <v>#N/A</v>
      </c>
      <c r="L482" s="459" t="e">
        <v>#N/A</v>
      </c>
      <c r="M482" s="309" t="s">
        <v>571</v>
      </c>
      <c r="N482" s="182">
        <v>519.37350000000004</v>
      </c>
      <c r="O482" t="e">
        <v>#N/A</v>
      </c>
      <c r="P482" t="e">
        <v>#N/A</v>
      </c>
    </row>
    <row r="483" spans="1:16" ht="14.4" x14ac:dyDescent="0.3">
      <c r="A483" s="310">
        <v>349817</v>
      </c>
      <c r="B483" t="str">
        <f t="shared" si="14"/>
        <v>SEVROLL Blue-V tor dolny 6m jasny brąz</v>
      </c>
      <c r="C483" s="185">
        <f t="shared" si="15"/>
        <v>0</v>
      </c>
      <c r="D483" s="407" t="s">
        <v>3409</v>
      </c>
      <c r="E483" s="407" t="s">
        <v>4669</v>
      </c>
      <c r="F483" s="407" t="s">
        <v>4670</v>
      </c>
      <c r="G483" s="407" t="s">
        <v>4671</v>
      </c>
      <c r="H483" s="460">
        <v>832.63559999999995</v>
      </c>
      <c r="I483" s="460">
        <v>30.251270000000002</v>
      </c>
      <c r="J483" s="460">
        <v>0</v>
      </c>
      <c r="K483" s="460">
        <v>11831.00801</v>
      </c>
      <c r="L483" s="459" t="s">
        <v>538</v>
      </c>
      <c r="M483" s="309" t="s">
        <v>571</v>
      </c>
      <c r="N483" s="182">
        <v>520.16579999999999</v>
      </c>
      <c r="O483">
        <v>26.686</v>
      </c>
      <c r="P483" t="s">
        <v>9204</v>
      </c>
    </row>
    <row r="484" spans="1:16" ht="14.4" x14ac:dyDescent="0.3">
      <c r="A484" s="310">
        <v>135710</v>
      </c>
      <c r="B484" t="str">
        <f t="shared" si="14"/>
        <v>SEVROLL Comfort 16 II rączka 2,7m jasny brąz</v>
      </c>
      <c r="C484" s="185" t="e">
        <f t="shared" si="15"/>
        <v>#N/A</v>
      </c>
      <c r="D484" s="407" t="s">
        <v>2876</v>
      </c>
      <c r="E484" s="407" t="s">
        <v>4672</v>
      </c>
      <c r="F484" s="407" t="s">
        <v>2876</v>
      </c>
      <c r="G484" s="407" t="s">
        <v>4673</v>
      </c>
      <c r="H484" s="460" t="e">
        <v>#N/A</v>
      </c>
      <c r="I484" s="460" t="e">
        <v>#N/A</v>
      </c>
      <c r="J484" s="460" t="e">
        <v>#N/A</v>
      </c>
      <c r="K484" s="460" t="e">
        <v>#N/A</v>
      </c>
      <c r="L484" s="459" t="e">
        <v>#N/A</v>
      </c>
      <c r="M484" s="309" t="s">
        <v>571</v>
      </c>
      <c r="N484" s="182">
        <v>520.68010000000004</v>
      </c>
      <c r="O484">
        <v>25.74</v>
      </c>
      <c r="P484" t="s">
        <v>9205</v>
      </c>
    </row>
    <row r="485" spans="1:16" ht="14.4" x14ac:dyDescent="0.3">
      <c r="A485" s="310">
        <v>135556</v>
      </c>
      <c r="B485" t="str">
        <f t="shared" si="14"/>
        <v>SEVROLL Comfort 18 II rączka 2,7m jasny brąz</v>
      </c>
      <c r="C485" s="185">
        <f t="shared" si="15"/>
        <v>104.69759999999999</v>
      </c>
      <c r="D485" s="407" t="s">
        <v>2871</v>
      </c>
      <c r="E485" s="407" t="s">
        <v>4674</v>
      </c>
      <c r="F485" s="407" t="s">
        <v>2871</v>
      </c>
      <c r="G485" s="407" t="s">
        <v>4675</v>
      </c>
      <c r="H485" s="460">
        <v>846.78513999999996</v>
      </c>
      <c r="I485" s="460">
        <v>30.446439999999999</v>
      </c>
      <c r="J485" s="460">
        <v>104.69759999999999</v>
      </c>
      <c r="K485" s="460">
        <v>11718.3999</v>
      </c>
      <c r="L485" s="459" t="s">
        <v>539</v>
      </c>
      <c r="M485" s="309" t="s">
        <v>571</v>
      </c>
      <c r="N485" s="182">
        <v>520.68010000000004</v>
      </c>
      <c r="O485">
        <v>25.74</v>
      </c>
      <c r="P485" t="s">
        <v>9206</v>
      </c>
    </row>
    <row r="486" spans="1:16" ht="14.4" x14ac:dyDescent="0.3">
      <c r="A486" s="310">
        <v>223573</v>
      </c>
      <c r="B486" t="str">
        <f t="shared" si="14"/>
        <v>SEVROLL Rączka Karat 2,7 m oliwka</v>
      </c>
      <c r="C486" s="185">
        <f t="shared" si="15"/>
        <v>94.854230000000001</v>
      </c>
      <c r="D486" s="407" t="s">
        <v>3081</v>
      </c>
      <c r="E486" s="407" t="s">
        <v>4676</v>
      </c>
      <c r="F486" s="407" t="s">
        <v>1144</v>
      </c>
      <c r="G486" s="407" t="s">
        <v>4677</v>
      </c>
      <c r="H486" s="460">
        <v>767.17286000000001</v>
      </c>
      <c r="I486" s="460">
        <v>27.583960000000001</v>
      </c>
      <c r="J486" s="460">
        <v>94.854230000000001</v>
      </c>
      <c r="K486" s="460">
        <v>10616.67</v>
      </c>
      <c r="L486" s="459" t="s">
        <v>539</v>
      </c>
      <c r="M486" s="309" t="s">
        <v>571</v>
      </c>
      <c r="N486" s="182">
        <v>527.21310000000005</v>
      </c>
      <c r="O486">
        <v>23.32</v>
      </c>
      <c r="P486" t="s">
        <v>9207</v>
      </c>
    </row>
    <row r="487" spans="1:16" ht="14.4" x14ac:dyDescent="0.3">
      <c r="A487" s="313">
        <v>223509</v>
      </c>
      <c r="B487" t="str">
        <f t="shared" si="14"/>
        <v>SEVROLL Herkules 2 tor górny 2 m alu</v>
      </c>
      <c r="C487" s="185" t="e">
        <f t="shared" si="15"/>
        <v>#N/A</v>
      </c>
      <c r="D487" s="407" t="s">
        <v>3052</v>
      </c>
      <c r="E487" s="407" t="s">
        <v>4678</v>
      </c>
      <c r="F487" s="407" t="s">
        <v>4679</v>
      </c>
      <c r="G487" s="407" t="s">
        <v>4680</v>
      </c>
      <c r="H487" s="460" t="e">
        <v>#N/A</v>
      </c>
      <c r="I487" s="460" t="e">
        <v>#N/A</v>
      </c>
      <c r="J487" s="460" t="e">
        <v>#N/A</v>
      </c>
      <c r="K487" s="460" t="e">
        <v>#N/A</v>
      </c>
      <c r="L487" s="459" t="e">
        <v>#N/A</v>
      </c>
      <c r="M487" s="314" t="s">
        <v>571</v>
      </c>
      <c r="N487" s="182">
        <v>531.35252000000003</v>
      </c>
      <c r="O487" t="e">
        <v>#N/A</v>
      </c>
      <c r="P487" t="e">
        <v>#N/A</v>
      </c>
    </row>
    <row r="488" spans="1:16" ht="14.4" x14ac:dyDescent="0.3">
      <c r="A488" s="313">
        <v>251132</v>
      </c>
      <c r="B488" t="str">
        <f t="shared" si="14"/>
        <v>SEVROLL Hide N tor dolny 6 m, srebrny</v>
      </c>
      <c r="C488" s="185">
        <f t="shared" si="15"/>
        <v>0</v>
      </c>
      <c r="D488" s="407" t="s">
        <v>3189</v>
      </c>
      <c r="E488" s="407" t="s">
        <v>1933</v>
      </c>
      <c r="F488" s="407" t="s">
        <v>4681</v>
      </c>
      <c r="G488" s="407" t="s">
        <v>2453</v>
      </c>
      <c r="H488" s="460">
        <v>674.72577999999999</v>
      </c>
      <c r="I488" s="460">
        <v>25.450099999999999</v>
      </c>
      <c r="J488" s="460">
        <v>0</v>
      </c>
      <c r="K488" s="460">
        <v>9603.3140800000001</v>
      </c>
      <c r="L488" s="459" t="s">
        <v>539</v>
      </c>
      <c r="M488" s="314" t="s">
        <v>571</v>
      </c>
      <c r="N488" s="182">
        <v>533.24570000000006</v>
      </c>
      <c r="O488">
        <v>23.782</v>
      </c>
      <c r="P488" t="s">
        <v>9208</v>
      </c>
    </row>
    <row r="489" spans="1:16" ht="14.4" x14ac:dyDescent="0.3">
      <c r="A489" s="310">
        <v>349801</v>
      </c>
      <c r="B489" t="str">
        <f t="shared" si="14"/>
        <v>SEVROLL Blue tor górny 3 m, jasny brąz</v>
      </c>
      <c r="C489" s="185">
        <f t="shared" si="15"/>
        <v>94.933920000000001</v>
      </c>
      <c r="D489" s="407" t="s">
        <v>3395</v>
      </c>
      <c r="E489" s="407" t="s">
        <v>4682</v>
      </c>
      <c r="F489" s="407" t="s">
        <v>4683</v>
      </c>
      <c r="G489" s="407" t="s">
        <v>4684</v>
      </c>
      <c r="H489" s="460">
        <v>778.94028000000003</v>
      </c>
      <c r="I489" s="460">
        <v>28.31259</v>
      </c>
      <c r="J489" s="460">
        <v>94.933920000000001</v>
      </c>
      <c r="K489" s="460">
        <v>11068.045319999999</v>
      </c>
      <c r="L489" s="459" t="s">
        <v>538</v>
      </c>
      <c r="M489" s="309" t="s">
        <v>571</v>
      </c>
      <c r="N489" s="182">
        <v>533.67660000000001</v>
      </c>
      <c r="O489">
        <v>24.771999999999998</v>
      </c>
      <c r="P489" t="s">
        <v>9209</v>
      </c>
    </row>
    <row r="490" spans="1:16" ht="14.4" x14ac:dyDescent="0.3">
      <c r="A490" s="310">
        <v>135684</v>
      </c>
      <c r="B490" t="str">
        <f t="shared" si="14"/>
        <v>SEVROLL Unicomfort II rączka 2,7m srebrna</v>
      </c>
      <c r="C490" s="185">
        <f t="shared" si="15"/>
        <v>90.916880000000006</v>
      </c>
      <c r="D490" s="407" t="s">
        <v>2872</v>
      </c>
      <c r="E490" s="407" t="s">
        <v>4685</v>
      </c>
      <c r="F490" s="407" t="s">
        <v>1194</v>
      </c>
      <c r="G490" s="407" t="s">
        <v>4686</v>
      </c>
      <c r="H490" s="460">
        <v>735.32795999999996</v>
      </c>
      <c r="I490" s="460">
        <v>26.438960000000002</v>
      </c>
      <c r="J490" s="460">
        <v>90.916880000000006</v>
      </c>
      <c r="K490" s="460">
        <v>10175.97788</v>
      </c>
      <c r="L490" s="459" t="s">
        <v>538</v>
      </c>
      <c r="M490" s="309" t="s">
        <v>571</v>
      </c>
      <c r="N490" s="182">
        <v>536.35929999999996</v>
      </c>
      <c r="O490">
        <v>23.518000000000001</v>
      </c>
      <c r="P490" t="s">
        <v>9210</v>
      </c>
    </row>
    <row r="491" spans="1:16" ht="14.4" x14ac:dyDescent="0.3">
      <c r="A491" s="310">
        <v>197747</v>
      </c>
      <c r="B491" t="str">
        <f t="shared" si="14"/>
        <v>SEVROLL Optima tor górny 2m srebrny</v>
      </c>
      <c r="C491" s="185">
        <f t="shared" si="15"/>
        <v>85.741200000000006</v>
      </c>
      <c r="D491" s="407" t="s">
        <v>2948</v>
      </c>
      <c r="E491" s="407" t="s">
        <v>4687</v>
      </c>
      <c r="F491" s="407" t="s">
        <v>4688</v>
      </c>
      <c r="G491" s="407" t="s">
        <v>4689</v>
      </c>
      <c r="H491" s="460">
        <v>683.21807999999999</v>
      </c>
      <c r="I491" s="460">
        <v>24.565329999999999</v>
      </c>
      <c r="J491" s="460">
        <v>85.741200000000006</v>
      </c>
      <c r="K491" s="460">
        <v>9454.8458900000005</v>
      </c>
      <c r="L491" s="459" t="s">
        <v>539</v>
      </c>
      <c r="M491" s="309" t="s">
        <v>571</v>
      </c>
      <c r="N491" s="182">
        <v>537.01260000000002</v>
      </c>
      <c r="O491">
        <v>23.012</v>
      </c>
      <c r="P491" t="s">
        <v>9211</v>
      </c>
    </row>
    <row r="492" spans="1:16" ht="14.4" x14ac:dyDescent="0.3">
      <c r="A492" s="313">
        <v>227185</v>
      </c>
      <c r="B492" t="str">
        <f t="shared" si="14"/>
        <v>K-SEVROLL tłumienie 10/18mm 14-25kg L+P</v>
      </c>
      <c r="C492" s="185">
        <f t="shared" si="15"/>
        <v>0</v>
      </c>
      <c r="D492" s="407" t="s">
        <v>3138</v>
      </c>
      <c r="E492" s="407" t="s">
        <v>4690</v>
      </c>
      <c r="F492" s="407" t="s">
        <v>4691</v>
      </c>
      <c r="G492" s="407" t="s">
        <v>4692</v>
      </c>
      <c r="H492" s="460">
        <v>0</v>
      </c>
      <c r="I492" s="460">
        <v>0</v>
      </c>
      <c r="J492" s="460">
        <v>0</v>
      </c>
      <c r="K492" s="460">
        <v>0</v>
      </c>
      <c r="L492" s="459" t="s">
        <v>538</v>
      </c>
      <c r="M492" s="314" t="s">
        <v>572</v>
      </c>
      <c r="N492" s="182">
        <v>538.31920000000002</v>
      </c>
      <c r="O492">
        <v>0</v>
      </c>
      <c r="P492" t="s">
        <v>9212</v>
      </c>
    </row>
    <row r="493" spans="1:16" ht="14.4" x14ac:dyDescent="0.3">
      <c r="A493" s="313">
        <v>227187</v>
      </c>
      <c r="B493" t="str">
        <f t="shared" si="14"/>
        <v>K-SEVROLL tłumienie 10/18mm 25-50kg L+P</v>
      </c>
      <c r="C493" s="185">
        <f t="shared" si="15"/>
        <v>0</v>
      </c>
      <c r="D493" s="407" t="s">
        <v>3139</v>
      </c>
      <c r="E493" s="407" t="s">
        <v>4693</v>
      </c>
      <c r="F493" s="407" t="s">
        <v>4694</v>
      </c>
      <c r="G493" s="407" t="s">
        <v>4695</v>
      </c>
      <c r="H493" s="460">
        <v>0</v>
      </c>
      <c r="I493" s="460">
        <v>0</v>
      </c>
      <c r="J493" s="460">
        <v>0</v>
      </c>
      <c r="K493" s="460">
        <v>0</v>
      </c>
      <c r="L493" s="459" t="s">
        <v>538</v>
      </c>
      <c r="M493" s="314" t="s">
        <v>572</v>
      </c>
      <c r="N493" s="182">
        <v>538.31920000000002</v>
      </c>
      <c r="O493">
        <v>0</v>
      </c>
      <c r="P493" t="s">
        <v>9213</v>
      </c>
    </row>
    <row r="494" spans="1:16" ht="14.4" x14ac:dyDescent="0.3">
      <c r="A494" s="310">
        <v>163108</v>
      </c>
      <c r="B494" t="str">
        <f t="shared" si="14"/>
        <v>SEVROLL 02851 Doubler II tor dolny 3m srebrny</v>
      </c>
      <c r="C494" s="185">
        <f t="shared" si="15"/>
        <v>94.115399999999994</v>
      </c>
      <c r="D494" s="407" t="s">
        <v>2885</v>
      </c>
      <c r="E494" s="407" t="s">
        <v>4696</v>
      </c>
      <c r="F494" s="407" t="s">
        <v>1255</v>
      </c>
      <c r="G494" s="407" t="s">
        <v>4697</v>
      </c>
      <c r="H494" s="460">
        <v>711.44425999999999</v>
      </c>
      <c r="I494" s="460">
        <v>25.580220000000001</v>
      </c>
      <c r="J494" s="460">
        <v>94.115399999999994</v>
      </c>
      <c r="K494" s="460">
        <v>9845.4589899999992</v>
      </c>
      <c r="L494" s="459" t="s">
        <v>538</v>
      </c>
      <c r="M494" s="309" t="s">
        <v>571</v>
      </c>
      <c r="N494" s="182">
        <v>542.89229999999998</v>
      </c>
      <c r="O494">
        <v>25.277999999999999</v>
      </c>
      <c r="P494" t="s">
        <v>9214</v>
      </c>
    </row>
    <row r="495" spans="1:16" ht="14.4" x14ac:dyDescent="0.3">
      <c r="A495" s="310">
        <v>89071</v>
      </c>
      <c r="B495" t="str">
        <f t="shared" si="14"/>
        <v>SEVROLL 00219 spojovací lišta H30 3m oliva</v>
      </c>
      <c r="C495" s="185">
        <f t="shared" si="15"/>
        <v>94.406800000000004</v>
      </c>
      <c r="D495" s="407" t="s">
        <v>2691</v>
      </c>
      <c r="E495" s="407" t="s">
        <v>4698</v>
      </c>
      <c r="F495" s="407" t="s">
        <v>4699</v>
      </c>
      <c r="G495" s="407" t="s">
        <v>2691</v>
      </c>
      <c r="H495" s="460">
        <v>763.55412999999999</v>
      </c>
      <c r="I495" s="460">
        <v>27.45384</v>
      </c>
      <c r="J495" s="460">
        <v>94.406800000000004</v>
      </c>
      <c r="K495" s="460">
        <v>10566.59137</v>
      </c>
      <c r="L495" s="459" t="s">
        <v>538</v>
      </c>
      <c r="M495" s="309" t="s">
        <v>571</v>
      </c>
      <c r="N495" s="182">
        <v>547.46540000000005</v>
      </c>
      <c r="O495">
        <v>23.21</v>
      </c>
      <c r="P495" t="s">
        <v>9215</v>
      </c>
    </row>
    <row r="496" spans="1:16" ht="14.4" x14ac:dyDescent="0.3">
      <c r="A496" s="310">
        <v>278057</v>
      </c>
      <c r="B496" t="str">
        <f t="shared" si="14"/>
        <v>SEVROLL Pax rączka 3m srebrny</v>
      </c>
      <c r="C496" s="185">
        <f t="shared" si="15"/>
        <v>87.771000000000001</v>
      </c>
      <c r="D496" s="407" t="s">
        <v>3224</v>
      </c>
      <c r="E496" s="407" t="s">
        <v>4700</v>
      </c>
      <c r="F496" s="407" t="s">
        <v>1117</v>
      </c>
      <c r="G496" s="407" t="s">
        <v>4701</v>
      </c>
      <c r="H496" s="460">
        <v>639.79319999999996</v>
      </c>
      <c r="I496" s="460">
        <v>23.003979999999999</v>
      </c>
      <c r="J496" s="460">
        <v>87.771000000000001</v>
      </c>
      <c r="K496" s="460">
        <v>8853.9022999999997</v>
      </c>
      <c r="L496" s="459" t="s">
        <v>539</v>
      </c>
      <c r="M496" s="309" t="s">
        <v>571</v>
      </c>
      <c r="N496" s="182">
        <v>550.07860000000005</v>
      </c>
      <c r="O496">
        <v>23.562000000000001</v>
      </c>
      <c r="P496" t="s">
        <v>9216</v>
      </c>
    </row>
    <row r="497" spans="1:16" ht="14.4" x14ac:dyDescent="0.3">
      <c r="A497" s="311">
        <v>196709</v>
      </c>
      <c r="B497" t="str">
        <f t="shared" si="14"/>
        <v>Sevroll Lux III rączka 2,7 m jasny brąz</v>
      </c>
      <c r="C497" s="185" t="e">
        <f t="shared" si="15"/>
        <v>#N/A</v>
      </c>
      <c r="D497" s="407" t="s">
        <v>2941</v>
      </c>
      <c r="E497" s="407" t="s">
        <v>4702</v>
      </c>
      <c r="F497" s="407" t="s">
        <v>2941</v>
      </c>
      <c r="G497" s="407" t="s">
        <v>4703</v>
      </c>
      <c r="H497" s="460" t="e">
        <v>#N/A</v>
      </c>
      <c r="I497" s="460" t="e">
        <v>#N/A</v>
      </c>
      <c r="J497" s="460" t="e">
        <v>#N/A</v>
      </c>
      <c r="K497" s="460" t="e">
        <v>#N/A</v>
      </c>
      <c r="L497" s="459" t="e">
        <v>#N/A</v>
      </c>
      <c r="M497" s="312" t="s">
        <v>571</v>
      </c>
      <c r="N497" s="182">
        <v>553.08100000000002</v>
      </c>
      <c r="O497">
        <v>0</v>
      </c>
      <c r="P497" t="s">
        <v>9217</v>
      </c>
    </row>
    <row r="498" spans="1:16" ht="14.4" x14ac:dyDescent="0.3">
      <c r="A498" s="310">
        <v>135685</v>
      </c>
      <c r="B498" t="str">
        <f t="shared" si="14"/>
        <v>SEVROLL Unicomfort II rączka 2,7m jasny brąz</v>
      </c>
      <c r="C498" s="185">
        <f t="shared" si="15"/>
        <v>105.2345</v>
      </c>
      <c r="D498" s="407" t="s">
        <v>2873</v>
      </c>
      <c r="E498" s="407" t="s">
        <v>4704</v>
      </c>
      <c r="F498" s="407" t="s">
        <v>2873</v>
      </c>
      <c r="G498" s="407" t="s">
        <v>4705</v>
      </c>
      <c r="H498" s="460">
        <v>851.12764000000004</v>
      </c>
      <c r="I498" s="460">
        <v>30.60258</v>
      </c>
      <c r="J498" s="460">
        <v>105.2345</v>
      </c>
      <c r="K498" s="460">
        <v>11778.494119999999</v>
      </c>
      <c r="L498" s="459" t="s">
        <v>539</v>
      </c>
      <c r="M498" s="309" t="s">
        <v>571</v>
      </c>
      <c r="N498" s="182">
        <v>561.83799999999997</v>
      </c>
      <c r="O498">
        <v>25.872</v>
      </c>
      <c r="P498" t="s">
        <v>9218</v>
      </c>
    </row>
    <row r="499" spans="1:16" ht="14.4" x14ac:dyDescent="0.3">
      <c r="A499" s="310">
        <v>224014</v>
      </c>
      <c r="B499" t="str">
        <f t="shared" si="14"/>
        <v>SEVROLL Simple tor górny 4 m srebrny</v>
      </c>
      <c r="C499" s="185">
        <f t="shared" si="15"/>
        <v>105.13754</v>
      </c>
      <c r="D499" s="407" t="s">
        <v>3086</v>
      </c>
      <c r="E499" s="407" t="s">
        <v>4706</v>
      </c>
      <c r="F499" s="407" t="s">
        <v>1049</v>
      </c>
      <c r="G499" s="407" t="s">
        <v>4707</v>
      </c>
      <c r="H499" s="460">
        <v>787.53152999999998</v>
      </c>
      <c r="I499" s="460">
        <v>28.624860000000002</v>
      </c>
      <c r="J499" s="460">
        <v>105.13754</v>
      </c>
      <c r="K499" s="460">
        <v>11190.119420000001</v>
      </c>
      <c r="L499" s="459" t="s">
        <v>539</v>
      </c>
      <c r="M499" s="309" t="s">
        <v>571</v>
      </c>
      <c r="N499" s="182">
        <v>566.70299999999997</v>
      </c>
      <c r="O499">
        <v>28.204000000000001</v>
      </c>
      <c r="P499" t="s">
        <v>9219</v>
      </c>
    </row>
    <row r="500" spans="1:16" ht="14.4" x14ac:dyDescent="0.3">
      <c r="A500" s="310">
        <v>278058</v>
      </c>
      <c r="B500" t="str">
        <f t="shared" si="14"/>
        <v>SEVROLL Pax listwa pozioma górna 3m srebrny</v>
      </c>
      <c r="C500" s="185">
        <f t="shared" si="15"/>
        <v>86.302199999999999</v>
      </c>
      <c r="D500" s="407" t="s">
        <v>3225</v>
      </c>
      <c r="E500" s="407" t="s">
        <v>4708</v>
      </c>
      <c r="F500" s="407" t="s">
        <v>4709</v>
      </c>
      <c r="G500" s="407" t="s">
        <v>4710</v>
      </c>
      <c r="H500" s="460">
        <v>628.21325000000002</v>
      </c>
      <c r="I500" s="460">
        <v>22.587620000000001</v>
      </c>
      <c r="J500" s="460">
        <v>86.302199999999999</v>
      </c>
      <c r="K500" s="460">
        <v>8693.6504600000007</v>
      </c>
      <c r="L500" s="459" t="s">
        <v>538</v>
      </c>
      <c r="M500" s="309" t="s">
        <v>571</v>
      </c>
      <c r="N500" s="182">
        <v>567.06439999999998</v>
      </c>
      <c r="O500">
        <v>23.166</v>
      </c>
      <c r="P500" t="s">
        <v>9220</v>
      </c>
    </row>
    <row r="501" spans="1:16" ht="14.4" x14ac:dyDescent="0.3">
      <c r="A501" s="310">
        <v>100102</v>
      </c>
      <c r="B501" t="str">
        <f t="shared" si="14"/>
        <v>SEVROLL Master rączka 2,7m srebrna</v>
      </c>
      <c r="C501" s="185">
        <f t="shared" si="15"/>
        <v>90.78</v>
      </c>
      <c r="D501" s="407" t="s">
        <v>2795</v>
      </c>
      <c r="E501" s="407" t="s">
        <v>4711</v>
      </c>
      <c r="F501" s="407" t="s">
        <v>4712</v>
      </c>
      <c r="G501" s="407" t="s">
        <v>4713</v>
      </c>
      <c r="H501" s="460">
        <v>701.31179999999995</v>
      </c>
      <c r="I501" s="460">
        <v>25.21069</v>
      </c>
      <c r="J501" s="460">
        <v>90.78</v>
      </c>
      <c r="K501" s="460">
        <v>9705.2390599999999</v>
      </c>
      <c r="L501" s="459" t="s">
        <v>539</v>
      </c>
      <c r="M501" s="309" t="s">
        <v>571</v>
      </c>
      <c r="N501" s="182">
        <v>567.71770000000004</v>
      </c>
      <c r="O501">
        <v>24.376000000000001</v>
      </c>
      <c r="P501" t="s">
        <v>9221</v>
      </c>
    </row>
    <row r="502" spans="1:16" ht="14.4" x14ac:dyDescent="0.3">
      <c r="A502" s="310">
        <v>163113</v>
      </c>
      <c r="B502" t="str">
        <f t="shared" si="14"/>
        <v>SEVROLL Doubler II tor dolny 3m jasny brąz</v>
      </c>
      <c r="C502" s="185">
        <f t="shared" si="15"/>
        <v>109.97721</v>
      </c>
      <c r="D502" s="407" t="s">
        <v>2889</v>
      </c>
      <c r="E502" s="407" t="s">
        <v>4714</v>
      </c>
      <c r="F502" s="407" t="s">
        <v>4715</v>
      </c>
      <c r="G502" s="407" t="s">
        <v>4716</v>
      </c>
      <c r="H502" s="460">
        <v>889.48626999999999</v>
      </c>
      <c r="I502" s="460">
        <v>31.981780000000001</v>
      </c>
      <c r="J502" s="460">
        <v>109.97721</v>
      </c>
      <c r="K502" s="460">
        <v>12309.32792</v>
      </c>
      <c r="L502" s="459" t="s">
        <v>539</v>
      </c>
      <c r="M502" s="309" t="s">
        <v>571</v>
      </c>
      <c r="N502" s="182">
        <v>568.37099999999998</v>
      </c>
      <c r="O502">
        <v>27.786000000000001</v>
      </c>
      <c r="P502" t="s">
        <v>9222</v>
      </c>
    </row>
    <row r="503" spans="1:16" ht="14.4" x14ac:dyDescent="0.3">
      <c r="A503" s="310">
        <v>308632</v>
      </c>
      <c r="B503" t="str">
        <f t="shared" si="14"/>
        <v>SEVROLL Porto rączka 2,7m jasny brąz</v>
      </c>
      <c r="C503" s="185" t="e">
        <f t="shared" si="15"/>
        <v>#N/A</v>
      </c>
      <c r="D503" s="407" t="s">
        <v>3302</v>
      </c>
      <c r="E503" s="407" t="s">
        <v>4717</v>
      </c>
      <c r="F503" s="407" t="s">
        <v>1114</v>
      </c>
      <c r="G503" s="407" t="s">
        <v>4718</v>
      </c>
      <c r="H503" s="460" t="e">
        <v>#N/A</v>
      </c>
      <c r="I503" s="460" t="e">
        <v>#N/A</v>
      </c>
      <c r="J503" s="460" t="e">
        <v>#N/A</v>
      </c>
      <c r="K503" s="460" t="e">
        <v>#N/A</v>
      </c>
      <c r="L503" s="459" t="e">
        <v>#N/A</v>
      </c>
      <c r="M503" s="309" t="s">
        <v>571</v>
      </c>
      <c r="N503" s="182">
        <v>568.37099999999998</v>
      </c>
      <c r="O503" t="e">
        <v>#N/A</v>
      </c>
      <c r="P503" t="e">
        <v>#N/A</v>
      </c>
    </row>
    <row r="504" spans="1:16" ht="14.4" x14ac:dyDescent="0.3">
      <c r="A504" s="310">
        <v>238030</v>
      </c>
      <c r="B504" t="str">
        <f t="shared" si="14"/>
        <v>SEVROLL Prosper II rączka 2,7 m oliwka</v>
      </c>
      <c r="C504" s="185" t="e">
        <f t="shared" si="15"/>
        <v>#N/A</v>
      </c>
      <c r="D504" s="407" t="s">
        <v>3174</v>
      </c>
      <c r="E504" s="407" t="s">
        <v>4719</v>
      </c>
      <c r="F504" s="407" t="s">
        <v>1106</v>
      </c>
      <c r="G504" s="407" t="s">
        <v>4720</v>
      </c>
      <c r="H504" s="460" t="e">
        <v>#N/A</v>
      </c>
      <c r="I504" s="460" t="e">
        <v>#N/A</v>
      </c>
      <c r="J504" s="460" t="e">
        <v>#N/A</v>
      </c>
      <c r="K504" s="460" t="e">
        <v>#N/A</v>
      </c>
      <c r="L504" s="459" t="e">
        <v>#N/A</v>
      </c>
      <c r="M504" s="309" t="s">
        <v>571</v>
      </c>
      <c r="N504" s="182">
        <v>568.37099999999998</v>
      </c>
      <c r="O504" t="e">
        <v>#N/A</v>
      </c>
      <c r="P504" t="e">
        <v>#N/A</v>
      </c>
    </row>
    <row r="505" spans="1:16" ht="14.4" x14ac:dyDescent="0.3">
      <c r="A505" s="310">
        <v>284592</v>
      </c>
      <c r="B505" t="str">
        <f t="shared" si="14"/>
        <v>SEVROLL Rex rączka 2,7m jasny brąz</v>
      </c>
      <c r="C505" s="185" t="e">
        <f t="shared" si="15"/>
        <v>#N/A</v>
      </c>
      <c r="D505" s="407" t="s">
        <v>3256</v>
      </c>
      <c r="E505" s="407" t="s">
        <v>4721</v>
      </c>
      <c r="F505" s="407" t="s">
        <v>1105</v>
      </c>
      <c r="G505" s="407" t="s">
        <v>4722</v>
      </c>
      <c r="H505" s="460" t="e">
        <v>#N/A</v>
      </c>
      <c r="I505" s="460" t="e">
        <v>#N/A</v>
      </c>
      <c r="J505" s="460" t="e">
        <v>#N/A</v>
      </c>
      <c r="K505" s="460" t="e">
        <v>#N/A</v>
      </c>
      <c r="L505" s="459" t="e">
        <v>#N/A</v>
      </c>
      <c r="M505" s="309" t="s">
        <v>571</v>
      </c>
      <c r="N505" s="182">
        <v>568.37099999999998</v>
      </c>
      <c r="O505" t="e">
        <v>#N/A</v>
      </c>
      <c r="P505" t="e">
        <v>#N/A</v>
      </c>
    </row>
    <row r="506" spans="1:16" ht="14.4" x14ac:dyDescent="0.3">
      <c r="A506" s="310">
        <v>284975</v>
      </c>
      <c r="B506" t="str">
        <f t="shared" si="14"/>
        <v>SEVROLL Maxim II tor dolny 3,5m jasny brąz</v>
      </c>
      <c r="C506" s="185" t="e">
        <f t="shared" si="15"/>
        <v>#N/A</v>
      </c>
      <c r="D506" s="407" t="s">
        <v>3269</v>
      </c>
      <c r="E506" s="407" t="s">
        <v>4723</v>
      </c>
      <c r="F506" s="407" t="s">
        <v>1128</v>
      </c>
      <c r="G506" s="407" t="s">
        <v>4724</v>
      </c>
      <c r="H506" s="460" t="e">
        <v>#N/A</v>
      </c>
      <c r="I506" s="460" t="e">
        <v>#N/A</v>
      </c>
      <c r="J506" s="460" t="e">
        <v>#N/A</v>
      </c>
      <c r="K506" s="460" t="e">
        <v>#N/A</v>
      </c>
      <c r="L506" s="459" t="e">
        <v>#N/A</v>
      </c>
      <c r="M506" s="309" t="s">
        <v>571</v>
      </c>
      <c r="N506" s="182">
        <v>579.47709999999995</v>
      </c>
      <c r="O506" t="e">
        <v>#N/A</v>
      </c>
      <c r="P506" t="e">
        <v>#N/A</v>
      </c>
    </row>
    <row r="507" spans="1:16" ht="14.4" x14ac:dyDescent="0.3">
      <c r="A507" s="310">
        <v>89111</v>
      </c>
      <c r="B507" t="str">
        <f t="shared" si="14"/>
        <v>SEVROLL 01011 Gemini horní vedení 3m oliva</v>
      </c>
      <c r="C507" s="185">
        <f t="shared" si="15"/>
        <v>107.38215</v>
      </c>
      <c r="D507" s="407" t="s">
        <v>2636</v>
      </c>
      <c r="E507" s="407" t="s">
        <v>4725</v>
      </c>
      <c r="F507" s="407" t="s">
        <v>4726</v>
      </c>
      <c r="G507" s="407" t="s">
        <v>2636</v>
      </c>
      <c r="H507" s="460">
        <v>868.49757999999997</v>
      </c>
      <c r="I507" s="460">
        <v>31.227119999999999</v>
      </c>
      <c r="J507" s="460">
        <v>107.38215</v>
      </c>
      <c r="K507" s="460">
        <v>12018.8717</v>
      </c>
      <c r="L507" s="459" t="s">
        <v>538</v>
      </c>
      <c r="M507" s="309" t="s">
        <v>571</v>
      </c>
      <c r="N507" s="182">
        <v>586.66340000000002</v>
      </c>
      <c r="O507">
        <v>29.282</v>
      </c>
      <c r="P507" t="s">
        <v>9223</v>
      </c>
    </row>
    <row r="508" spans="1:16" ht="14.4" x14ac:dyDescent="0.3">
      <c r="A508" s="310">
        <v>89110</v>
      </c>
      <c r="B508" t="str">
        <f t="shared" si="14"/>
        <v>SEVROLL 01033 Gemini horní vedení 3m zlatá</v>
      </c>
      <c r="C508" s="185">
        <f t="shared" si="15"/>
        <v>107.38215</v>
      </c>
      <c r="D508" s="407" t="s">
        <v>2635</v>
      </c>
      <c r="E508" s="407" t="s">
        <v>4727</v>
      </c>
      <c r="F508" s="407" t="s">
        <v>4728</v>
      </c>
      <c r="G508" s="407" t="s">
        <v>2635</v>
      </c>
      <c r="H508" s="460">
        <v>868.49757999999997</v>
      </c>
      <c r="I508" s="460">
        <v>31.227119999999999</v>
      </c>
      <c r="J508" s="460">
        <v>107.38215</v>
      </c>
      <c r="K508" s="460">
        <v>12018.8717</v>
      </c>
      <c r="L508" s="459" t="s">
        <v>539</v>
      </c>
      <c r="M508" s="309" t="s">
        <v>571</v>
      </c>
      <c r="N508" s="182">
        <v>586.66340000000002</v>
      </c>
      <c r="O508">
        <v>30.184000000000001</v>
      </c>
      <c r="P508" t="s">
        <v>9224</v>
      </c>
    </row>
    <row r="509" spans="1:16" ht="14.4" x14ac:dyDescent="0.3">
      <c r="A509" s="310">
        <v>98077</v>
      </c>
      <c r="B509" t="str">
        <f t="shared" si="14"/>
        <v>SEVROLL Everest tor 3 m, srebrny</v>
      </c>
      <c r="C509" s="185">
        <f t="shared" si="15"/>
        <v>89.321399999999997</v>
      </c>
      <c r="D509" s="407" t="s">
        <v>2783</v>
      </c>
      <c r="E509" s="407" t="s">
        <v>4729</v>
      </c>
      <c r="F509" s="407" t="s">
        <v>1254</v>
      </c>
      <c r="G509" s="407" t="s">
        <v>4730</v>
      </c>
      <c r="H509" s="460">
        <v>712.16800000000001</v>
      </c>
      <c r="I509" s="460">
        <v>25.60624</v>
      </c>
      <c r="J509" s="460">
        <v>89.321399999999997</v>
      </c>
      <c r="K509" s="460">
        <v>9855.4749599999996</v>
      </c>
      <c r="L509" s="459" t="s">
        <v>538</v>
      </c>
      <c r="M509" s="309" t="s">
        <v>571</v>
      </c>
      <c r="N509" s="182">
        <v>587.31669999999997</v>
      </c>
      <c r="O509">
        <v>23.98</v>
      </c>
      <c r="P509" t="s">
        <v>9225</v>
      </c>
    </row>
    <row r="510" spans="1:16" ht="14.4" x14ac:dyDescent="0.3">
      <c r="A510" s="313">
        <v>279078</v>
      </c>
      <c r="B510" t="str">
        <f t="shared" si="14"/>
        <v>SEVROLL Hide N tor dolny 6 m, jasny brąz</v>
      </c>
      <c r="C510" s="185">
        <f t="shared" si="15"/>
        <v>0</v>
      </c>
      <c r="D510" s="407" t="s">
        <v>3229</v>
      </c>
      <c r="E510" s="407" t="s">
        <v>4731</v>
      </c>
      <c r="F510" s="407" t="s">
        <v>4732</v>
      </c>
      <c r="G510" s="407" t="s">
        <v>4733</v>
      </c>
      <c r="H510" s="460">
        <v>790.62959000000001</v>
      </c>
      <c r="I510" s="460">
        <v>29.821899999999999</v>
      </c>
      <c r="J510" s="460">
        <v>0</v>
      </c>
      <c r="K510" s="460">
        <v>11252.96305</v>
      </c>
      <c r="L510" s="459" t="s">
        <v>539</v>
      </c>
      <c r="M510" s="314" t="s">
        <v>571</v>
      </c>
      <c r="N510" s="182">
        <v>587.51685999999995</v>
      </c>
      <c r="O510">
        <v>25.321999999999999</v>
      </c>
      <c r="P510" t="s">
        <v>9226</v>
      </c>
    </row>
    <row r="511" spans="1:16" ht="14.4" x14ac:dyDescent="0.3">
      <c r="A511" s="310">
        <v>307703</v>
      </c>
      <c r="B511" t="str">
        <f t="shared" si="14"/>
        <v>SEVROLL Everest tor 3m jasny brąz</v>
      </c>
      <c r="C511" s="185" t="e">
        <f t="shared" si="15"/>
        <v>#N/A</v>
      </c>
      <c r="D511" s="407" t="s">
        <v>3294</v>
      </c>
      <c r="E511" s="407" t="s">
        <v>4734</v>
      </c>
      <c r="F511" s="407" t="s">
        <v>1176</v>
      </c>
      <c r="G511" s="407" t="s">
        <v>4735</v>
      </c>
      <c r="H511" s="460" t="e">
        <v>#N/A</v>
      </c>
      <c r="I511" s="460" t="e">
        <v>#N/A</v>
      </c>
      <c r="J511" s="460" t="e">
        <v>#N/A</v>
      </c>
      <c r="K511" s="460" t="e">
        <v>#N/A</v>
      </c>
      <c r="L511" s="459" t="e">
        <v>#N/A</v>
      </c>
      <c r="M511" s="309" t="s">
        <v>571</v>
      </c>
      <c r="N511" s="182">
        <v>589.27660000000003</v>
      </c>
      <c r="O511">
        <v>25.277999999999999</v>
      </c>
      <c r="P511" t="s">
        <v>9227</v>
      </c>
    </row>
    <row r="512" spans="1:16" ht="14.4" x14ac:dyDescent="0.3">
      <c r="A512" s="310">
        <v>351541</v>
      </c>
      <c r="B512" t="str">
        <f t="shared" si="14"/>
        <v>SEVROLL Gemini II tor dolny 4,05m biały połysk</v>
      </c>
      <c r="C512" s="185" t="e">
        <f t="shared" si="15"/>
        <v>#N/A</v>
      </c>
      <c r="D512" s="407" t="s">
        <v>3433</v>
      </c>
      <c r="E512" s="407" t="s">
        <v>4736</v>
      </c>
      <c r="F512" s="407" t="s">
        <v>4737</v>
      </c>
      <c r="G512" s="407" t="s">
        <v>4738</v>
      </c>
      <c r="H512" s="460" t="e">
        <v>#N/A</v>
      </c>
      <c r="I512" s="460" t="e">
        <v>#N/A</v>
      </c>
      <c r="J512" s="460" t="e">
        <v>#N/A</v>
      </c>
      <c r="K512" s="460" t="e">
        <v>#N/A</v>
      </c>
      <c r="L512" s="459" t="e">
        <v>#N/A</v>
      </c>
      <c r="M512" s="309" t="s">
        <v>571</v>
      </c>
      <c r="N512" s="182">
        <v>589.27660000000003</v>
      </c>
      <c r="O512">
        <v>26.795999999999999</v>
      </c>
      <c r="P512" t="s">
        <v>9228</v>
      </c>
    </row>
    <row r="513" spans="1:16" ht="14.4" x14ac:dyDescent="0.3">
      <c r="A513" s="310">
        <v>212542</v>
      </c>
      <c r="B513" t="str">
        <f t="shared" si="14"/>
        <v>SEVROLL Star rączka 2,7 m srebrna</v>
      </c>
      <c r="C513" s="185" t="e">
        <f t="shared" si="15"/>
        <v>#N/A</v>
      </c>
      <c r="D513" s="407" t="s">
        <v>2986</v>
      </c>
      <c r="E513" s="407" t="s">
        <v>4739</v>
      </c>
      <c r="F513" s="407" t="s">
        <v>1098</v>
      </c>
      <c r="G513" s="407" t="s">
        <v>4740</v>
      </c>
      <c r="H513" s="460" t="e">
        <v>#N/A</v>
      </c>
      <c r="I513" s="460" t="e">
        <v>#N/A</v>
      </c>
      <c r="J513" s="460" t="e">
        <v>#N/A</v>
      </c>
      <c r="K513" s="460" t="e">
        <v>#N/A</v>
      </c>
      <c r="L513" s="459" t="e">
        <v>#N/A</v>
      </c>
      <c r="M513" s="309" t="s">
        <v>571</v>
      </c>
      <c r="N513" s="182">
        <v>602.99590000000001</v>
      </c>
      <c r="O513">
        <v>25.85</v>
      </c>
      <c r="P513" t="s">
        <v>9229</v>
      </c>
    </row>
    <row r="514" spans="1:16" ht="14.4" x14ac:dyDescent="0.3">
      <c r="A514" s="310">
        <v>89035</v>
      </c>
      <c r="B514" t="str">
        <f t="shared" si="14"/>
        <v>SEVROLL 01257 Single horní vedení 3m stříbrná</v>
      </c>
      <c r="C514" s="185">
        <f t="shared" si="15"/>
        <v>90.113560000000007</v>
      </c>
      <c r="D514" s="407" t="s">
        <v>2730</v>
      </c>
      <c r="E514" s="407" t="s">
        <v>4741</v>
      </c>
      <c r="F514" s="407" t="s">
        <v>4742</v>
      </c>
      <c r="G514" s="407" t="s">
        <v>2730</v>
      </c>
      <c r="H514" s="460">
        <v>700.25221999999997</v>
      </c>
      <c r="I514" s="460">
        <v>26.412939999999999</v>
      </c>
      <c r="J514" s="460">
        <v>90.113560000000007</v>
      </c>
      <c r="K514" s="460">
        <v>9966.6297300000006</v>
      </c>
      <c r="L514" s="459" t="s">
        <v>538</v>
      </c>
      <c r="M514" s="309" t="s">
        <v>571</v>
      </c>
      <c r="N514" s="182">
        <v>605.60910000000001</v>
      </c>
      <c r="O514">
        <v>24.728000000000002</v>
      </c>
      <c r="P514" t="s">
        <v>9230</v>
      </c>
    </row>
    <row r="515" spans="1:16" ht="14.4" x14ac:dyDescent="0.3">
      <c r="A515" s="313">
        <v>224161</v>
      </c>
      <c r="B515" t="str">
        <f t="shared" si="14"/>
        <v>SEVROLL Symetric zestaw okuć do 2 skrzydeł</v>
      </c>
      <c r="C515" s="185" t="e">
        <f t="shared" si="15"/>
        <v>#N/A</v>
      </c>
      <c r="D515" s="407" t="s">
        <v>3125</v>
      </c>
      <c r="E515" s="407" t="s">
        <v>4743</v>
      </c>
      <c r="F515" s="407" t="s">
        <v>4744</v>
      </c>
      <c r="G515" s="407" t="s">
        <v>4745</v>
      </c>
      <c r="H515" s="460" t="e">
        <v>#N/A</v>
      </c>
      <c r="I515" s="460" t="e">
        <v>#N/A</v>
      </c>
      <c r="J515" s="460" t="e">
        <v>#N/A</v>
      </c>
      <c r="K515" s="460" t="e">
        <v>#N/A</v>
      </c>
      <c r="L515" s="459" t="e">
        <v>#N/A</v>
      </c>
      <c r="M515" s="314" t="s">
        <v>571</v>
      </c>
      <c r="N515" s="182">
        <v>610.86608000000001</v>
      </c>
      <c r="O515">
        <v>33.792000000000002</v>
      </c>
      <c r="P515" t="s">
        <v>9231</v>
      </c>
    </row>
    <row r="516" spans="1:16" ht="14.4" x14ac:dyDescent="0.3">
      <c r="A516" s="313">
        <v>223528</v>
      </c>
      <c r="B516" t="str">
        <f t="shared" ref="B516:B579" si="16">IF($A$2=1,D516,IF($A$2=2,F516,IF($A$2=3,G516,IF($A$2=4,E516,IF($A$2&gt;4,P516,"zadat jazyk")))))</f>
        <v>SEVROLL Herkules zestaw okuć 60kg</v>
      </c>
      <c r="C516" s="185" t="e">
        <f t="shared" ref="C516:C579" si="17">IF($A$2=1,H516,IF($A$2=2,I516,IF($A$2=3,J516,IF($A$2=4,K516,IF($A$2&gt;4,O516,"zadat jazyk")))))</f>
        <v>#N/A</v>
      </c>
      <c r="D516" s="407" t="s">
        <v>3067</v>
      </c>
      <c r="E516" s="407" t="s">
        <v>4746</v>
      </c>
      <c r="F516" s="407" t="s">
        <v>1153</v>
      </c>
      <c r="G516" s="407" t="s">
        <v>4747</v>
      </c>
      <c r="H516" s="460" t="e">
        <v>#N/A</v>
      </c>
      <c r="I516" s="460" t="e">
        <v>#N/A</v>
      </c>
      <c r="J516" s="460" t="e">
        <v>#N/A</v>
      </c>
      <c r="K516" s="460" t="e">
        <v>#N/A</v>
      </c>
      <c r="L516" s="459" t="e">
        <v>#N/A</v>
      </c>
      <c r="M516" s="314" t="s">
        <v>572</v>
      </c>
      <c r="N516" s="182">
        <v>610.86608000000001</v>
      </c>
      <c r="O516" t="e">
        <v>#N/A</v>
      </c>
      <c r="P516" t="e">
        <v>#N/A</v>
      </c>
    </row>
    <row r="517" spans="1:16" ht="14.4" x14ac:dyDescent="0.3">
      <c r="A517" s="313">
        <v>84172</v>
      </c>
      <c r="B517" t="str">
        <f t="shared" si="16"/>
        <v>SEVROLL Złączki do 2 skrz.SYMETRIC-mechanizm</v>
      </c>
      <c r="C517" s="185" t="e">
        <f t="shared" si="17"/>
        <v>#N/A</v>
      </c>
      <c r="D517" s="407" t="s">
        <v>2722</v>
      </c>
      <c r="E517" s="407" t="s">
        <v>4748</v>
      </c>
      <c r="F517" s="407" t="s">
        <v>2722</v>
      </c>
      <c r="G517" s="407" t="s">
        <v>4749</v>
      </c>
      <c r="H517" s="460" t="e">
        <v>#N/A</v>
      </c>
      <c r="I517" s="460" t="e">
        <v>#N/A</v>
      </c>
      <c r="J517" s="460" t="e">
        <v>#N/A</v>
      </c>
      <c r="K517" s="460" t="e">
        <v>#N/A</v>
      </c>
      <c r="L517" s="459" t="e">
        <v>#N/A</v>
      </c>
      <c r="M517" s="314" t="s">
        <v>572</v>
      </c>
      <c r="N517" s="182">
        <v>610.86608000000001</v>
      </c>
      <c r="O517" t="e">
        <v>#N/A</v>
      </c>
      <c r="P517" t="e">
        <v>#N/A</v>
      </c>
    </row>
    <row r="518" spans="1:16" ht="14.4" x14ac:dyDescent="0.3">
      <c r="A518" s="310">
        <v>308627</v>
      </c>
      <c r="B518" t="str">
        <f t="shared" si="16"/>
        <v>SEVROLL listwa łącząca H30 3m biały połysk</v>
      </c>
      <c r="C518" s="185" t="e">
        <f t="shared" si="17"/>
        <v>#N/A</v>
      </c>
      <c r="D518" s="407" t="s">
        <v>3297</v>
      </c>
      <c r="E518" s="407" t="s">
        <v>4750</v>
      </c>
      <c r="F518" s="407" t="s">
        <v>4751</v>
      </c>
      <c r="G518" s="407" t="s">
        <v>4752</v>
      </c>
      <c r="H518" s="460" t="e">
        <v>#N/A</v>
      </c>
      <c r="I518" s="460" t="e">
        <v>#N/A</v>
      </c>
      <c r="J518" s="460" t="e">
        <v>#N/A</v>
      </c>
      <c r="K518" s="460" t="e">
        <v>#N/A</v>
      </c>
      <c r="L518" s="459" t="e">
        <v>#N/A</v>
      </c>
      <c r="M518" s="309" t="s">
        <v>571</v>
      </c>
      <c r="N518" s="182">
        <v>616.06190000000004</v>
      </c>
      <c r="O518">
        <v>27.434000000000001</v>
      </c>
      <c r="P518" t="s">
        <v>9232</v>
      </c>
    </row>
    <row r="519" spans="1:16" ht="14.4" x14ac:dyDescent="0.3">
      <c r="A519" s="313">
        <v>279096</v>
      </c>
      <c r="B519" t="str">
        <f t="shared" si="16"/>
        <v>SEVROLL maskownica Galaxy 6m</v>
      </c>
      <c r="C519" s="185">
        <f t="shared" si="17"/>
        <v>0</v>
      </c>
      <c r="D519" s="407" t="s">
        <v>3244</v>
      </c>
      <c r="E519" s="407" t="s">
        <v>4753</v>
      </c>
      <c r="F519" s="407" t="s">
        <v>1142</v>
      </c>
      <c r="G519" s="407" t="s">
        <v>4754</v>
      </c>
      <c r="H519" s="460">
        <v>923.09109000000001</v>
      </c>
      <c r="I519" s="460">
        <v>34.818240000000003</v>
      </c>
      <c r="J519" s="460">
        <v>0</v>
      </c>
      <c r="K519" s="460">
        <v>13138.27635</v>
      </c>
      <c r="L519" s="459" t="s">
        <v>539</v>
      </c>
      <c r="M519" s="314" t="s">
        <v>571</v>
      </c>
      <c r="N519" s="182">
        <v>616.54561999999999</v>
      </c>
      <c r="O519">
        <v>32.603999999999999</v>
      </c>
      <c r="P519" t="s">
        <v>9233</v>
      </c>
    </row>
    <row r="520" spans="1:16" ht="14.4" x14ac:dyDescent="0.3">
      <c r="A520" s="310">
        <v>180325</v>
      </c>
      <c r="B520" t="str">
        <f t="shared" si="16"/>
        <v>SEVROLL 02802 Maxim II tor dolny 4,3m srebrny</v>
      </c>
      <c r="C520" s="185" t="e">
        <f t="shared" si="17"/>
        <v>#N/A</v>
      </c>
      <c r="D520" s="407" t="s">
        <v>2912</v>
      </c>
      <c r="E520" s="407" t="s">
        <v>4755</v>
      </c>
      <c r="F520" s="407" t="s">
        <v>4756</v>
      </c>
      <c r="G520" s="407" t="s">
        <v>4757</v>
      </c>
      <c r="H520" s="460" t="e">
        <v>#N/A</v>
      </c>
      <c r="I520" s="460" t="e">
        <v>#N/A</v>
      </c>
      <c r="J520" s="460" t="e">
        <v>#N/A</v>
      </c>
      <c r="K520" s="460" t="e">
        <v>#N/A</v>
      </c>
      <c r="L520" s="459" t="e">
        <v>#N/A</v>
      </c>
      <c r="M520" s="309" t="s">
        <v>571</v>
      </c>
      <c r="N520" s="182">
        <v>618.67510000000004</v>
      </c>
      <c r="O520" t="e">
        <v>#N/A</v>
      </c>
      <c r="P520" t="e">
        <v>#N/A</v>
      </c>
    </row>
    <row r="521" spans="1:16" ht="14.4" x14ac:dyDescent="0.3">
      <c r="A521" s="313">
        <v>354300</v>
      </c>
      <c r="B521" t="e">
        <f t="shared" si="16"/>
        <v>#N/A</v>
      </c>
      <c r="C521" s="185" t="e">
        <f t="shared" si="17"/>
        <v>#N/A</v>
      </c>
      <c r="D521" s="407" t="e">
        <v>#N/A</v>
      </c>
      <c r="E521" s="407" t="e">
        <v>#N/A</v>
      </c>
      <c r="F521" s="407" t="e">
        <v>#N/A</v>
      </c>
      <c r="G521" s="407" t="e">
        <v>#N/A</v>
      </c>
      <c r="H521" s="460" t="e">
        <v>#N/A</v>
      </c>
      <c r="I521" s="460" t="e">
        <v>#N/A</v>
      </c>
      <c r="J521" s="460" t="e">
        <v>#N/A</v>
      </c>
      <c r="K521" s="460" t="e">
        <v>#N/A</v>
      </c>
      <c r="L521" s="459" t="e">
        <v>#N/A</v>
      </c>
      <c r="M521" s="314" t="s">
        <v>571</v>
      </c>
      <c r="N521" s="182">
        <v>619.70092</v>
      </c>
      <c r="O521" t="e">
        <v>#N/A</v>
      </c>
      <c r="P521" t="e">
        <v>#N/A</v>
      </c>
    </row>
    <row r="522" spans="1:16" ht="14.4" x14ac:dyDescent="0.3">
      <c r="A522" s="310">
        <v>284521</v>
      </c>
      <c r="B522" t="str">
        <f t="shared" si="16"/>
        <v>SEVROLL Pax rączka 2,7 m, biały połysk</v>
      </c>
      <c r="C522" s="185">
        <f t="shared" si="17"/>
        <v>102.67319999999999</v>
      </c>
      <c r="D522" s="407" t="s">
        <v>3247</v>
      </c>
      <c r="E522" s="407" t="s">
        <v>4758</v>
      </c>
      <c r="F522" s="407" t="s">
        <v>4759</v>
      </c>
      <c r="G522" s="407" t="s">
        <v>4760</v>
      </c>
      <c r="H522" s="460">
        <v>748.35540000000003</v>
      </c>
      <c r="I522" s="460">
        <v>26.90737</v>
      </c>
      <c r="J522" s="460">
        <v>102.67319999999999</v>
      </c>
      <c r="K522" s="460">
        <v>10356.261270000001</v>
      </c>
      <c r="L522" s="459" t="s">
        <v>539</v>
      </c>
      <c r="M522" s="309" t="s">
        <v>571</v>
      </c>
      <c r="N522" s="182">
        <v>619.98170000000005</v>
      </c>
      <c r="O522">
        <v>27.565999999999999</v>
      </c>
      <c r="P522" t="s">
        <v>9234</v>
      </c>
    </row>
    <row r="523" spans="1:16" ht="14.4" x14ac:dyDescent="0.3">
      <c r="A523" s="310">
        <v>100103</v>
      </c>
      <c r="B523" t="str">
        <f t="shared" si="16"/>
        <v>SEVROLL Master rączka 2,7m jasny brąz</v>
      </c>
      <c r="C523" s="185">
        <f t="shared" si="17"/>
        <v>108.36648</v>
      </c>
      <c r="D523" s="407" t="s">
        <v>2796</v>
      </c>
      <c r="E523" s="407" t="s">
        <v>4761</v>
      </c>
      <c r="F523" s="407" t="s">
        <v>2796</v>
      </c>
      <c r="G523" s="407" t="s">
        <v>4762</v>
      </c>
      <c r="H523" s="460">
        <v>876.4588</v>
      </c>
      <c r="I523" s="460">
        <v>31.513369999999998</v>
      </c>
      <c r="J523" s="460">
        <v>108.36648</v>
      </c>
      <c r="K523" s="460">
        <v>12129.044529999999</v>
      </c>
      <c r="L523" s="459" t="s">
        <v>539</v>
      </c>
      <c r="M523" s="309" t="s">
        <v>571</v>
      </c>
      <c r="N523" s="182">
        <v>621.28830000000005</v>
      </c>
      <c r="O523">
        <v>26.641999999999999</v>
      </c>
      <c r="P523" t="s">
        <v>9235</v>
      </c>
    </row>
    <row r="524" spans="1:16" ht="14.4" x14ac:dyDescent="0.3">
      <c r="A524" s="310">
        <v>224122</v>
      </c>
      <c r="B524" t="str">
        <f t="shared" si="16"/>
        <v>SEVROLL Simple tor górny 4 m oliwka</v>
      </c>
      <c r="C524" s="185" t="e">
        <f t="shared" si="17"/>
        <v>#N/A</v>
      </c>
      <c r="D524" s="407" t="s">
        <v>3096</v>
      </c>
      <c r="E524" s="407" t="s">
        <v>4763</v>
      </c>
      <c r="F524" s="407" t="s">
        <v>4764</v>
      </c>
      <c r="G524" s="407" t="s">
        <v>4765</v>
      </c>
      <c r="H524" s="460" t="e">
        <v>#N/A</v>
      </c>
      <c r="I524" s="460" t="e">
        <v>#N/A</v>
      </c>
      <c r="J524" s="460" t="e">
        <v>#N/A</v>
      </c>
      <c r="K524" s="460" t="e">
        <v>#N/A</v>
      </c>
      <c r="L524" s="459" t="e">
        <v>#N/A</v>
      </c>
      <c r="M524" s="309" t="s">
        <v>571</v>
      </c>
      <c r="N524" s="182">
        <v>624.49919999999997</v>
      </c>
      <c r="O524" t="e">
        <v>#N/A</v>
      </c>
      <c r="P524" t="e">
        <v>#N/A</v>
      </c>
    </row>
    <row r="525" spans="1:16" ht="14.4" x14ac:dyDescent="0.3">
      <c r="A525" s="310">
        <v>98110</v>
      </c>
      <c r="B525" t="str">
        <f t="shared" si="16"/>
        <v>SEVROLL Comfort tor górny 1,7m srebrny</v>
      </c>
      <c r="C525" s="185">
        <f t="shared" si="17"/>
        <v>108.3036</v>
      </c>
      <c r="D525" s="407" t="s">
        <v>2789</v>
      </c>
      <c r="E525" s="407" t="s">
        <v>4766</v>
      </c>
      <c r="F525" s="407" t="s">
        <v>4767</v>
      </c>
      <c r="G525" s="407" t="s">
        <v>4768</v>
      </c>
      <c r="H525" s="460">
        <v>836.65268000000003</v>
      </c>
      <c r="I525" s="460">
        <v>30.082129999999999</v>
      </c>
      <c r="J525" s="460">
        <v>108.3036</v>
      </c>
      <c r="K525" s="460">
        <v>11578.17958</v>
      </c>
      <c r="L525" s="459" t="s">
        <v>539</v>
      </c>
      <c r="M525" s="309" t="s">
        <v>571</v>
      </c>
      <c r="N525" s="182">
        <v>625.20809999999994</v>
      </c>
      <c r="O525">
        <v>29.084</v>
      </c>
      <c r="P525" t="s">
        <v>9236</v>
      </c>
    </row>
    <row r="526" spans="1:16" ht="14.4" x14ac:dyDescent="0.3">
      <c r="A526" s="310">
        <v>159409</v>
      </c>
      <c r="B526" t="str">
        <f t="shared" si="16"/>
        <v>SEVROLL Gemini II tor dolny 6m srebrny</v>
      </c>
      <c r="C526" s="185">
        <f t="shared" si="17"/>
        <v>0</v>
      </c>
      <c r="D526" s="407" t="s">
        <v>2880</v>
      </c>
      <c r="E526" s="407" t="s">
        <v>4769</v>
      </c>
      <c r="F526" s="407" t="s">
        <v>4770</v>
      </c>
      <c r="G526" s="407" t="s">
        <v>4771</v>
      </c>
      <c r="H526" s="460">
        <v>795.39903000000004</v>
      </c>
      <c r="I526" s="460">
        <v>28.596229999999998</v>
      </c>
      <c r="J526" s="460">
        <v>0</v>
      </c>
      <c r="K526" s="460">
        <v>11007.28349</v>
      </c>
      <c r="L526" s="459" t="s">
        <v>538</v>
      </c>
      <c r="M526" s="309" t="s">
        <v>571</v>
      </c>
      <c r="N526" s="182">
        <v>632.39440000000002</v>
      </c>
      <c r="O526">
        <v>28.27</v>
      </c>
      <c r="P526" t="s">
        <v>9237</v>
      </c>
    </row>
    <row r="527" spans="1:16" ht="14.4" x14ac:dyDescent="0.3">
      <c r="A527" s="310">
        <v>89034</v>
      </c>
      <c r="B527" t="str">
        <f t="shared" si="16"/>
        <v>SEVROLL Single tor górny 3m jasny brąz</v>
      </c>
      <c r="C527" s="185">
        <f t="shared" si="17"/>
        <v>109.73432</v>
      </c>
      <c r="D527" s="407" t="s">
        <v>2729</v>
      </c>
      <c r="E527" s="407" t="s">
        <v>4772</v>
      </c>
      <c r="F527" s="407" t="s">
        <v>4773</v>
      </c>
      <c r="G527" s="407" t="s">
        <v>4774</v>
      </c>
      <c r="H527" s="460">
        <v>852.72091999999998</v>
      </c>
      <c r="I527" s="460">
        <v>32.163930000000001</v>
      </c>
      <c r="J527" s="460">
        <v>109.73432</v>
      </c>
      <c r="K527" s="460">
        <v>12136.70363</v>
      </c>
      <c r="L527" s="459" t="s">
        <v>539</v>
      </c>
      <c r="M527" s="309" t="s">
        <v>571</v>
      </c>
      <c r="N527" s="182">
        <v>634.35429999999997</v>
      </c>
      <c r="O527">
        <v>27.192</v>
      </c>
      <c r="P527" t="s">
        <v>9238</v>
      </c>
    </row>
    <row r="528" spans="1:16" ht="14.4" x14ac:dyDescent="0.3">
      <c r="A528" s="311">
        <v>248421</v>
      </c>
      <c r="B528" t="e">
        <f t="shared" si="16"/>
        <v>#N/A</v>
      </c>
      <c r="C528" s="185" t="e">
        <f t="shared" si="17"/>
        <v>#N/A</v>
      </c>
      <c r="D528" s="407" t="e">
        <v>#N/A</v>
      </c>
      <c r="E528" s="407" t="e">
        <v>#N/A</v>
      </c>
      <c r="F528" s="407" t="e">
        <v>#N/A</v>
      </c>
      <c r="G528" s="407" t="e">
        <v>#N/A</v>
      </c>
      <c r="H528" s="460" t="e">
        <v>#N/A</v>
      </c>
      <c r="I528" s="460" t="e">
        <v>#N/A</v>
      </c>
      <c r="J528" s="460" t="e">
        <v>#N/A</v>
      </c>
      <c r="K528" s="460" t="e">
        <v>#N/A</v>
      </c>
      <c r="L528" s="459" t="e">
        <v>#N/A</v>
      </c>
      <c r="M528" s="312" t="s">
        <v>571</v>
      </c>
      <c r="N528" s="182">
        <v>636.20299999999997</v>
      </c>
      <c r="O528" t="e">
        <v>#N/A</v>
      </c>
      <c r="P528" t="e">
        <v>#N/A</v>
      </c>
    </row>
    <row r="529" spans="1:16" ht="14.4" x14ac:dyDescent="0.3">
      <c r="A529" s="310">
        <v>102836</v>
      </c>
      <c r="B529" t="str">
        <f t="shared" si="16"/>
        <v>SEVROLL 02024 Maxim tor górny 2,5 m, srebrny</v>
      </c>
      <c r="C529" s="185">
        <f t="shared" si="17"/>
        <v>101.0287</v>
      </c>
      <c r="D529" s="407" t="s">
        <v>2811</v>
      </c>
      <c r="E529" s="407" t="s">
        <v>4775</v>
      </c>
      <c r="F529" s="407" t="s">
        <v>1230</v>
      </c>
      <c r="G529" s="407" t="s">
        <v>4776</v>
      </c>
      <c r="H529" s="460">
        <v>753.52733999999998</v>
      </c>
      <c r="I529" s="460">
        <v>28.511769999999999</v>
      </c>
      <c r="J529" s="460">
        <v>101.0287</v>
      </c>
      <c r="K529" s="460">
        <v>11307.755289999999</v>
      </c>
      <c r="L529" s="459" t="s">
        <v>540</v>
      </c>
      <c r="M529" s="309" t="s">
        <v>571</v>
      </c>
      <c r="N529" s="182">
        <v>640.23400000000004</v>
      </c>
      <c r="O529">
        <v>26.135999999999999</v>
      </c>
      <c r="P529" t="s">
        <v>9239</v>
      </c>
    </row>
    <row r="530" spans="1:16" ht="14.4" x14ac:dyDescent="0.3">
      <c r="A530" s="313">
        <v>84170</v>
      </c>
      <c r="B530" t="str">
        <f t="shared" si="16"/>
        <v>SEVROLL Prowadnica alum. HERKULES 2 2,4 m</v>
      </c>
      <c r="C530" s="185" t="e">
        <f t="shared" si="17"/>
        <v>#N/A</v>
      </c>
      <c r="D530" s="407" t="s">
        <v>2721</v>
      </c>
      <c r="E530" s="407" t="s">
        <v>4777</v>
      </c>
      <c r="F530" s="407" t="s">
        <v>4778</v>
      </c>
      <c r="G530" s="407" t="s">
        <v>4779</v>
      </c>
      <c r="H530" s="460" t="e">
        <v>#N/A</v>
      </c>
      <c r="I530" s="460" t="e">
        <v>#N/A</v>
      </c>
      <c r="J530" s="460" t="e">
        <v>#N/A</v>
      </c>
      <c r="K530" s="460" t="e">
        <v>#N/A</v>
      </c>
      <c r="L530" s="459" t="e">
        <v>#N/A</v>
      </c>
      <c r="M530" s="314" t="s">
        <v>571</v>
      </c>
      <c r="N530" s="182">
        <v>641.15696000000003</v>
      </c>
      <c r="O530" t="e">
        <v>#N/A</v>
      </c>
      <c r="P530" t="e">
        <v>#N/A</v>
      </c>
    </row>
    <row r="531" spans="1:16" ht="14.4" x14ac:dyDescent="0.3">
      <c r="A531" s="313">
        <v>134488</v>
      </c>
      <c r="B531" t="str">
        <f t="shared" si="16"/>
        <v>SEVROLL Ursus tor górny 3m surowy</v>
      </c>
      <c r="C531" s="185" t="e">
        <f t="shared" si="17"/>
        <v>#N/A</v>
      </c>
      <c r="D531" s="407" t="s">
        <v>2841</v>
      </c>
      <c r="E531" s="407" t="s">
        <v>4780</v>
      </c>
      <c r="F531" s="407" t="s">
        <v>4781</v>
      </c>
      <c r="G531" s="407" t="s">
        <v>4782</v>
      </c>
      <c r="H531" s="460" t="e">
        <v>#N/A</v>
      </c>
      <c r="I531" s="460" t="e">
        <v>#N/A</v>
      </c>
      <c r="J531" s="460" t="e">
        <v>#N/A</v>
      </c>
      <c r="K531" s="460" t="e">
        <v>#N/A</v>
      </c>
      <c r="L531" s="459" t="e">
        <v>#N/A</v>
      </c>
      <c r="M531" s="314" t="s">
        <v>571</v>
      </c>
      <c r="N531" s="182">
        <v>642.41908000000001</v>
      </c>
      <c r="O531">
        <v>34.451999999999998</v>
      </c>
      <c r="P531" t="s">
        <v>9240</v>
      </c>
    </row>
    <row r="532" spans="1:16" ht="14.4" x14ac:dyDescent="0.3">
      <c r="A532" s="310">
        <v>349804</v>
      </c>
      <c r="B532" t="str">
        <f t="shared" si="16"/>
        <v>SEVROLL Blue tor górny 4m srebrny</v>
      </c>
      <c r="C532" s="185">
        <f t="shared" si="17"/>
        <v>107.34003</v>
      </c>
      <c r="D532" s="407" t="s">
        <v>3397</v>
      </c>
      <c r="E532" s="407" t="s">
        <v>4783</v>
      </c>
      <c r="F532" s="407" t="s">
        <v>4784</v>
      </c>
      <c r="G532" s="407" t="s">
        <v>2407</v>
      </c>
      <c r="H532" s="460">
        <v>830.48779000000002</v>
      </c>
      <c r="I532" s="460">
        <v>30.186219999999999</v>
      </c>
      <c r="J532" s="460">
        <v>107.34003</v>
      </c>
      <c r="K532" s="460">
        <v>11800.489600000001</v>
      </c>
      <c r="L532" s="459" t="s">
        <v>538</v>
      </c>
      <c r="M532" s="309" t="s">
        <v>571</v>
      </c>
      <c r="N532" s="182">
        <v>644.01480000000004</v>
      </c>
      <c r="O532">
        <v>30.998000000000001</v>
      </c>
      <c r="P532" t="s">
        <v>9241</v>
      </c>
    </row>
    <row r="533" spans="1:16" ht="14.4" x14ac:dyDescent="0.3">
      <c r="A533" s="310">
        <v>197748</v>
      </c>
      <c r="B533" t="str">
        <f t="shared" si="16"/>
        <v>SEVROLL Optima tor górny 2,4m srebrny</v>
      </c>
      <c r="C533" s="185">
        <f t="shared" si="17"/>
        <v>102.816</v>
      </c>
      <c r="D533" s="407" t="s">
        <v>2949</v>
      </c>
      <c r="E533" s="407" t="s">
        <v>4785</v>
      </c>
      <c r="F533" s="407" t="s">
        <v>4786</v>
      </c>
      <c r="G533" s="407" t="s">
        <v>4787</v>
      </c>
      <c r="H533" s="460">
        <v>819.28270999999995</v>
      </c>
      <c r="I533" s="460">
        <v>29.45758</v>
      </c>
      <c r="J533" s="460">
        <v>102.816</v>
      </c>
      <c r="K533" s="460">
        <v>11337.802379999999</v>
      </c>
      <c r="L533" s="459" t="s">
        <v>539</v>
      </c>
      <c r="M533" s="309" t="s">
        <v>571</v>
      </c>
      <c r="N533" s="182">
        <v>644.15380000000005</v>
      </c>
      <c r="O533">
        <v>27.61</v>
      </c>
      <c r="P533" t="s">
        <v>9242</v>
      </c>
    </row>
    <row r="534" spans="1:16" ht="14.4" x14ac:dyDescent="0.3">
      <c r="A534" s="310">
        <v>179230</v>
      </c>
      <c r="B534" t="str">
        <f t="shared" si="16"/>
        <v>SEVROLL Future II rączka 2,7m jasny brąz</v>
      </c>
      <c r="C534" s="185">
        <f t="shared" si="17"/>
        <v>131.2638</v>
      </c>
      <c r="D534" s="407" t="s">
        <v>2908</v>
      </c>
      <c r="E534" s="407" t="s">
        <v>4788</v>
      </c>
      <c r="F534" s="407" t="s">
        <v>2908</v>
      </c>
      <c r="G534" s="407" t="s">
        <v>4789</v>
      </c>
      <c r="H534" s="460">
        <v>1051.60581</v>
      </c>
      <c r="I534" s="460">
        <v>37.810839999999999</v>
      </c>
      <c r="J534" s="460">
        <v>131.2638</v>
      </c>
      <c r="K534" s="460">
        <v>14552.850409999999</v>
      </c>
      <c r="L534" s="459" t="s">
        <v>539</v>
      </c>
      <c r="M534" s="309" t="s">
        <v>571</v>
      </c>
      <c r="N534" s="182">
        <v>646.76700000000005</v>
      </c>
      <c r="O534">
        <v>31.966000000000001</v>
      </c>
      <c r="P534" t="s">
        <v>9243</v>
      </c>
    </row>
    <row r="535" spans="1:16" ht="14.4" x14ac:dyDescent="0.3">
      <c r="A535" s="310">
        <v>89115</v>
      </c>
      <c r="B535" t="str">
        <f t="shared" si="16"/>
        <v>SEVROLL 01469 Gemini horní vedení 4,05m stříbrná</v>
      </c>
      <c r="C535" s="185">
        <f t="shared" si="17"/>
        <v>124.31495</v>
      </c>
      <c r="D535" s="407" t="s">
        <v>2640</v>
      </c>
      <c r="E535" s="407" t="s">
        <v>4790</v>
      </c>
      <c r="F535" s="407" t="s">
        <v>4791</v>
      </c>
      <c r="G535" s="407" t="s">
        <v>2640</v>
      </c>
      <c r="H535" s="460">
        <v>936.52988000000005</v>
      </c>
      <c r="I535" s="460">
        <v>33.67324</v>
      </c>
      <c r="J535" s="460">
        <v>124.31495</v>
      </c>
      <c r="K535" s="460">
        <v>12960.35014</v>
      </c>
      <c r="L535" s="459" t="s">
        <v>538</v>
      </c>
      <c r="M535" s="309" t="s">
        <v>571</v>
      </c>
      <c r="N535" s="182">
        <v>649.38019999999995</v>
      </c>
      <c r="O535">
        <v>33.286000000000001</v>
      </c>
      <c r="P535" t="s">
        <v>9244</v>
      </c>
    </row>
    <row r="536" spans="1:16" ht="14.4" x14ac:dyDescent="0.3">
      <c r="A536" s="313">
        <v>96480</v>
      </c>
      <c r="B536" t="str">
        <f t="shared" si="16"/>
        <v>SEVROLL Exclusive tor górny 3m srebrny</v>
      </c>
      <c r="C536" s="185">
        <f t="shared" si="17"/>
        <v>111.06605999999999</v>
      </c>
      <c r="D536" s="407" t="s">
        <v>2785</v>
      </c>
      <c r="E536" s="407" t="s">
        <v>4792</v>
      </c>
      <c r="F536" s="407" t="s">
        <v>1171</v>
      </c>
      <c r="G536" s="407" t="s">
        <v>4793</v>
      </c>
      <c r="H536" s="460">
        <v>863.06946000000005</v>
      </c>
      <c r="I536" s="460">
        <v>32.554270000000002</v>
      </c>
      <c r="J536" s="460">
        <v>111.06605999999999</v>
      </c>
      <c r="K536" s="460">
        <v>12283.993700000001</v>
      </c>
      <c r="L536" s="459" t="s">
        <v>539</v>
      </c>
      <c r="M536" s="314" t="s">
        <v>571</v>
      </c>
      <c r="N536" s="182">
        <v>652.51603999999998</v>
      </c>
      <c r="O536">
        <v>30.536000000000001</v>
      </c>
      <c r="P536" t="s">
        <v>9245</v>
      </c>
    </row>
    <row r="537" spans="1:16" ht="14.4" x14ac:dyDescent="0.3">
      <c r="A537" s="310">
        <v>283904</v>
      </c>
      <c r="B537" t="str">
        <f t="shared" si="16"/>
        <v>SEVROLL Pax listwa montażowa 3m srebrny</v>
      </c>
      <c r="C537" s="185">
        <f t="shared" si="17"/>
        <v>101.1024</v>
      </c>
      <c r="D537" s="407" t="s">
        <v>3245</v>
      </c>
      <c r="E537" s="407" t="s">
        <v>4794</v>
      </c>
      <c r="F537" s="407" t="s">
        <v>4795</v>
      </c>
      <c r="G537" s="407" t="s">
        <v>4796</v>
      </c>
      <c r="H537" s="460">
        <v>805.53148999999996</v>
      </c>
      <c r="I537" s="460">
        <v>28.963149999999999</v>
      </c>
      <c r="J537" s="460">
        <v>101.1024</v>
      </c>
      <c r="K537" s="460">
        <v>11147.503419999999</v>
      </c>
      <c r="L537" s="459" t="s">
        <v>538</v>
      </c>
      <c r="M537" s="309" t="s">
        <v>571</v>
      </c>
      <c r="N537" s="182">
        <v>653.29999999999995</v>
      </c>
      <c r="O537">
        <v>27.148</v>
      </c>
      <c r="P537" t="s">
        <v>9246</v>
      </c>
    </row>
    <row r="538" spans="1:16" ht="14.4" x14ac:dyDescent="0.3">
      <c r="A538" s="310">
        <v>98111</v>
      </c>
      <c r="B538" t="str">
        <f t="shared" si="16"/>
        <v>SEVROLL Comfort tor górny 1,7m jasny brąz</v>
      </c>
      <c r="C538" s="185">
        <f t="shared" si="17"/>
        <v>129.12701999999999</v>
      </c>
      <c r="D538" s="407" t="s">
        <v>2790</v>
      </c>
      <c r="E538" s="407" t="s">
        <v>4797</v>
      </c>
      <c r="F538" s="407" t="s">
        <v>1187</v>
      </c>
      <c r="G538" s="407" t="s">
        <v>4798</v>
      </c>
      <c r="H538" s="460">
        <v>1044.36833</v>
      </c>
      <c r="I538" s="460">
        <v>37.550609999999999</v>
      </c>
      <c r="J538" s="460">
        <v>129.12701999999999</v>
      </c>
      <c r="K538" s="460">
        <v>14452.693139999999</v>
      </c>
      <c r="L538" s="459" t="s">
        <v>539</v>
      </c>
      <c r="M538" s="309" t="s">
        <v>571</v>
      </c>
      <c r="N538" s="182">
        <v>653.95330000000001</v>
      </c>
      <c r="O538">
        <v>31.988</v>
      </c>
      <c r="P538" t="s">
        <v>9247</v>
      </c>
    </row>
    <row r="539" spans="1:16" ht="14.4" x14ac:dyDescent="0.3">
      <c r="A539" s="310">
        <v>212543</v>
      </c>
      <c r="B539" t="str">
        <f t="shared" si="16"/>
        <v>SEVROLL Star rączka 2,7 m oliwka</v>
      </c>
      <c r="C539" s="185" t="e">
        <f t="shared" si="17"/>
        <v>#N/A</v>
      </c>
      <c r="D539" s="407" t="s">
        <v>2987</v>
      </c>
      <c r="E539" s="407" t="s">
        <v>4799</v>
      </c>
      <c r="F539" s="407" t="s">
        <v>1099</v>
      </c>
      <c r="G539" s="407" t="s">
        <v>4800</v>
      </c>
      <c r="H539" s="460" t="e">
        <v>#N/A</v>
      </c>
      <c r="I539" s="460" t="e">
        <v>#N/A</v>
      </c>
      <c r="J539" s="460" t="e">
        <v>#N/A</v>
      </c>
      <c r="K539" s="460" t="e">
        <v>#N/A</v>
      </c>
      <c r="L539" s="459" t="e">
        <v>#N/A</v>
      </c>
      <c r="M539" s="309" t="s">
        <v>571</v>
      </c>
      <c r="N539" s="182">
        <v>653.95330000000001</v>
      </c>
      <c r="O539">
        <v>28.027999999999999</v>
      </c>
      <c r="P539" t="s">
        <v>9248</v>
      </c>
    </row>
    <row r="540" spans="1:16" ht="14.4" x14ac:dyDescent="0.3">
      <c r="A540" s="310">
        <v>102824</v>
      </c>
      <c r="B540" t="str">
        <f t="shared" si="16"/>
        <v>SEVROLL 02301 Maxim tor 3,5 m, srebrny</v>
      </c>
      <c r="C540" s="185" t="e">
        <f t="shared" si="17"/>
        <v>#N/A</v>
      </c>
      <c r="D540" s="407" t="s">
        <v>2801</v>
      </c>
      <c r="E540" s="407" t="s">
        <v>4801</v>
      </c>
      <c r="F540" s="407" t="s">
        <v>4802</v>
      </c>
      <c r="G540" s="407" t="s">
        <v>4803</v>
      </c>
      <c r="H540" s="460" t="e">
        <v>#N/A</v>
      </c>
      <c r="I540" s="460" t="e">
        <v>#N/A</v>
      </c>
      <c r="J540" s="460" t="e">
        <v>#N/A</v>
      </c>
      <c r="K540" s="460" t="e">
        <v>#N/A</v>
      </c>
      <c r="L540" s="459" t="e">
        <v>#N/A</v>
      </c>
      <c r="M540" s="309" t="s">
        <v>571</v>
      </c>
      <c r="N540" s="182">
        <v>654.60659999999996</v>
      </c>
      <c r="O540" t="e">
        <v>#N/A</v>
      </c>
      <c r="P540" t="e">
        <v>#N/A</v>
      </c>
    </row>
    <row r="541" spans="1:16" ht="14.4" x14ac:dyDescent="0.3">
      <c r="A541" s="310">
        <v>100105</v>
      </c>
      <c r="B541" t="str">
        <f t="shared" si="16"/>
        <v>SEVROLL 02379 Master rączka 3m srebrna</v>
      </c>
      <c r="C541" s="185">
        <f t="shared" si="17"/>
        <v>100.85760000000001</v>
      </c>
      <c r="D541" s="407" t="s">
        <v>2797</v>
      </c>
      <c r="E541" s="407" t="s">
        <v>4804</v>
      </c>
      <c r="F541" s="407" t="s">
        <v>1231</v>
      </c>
      <c r="G541" s="407" t="s">
        <v>4805</v>
      </c>
      <c r="H541" s="460">
        <v>779.47658000000001</v>
      </c>
      <c r="I541" s="460">
        <v>28.026340000000001</v>
      </c>
      <c r="J541" s="460">
        <v>100.85760000000001</v>
      </c>
      <c r="K541" s="460">
        <v>10786.93743</v>
      </c>
      <c r="L541" s="459" t="s">
        <v>538</v>
      </c>
      <c r="M541" s="309" t="s">
        <v>571</v>
      </c>
      <c r="N541" s="182">
        <v>663.09950000000003</v>
      </c>
      <c r="O541">
        <v>27.082000000000001</v>
      </c>
      <c r="P541" t="s">
        <v>9249</v>
      </c>
    </row>
    <row r="542" spans="1:16" ht="14.4" x14ac:dyDescent="0.3">
      <c r="A542" s="310">
        <v>363019</v>
      </c>
      <c r="B542" t="str">
        <f t="shared" si="16"/>
        <v>SEVROLL zamek do drzwi przesuwnych, do rączek Karat i Prosper</v>
      </c>
      <c r="C542" s="185">
        <f t="shared" si="17"/>
        <v>134.51759999999999</v>
      </c>
      <c r="D542" s="407" t="s">
        <v>3441</v>
      </c>
      <c r="E542" s="407" t="s">
        <v>4806</v>
      </c>
      <c r="F542" s="407" t="s">
        <v>4807</v>
      </c>
      <c r="G542" s="407" t="s">
        <v>4808</v>
      </c>
      <c r="H542" s="460">
        <v>1077.51234</v>
      </c>
      <c r="I542" s="460">
        <v>36.512309999999999</v>
      </c>
      <c r="J542" s="460">
        <v>134.51759999999999</v>
      </c>
      <c r="K542" s="460">
        <v>14382.7009</v>
      </c>
      <c r="L542" s="459" t="s">
        <v>539</v>
      </c>
      <c r="M542" s="309" t="s">
        <v>571</v>
      </c>
      <c r="N542" s="182">
        <v>666.36599999999999</v>
      </c>
      <c r="O542">
        <v>36.101999999999997</v>
      </c>
      <c r="P542" t="s">
        <v>9250</v>
      </c>
    </row>
    <row r="543" spans="1:16" ht="14.4" x14ac:dyDescent="0.3">
      <c r="A543" s="310">
        <v>318447</v>
      </c>
      <c r="B543" t="str">
        <f t="shared" si="16"/>
        <v>SEVROLL mocowanie do sufitu ukośnego</v>
      </c>
      <c r="C543" s="185" t="e">
        <f t="shared" si="17"/>
        <v>#N/A</v>
      </c>
      <c r="D543" s="407" t="s">
        <v>3326</v>
      </c>
      <c r="E543" s="407" t="s">
        <v>4809</v>
      </c>
      <c r="F543" s="407" t="s">
        <v>4810</v>
      </c>
      <c r="G543" s="407" t="s">
        <v>4811</v>
      </c>
      <c r="H543" s="460" t="e">
        <v>#N/A</v>
      </c>
      <c r="I543" s="460" t="e">
        <v>#N/A</v>
      </c>
      <c r="J543" s="460" t="e">
        <v>#N/A</v>
      </c>
      <c r="K543" s="460" t="e">
        <v>#N/A</v>
      </c>
      <c r="L543" s="459" t="e">
        <v>#N/A</v>
      </c>
      <c r="M543" s="309" t="s">
        <v>574</v>
      </c>
      <c r="N543" s="182">
        <v>667.01930000000004</v>
      </c>
      <c r="O543">
        <v>26.466000000000001</v>
      </c>
      <c r="P543" t="s">
        <v>9251</v>
      </c>
    </row>
    <row r="544" spans="1:16" ht="14.4" x14ac:dyDescent="0.3">
      <c r="A544" s="310">
        <v>197749</v>
      </c>
      <c r="B544" t="str">
        <f t="shared" si="16"/>
        <v>SEVROLL Optima II zestaw okuć (dwa skrzydła drzwiowe)</v>
      </c>
      <c r="C544" s="185">
        <f t="shared" si="17"/>
        <v>92.830200000000005</v>
      </c>
      <c r="D544" s="407" t="s">
        <v>2950</v>
      </c>
      <c r="E544" s="407" t="s">
        <v>4812</v>
      </c>
      <c r="F544" s="407" t="s">
        <v>4813</v>
      </c>
      <c r="G544" s="407" t="s">
        <v>4814</v>
      </c>
      <c r="H544" s="460">
        <v>739.67043000000001</v>
      </c>
      <c r="I544" s="460">
        <v>26.60031</v>
      </c>
      <c r="J544" s="460">
        <v>92.830200000000005</v>
      </c>
      <c r="K544" s="460">
        <v>10236.072480000001</v>
      </c>
      <c r="L544" s="459" t="s">
        <v>539</v>
      </c>
      <c r="M544" s="309" t="s">
        <v>572</v>
      </c>
      <c r="N544" s="182">
        <v>671.5924</v>
      </c>
      <c r="O544">
        <v>24.925999999999998</v>
      </c>
      <c r="P544" t="s">
        <v>9252</v>
      </c>
    </row>
    <row r="545" spans="1:16" ht="14.4" x14ac:dyDescent="0.3">
      <c r="A545" s="310">
        <v>284525</v>
      </c>
      <c r="B545" t="str">
        <f t="shared" si="16"/>
        <v>SEVROLL Pax tor dolny 3m biały połysk</v>
      </c>
      <c r="C545" s="185">
        <f t="shared" si="17"/>
        <v>112.2</v>
      </c>
      <c r="D545" s="407" t="s">
        <v>3249</v>
      </c>
      <c r="E545" s="407" t="s">
        <v>4815</v>
      </c>
      <c r="F545" s="407" t="s">
        <v>4816</v>
      </c>
      <c r="G545" s="407" t="s">
        <v>4817</v>
      </c>
      <c r="H545" s="460">
        <v>816.38773000000003</v>
      </c>
      <c r="I545" s="460">
        <v>29.353490000000001</v>
      </c>
      <c r="J545" s="460">
        <v>112.2</v>
      </c>
      <c r="K545" s="460">
        <v>11297.73933</v>
      </c>
      <c r="L545" s="459" t="s">
        <v>539</v>
      </c>
      <c r="M545" s="309" t="s">
        <v>571</v>
      </c>
      <c r="N545" s="182">
        <v>676.81880000000001</v>
      </c>
      <c r="O545">
        <v>30.117999999999999</v>
      </c>
      <c r="P545" t="s">
        <v>9253</v>
      </c>
    </row>
    <row r="546" spans="1:16" ht="14.4" x14ac:dyDescent="0.3">
      <c r="A546" s="310">
        <v>102828</v>
      </c>
      <c r="B546" t="str">
        <f t="shared" si="16"/>
        <v>SEVROLL 02809 Maxim maskownica dolna 2,5 m, 18mm srebrna</v>
      </c>
      <c r="C546" s="185" t="e">
        <f t="shared" si="17"/>
        <v>#N/A</v>
      </c>
      <c r="D546" s="407" t="s">
        <v>2804</v>
      </c>
      <c r="E546" s="407" t="s">
        <v>4818</v>
      </c>
      <c r="F546" s="407" t="s">
        <v>4819</v>
      </c>
      <c r="G546" s="407" t="s">
        <v>4820</v>
      </c>
      <c r="H546" s="460" t="e">
        <v>#N/A</v>
      </c>
      <c r="I546" s="460" t="e">
        <v>#N/A</v>
      </c>
      <c r="J546" s="460" t="e">
        <v>#N/A</v>
      </c>
      <c r="K546" s="460" t="e">
        <v>#N/A</v>
      </c>
      <c r="L546" s="459" t="e">
        <v>#N/A</v>
      </c>
      <c r="M546" s="309" t="s">
        <v>571</v>
      </c>
      <c r="N546" s="182">
        <v>677.47209999999995</v>
      </c>
      <c r="O546" t="e">
        <v>#N/A</v>
      </c>
      <c r="P546" t="e">
        <v>#N/A</v>
      </c>
    </row>
    <row r="547" spans="1:16" ht="14.4" x14ac:dyDescent="0.3">
      <c r="A547" s="310">
        <v>238028</v>
      </c>
      <c r="B547" t="str">
        <f t="shared" si="16"/>
        <v>SEVROLL Maxim II tor dolny 4,3m jasny brąz</v>
      </c>
      <c r="C547" s="185" t="e">
        <f t="shared" si="17"/>
        <v>#N/A</v>
      </c>
      <c r="D547" s="407" t="s">
        <v>3172</v>
      </c>
      <c r="E547" s="407" t="s">
        <v>4821</v>
      </c>
      <c r="F547" s="407" t="s">
        <v>1127</v>
      </c>
      <c r="G547" s="407" t="s">
        <v>4822</v>
      </c>
      <c r="H547" s="460" t="e">
        <v>#N/A</v>
      </c>
      <c r="I547" s="460" t="e">
        <v>#N/A</v>
      </c>
      <c r="J547" s="460" t="e">
        <v>#N/A</v>
      </c>
      <c r="K547" s="460" t="e">
        <v>#N/A</v>
      </c>
      <c r="L547" s="459" t="e">
        <v>#N/A</v>
      </c>
      <c r="M547" s="309" t="s">
        <v>571</v>
      </c>
      <c r="N547" s="182">
        <v>678.12540000000001</v>
      </c>
      <c r="O547" t="e">
        <v>#N/A</v>
      </c>
      <c r="P547" t="e">
        <v>#N/A</v>
      </c>
    </row>
    <row r="548" spans="1:16" ht="14.4" x14ac:dyDescent="0.3">
      <c r="A548" s="310">
        <v>179229</v>
      </c>
      <c r="B548" t="str">
        <f t="shared" si="16"/>
        <v>SEVROLL 03048 Future II rączka 2,7m srebrna</v>
      </c>
      <c r="C548" s="185">
        <f t="shared" si="17"/>
        <v>119.34</v>
      </c>
      <c r="D548" s="407" t="s">
        <v>2907</v>
      </c>
      <c r="E548" s="407" t="s">
        <v>4823</v>
      </c>
      <c r="F548" s="407" t="s">
        <v>1251</v>
      </c>
      <c r="G548" s="407" t="s">
        <v>4824</v>
      </c>
      <c r="H548" s="460">
        <v>903.23748000000001</v>
      </c>
      <c r="I548" s="460">
        <v>32.476199999999999</v>
      </c>
      <c r="J548" s="460">
        <v>119.34</v>
      </c>
      <c r="K548" s="460">
        <v>12499.626490000001</v>
      </c>
      <c r="L548" s="459" t="s">
        <v>538</v>
      </c>
      <c r="M548" s="309" t="s">
        <v>571</v>
      </c>
      <c r="N548" s="182">
        <v>679.43200000000002</v>
      </c>
      <c r="O548">
        <v>29.788</v>
      </c>
      <c r="P548" t="s">
        <v>9254</v>
      </c>
    </row>
    <row r="549" spans="1:16" ht="14.4" x14ac:dyDescent="0.3">
      <c r="A549" s="310">
        <v>334858</v>
      </c>
      <c r="B549" t="str">
        <f t="shared" si="16"/>
        <v>SEVROLL Elegant II tor dolny 6m złoty</v>
      </c>
      <c r="C549" s="185">
        <f t="shared" si="17"/>
        <v>0</v>
      </c>
      <c r="D549" s="407" t="s">
        <v>3342</v>
      </c>
      <c r="E549" s="407" t="s">
        <v>4825</v>
      </c>
      <c r="F549" s="407" t="s">
        <v>4826</v>
      </c>
      <c r="G549" s="407" t="s">
        <v>4827</v>
      </c>
      <c r="H549" s="460">
        <v>1020.48465</v>
      </c>
      <c r="I549" s="460">
        <v>36.691870000000002</v>
      </c>
      <c r="J549" s="460">
        <v>0</v>
      </c>
      <c r="K549" s="460">
        <v>14122.17425</v>
      </c>
      <c r="L549" s="459" t="s">
        <v>539</v>
      </c>
      <c r="M549" s="309" t="s">
        <v>571</v>
      </c>
      <c r="N549" s="182">
        <v>680.73860000000002</v>
      </c>
      <c r="O549">
        <v>35.134</v>
      </c>
      <c r="P549" t="s">
        <v>9255</v>
      </c>
    </row>
    <row r="550" spans="1:16" ht="14.4" x14ac:dyDescent="0.3">
      <c r="A550" s="310">
        <v>284523</v>
      </c>
      <c r="B550" t="str">
        <f t="shared" si="16"/>
        <v>SEVROLL Pax rączka 3 m, biały połysk</v>
      </c>
      <c r="C550" s="185">
        <f t="shared" si="17"/>
        <v>114.07680000000001</v>
      </c>
      <c r="D550" s="407" t="s">
        <v>3248</v>
      </c>
      <c r="E550" s="407" t="s">
        <v>4828</v>
      </c>
      <c r="F550" s="407" t="s">
        <v>4829</v>
      </c>
      <c r="G550" s="407" t="s">
        <v>4830</v>
      </c>
      <c r="H550" s="460">
        <v>831.58642999999995</v>
      </c>
      <c r="I550" s="460">
        <v>29.89997</v>
      </c>
      <c r="J550" s="460">
        <v>114.07680000000001</v>
      </c>
      <c r="K550" s="460">
        <v>11508.069799999999</v>
      </c>
      <c r="L550" s="459" t="s">
        <v>539</v>
      </c>
      <c r="M550" s="309" t="s">
        <v>571</v>
      </c>
      <c r="N550" s="182">
        <v>688.57820000000004</v>
      </c>
      <c r="O550">
        <v>30.623999999999999</v>
      </c>
      <c r="P550" t="s">
        <v>9256</v>
      </c>
    </row>
    <row r="551" spans="1:16" ht="14.4" x14ac:dyDescent="0.3">
      <c r="A551" s="310">
        <v>98080</v>
      </c>
      <c r="B551" t="str">
        <f t="shared" si="16"/>
        <v>SEVROLL Comfort tor dolny 4,05m srebrny</v>
      </c>
      <c r="C551" s="185" t="e">
        <f t="shared" si="17"/>
        <v>#N/A</v>
      </c>
      <c r="D551" s="407" t="s">
        <v>1421</v>
      </c>
      <c r="E551" s="407" t="s">
        <v>4831</v>
      </c>
      <c r="F551" s="407" t="s">
        <v>1181</v>
      </c>
      <c r="G551" s="407" t="s">
        <v>4832</v>
      </c>
      <c r="H551" s="460" t="e">
        <v>#N/A</v>
      </c>
      <c r="I551" s="460" t="e">
        <v>#N/A</v>
      </c>
      <c r="J551" s="460" t="e">
        <v>#N/A</v>
      </c>
      <c r="K551" s="460" t="e">
        <v>#N/A</v>
      </c>
      <c r="L551" s="459" t="e">
        <v>#N/A</v>
      </c>
      <c r="M551" s="309" t="s">
        <v>571</v>
      </c>
      <c r="N551" s="182">
        <v>689.23149999999998</v>
      </c>
      <c r="O551">
        <v>34.078000000000003</v>
      </c>
      <c r="P551" t="s">
        <v>9257</v>
      </c>
    </row>
    <row r="552" spans="1:16" ht="14.4" x14ac:dyDescent="0.3">
      <c r="A552" s="310">
        <v>100106</v>
      </c>
      <c r="B552" t="str">
        <f t="shared" si="16"/>
        <v>SEVROLL Master rączka 3 m jasny brąz</v>
      </c>
      <c r="C552" s="185">
        <f t="shared" si="17"/>
        <v>120.44696999999999</v>
      </c>
      <c r="D552" s="407" t="s">
        <v>2798</v>
      </c>
      <c r="E552" s="407" t="s">
        <v>4833</v>
      </c>
      <c r="F552" s="407" t="s">
        <v>2798</v>
      </c>
      <c r="G552" s="407" t="s">
        <v>4834</v>
      </c>
      <c r="H552" s="460">
        <v>974.16479000000004</v>
      </c>
      <c r="I552" s="460">
        <v>35.026420000000002</v>
      </c>
      <c r="J552" s="460">
        <v>120.44696999999999</v>
      </c>
      <c r="K552" s="460">
        <v>13481.167589999999</v>
      </c>
      <c r="L552" s="459" t="s">
        <v>539</v>
      </c>
      <c r="M552" s="309" t="s">
        <v>571</v>
      </c>
      <c r="N552" s="182">
        <v>689.88480000000004</v>
      </c>
      <c r="O552">
        <v>29.611999999999998</v>
      </c>
      <c r="P552" t="s">
        <v>9258</v>
      </c>
    </row>
    <row r="553" spans="1:16" ht="14.4" x14ac:dyDescent="0.3">
      <c r="A553" s="313">
        <v>223529</v>
      </c>
      <c r="B553" t="str">
        <f t="shared" si="16"/>
        <v>SEVROLL Herkules zestaw okuć 120kg</v>
      </c>
      <c r="C553" s="185" t="e">
        <f t="shared" si="17"/>
        <v>#N/A</v>
      </c>
      <c r="D553" s="407" t="s">
        <v>3068</v>
      </c>
      <c r="E553" s="407" t="s">
        <v>4835</v>
      </c>
      <c r="F553" s="407" t="s">
        <v>1160</v>
      </c>
      <c r="G553" s="407" t="s">
        <v>4836</v>
      </c>
      <c r="H553" s="460" t="e">
        <v>#N/A</v>
      </c>
      <c r="I553" s="460" t="e">
        <v>#N/A</v>
      </c>
      <c r="J553" s="460" t="e">
        <v>#N/A</v>
      </c>
      <c r="K553" s="460" t="e">
        <v>#N/A</v>
      </c>
      <c r="L553" s="459" t="e">
        <v>#N/A</v>
      </c>
      <c r="M553" s="314" t="s">
        <v>572</v>
      </c>
      <c r="N553" s="182">
        <v>696.69024000000002</v>
      </c>
      <c r="O553" t="e">
        <v>#N/A</v>
      </c>
      <c r="P553" t="e">
        <v>#N/A</v>
      </c>
    </row>
    <row r="554" spans="1:16" ht="14.4" x14ac:dyDescent="0.3">
      <c r="A554" s="310">
        <v>98107</v>
      </c>
      <c r="B554" t="str">
        <f t="shared" si="16"/>
        <v>SEVROLL Doubler II tor dolny 4,05m srebrny</v>
      </c>
      <c r="C554" s="185">
        <f t="shared" si="17"/>
        <v>127.0206</v>
      </c>
      <c r="D554" s="407" t="s">
        <v>2788</v>
      </c>
      <c r="E554" s="407" t="s">
        <v>4837</v>
      </c>
      <c r="F554" s="407" t="s">
        <v>4838</v>
      </c>
      <c r="G554" s="407" t="s">
        <v>4839</v>
      </c>
      <c r="H554" s="460">
        <v>959.68983000000003</v>
      </c>
      <c r="I554" s="460">
        <v>34.505969999999998</v>
      </c>
      <c r="J554" s="460">
        <v>127.0206</v>
      </c>
      <c r="K554" s="460">
        <v>13280.853059999999</v>
      </c>
      <c r="L554" s="459" t="s">
        <v>538</v>
      </c>
      <c r="M554" s="309" t="s">
        <v>571</v>
      </c>
      <c r="N554" s="182">
        <v>697.72439999999995</v>
      </c>
      <c r="O554">
        <v>34.1</v>
      </c>
      <c r="P554" t="s">
        <v>9259</v>
      </c>
    </row>
    <row r="555" spans="1:16" ht="14.4" x14ac:dyDescent="0.3">
      <c r="A555" s="310">
        <v>284972</v>
      </c>
      <c r="B555" t="str">
        <f t="shared" si="16"/>
        <v>SEVROLL Maxim tor górny 2,5m jasny brąz</v>
      </c>
      <c r="C555" s="185" t="e">
        <f t="shared" si="17"/>
        <v>#N/A</v>
      </c>
      <c r="D555" s="407" t="s">
        <v>3266</v>
      </c>
      <c r="E555" s="407" t="s">
        <v>4840</v>
      </c>
      <c r="F555" s="407" t="s">
        <v>1133</v>
      </c>
      <c r="G555" s="407" t="s">
        <v>4841</v>
      </c>
      <c r="H555" s="460" t="e">
        <v>#N/A</v>
      </c>
      <c r="I555" s="460" t="e">
        <v>#N/A</v>
      </c>
      <c r="J555" s="460" t="e">
        <v>#N/A</v>
      </c>
      <c r="K555" s="460" t="e">
        <v>#N/A</v>
      </c>
      <c r="L555" s="459" t="e">
        <v>#N/A</v>
      </c>
      <c r="M555" s="309" t="s">
        <v>571</v>
      </c>
      <c r="N555" s="182">
        <v>700.99090000000001</v>
      </c>
      <c r="O555" t="e">
        <v>#N/A</v>
      </c>
      <c r="P555" t="e">
        <v>#N/A</v>
      </c>
    </row>
    <row r="556" spans="1:16" ht="14.4" x14ac:dyDescent="0.3">
      <c r="A556" s="310">
        <v>98054</v>
      </c>
      <c r="B556" t="str">
        <f t="shared" si="16"/>
        <v>SEVROLL Maxim, zestaw okuć dla 2 drzwi, 1,8 m, srebrny</v>
      </c>
      <c r="C556" s="185">
        <f t="shared" si="17"/>
        <v>107.06509</v>
      </c>
      <c r="D556" s="407" t="s">
        <v>2764</v>
      </c>
      <c r="E556" s="407" t="s">
        <v>4842</v>
      </c>
      <c r="F556" s="407" t="s">
        <v>4843</v>
      </c>
      <c r="G556" s="407" t="s">
        <v>4844</v>
      </c>
      <c r="H556" s="460">
        <v>0</v>
      </c>
      <c r="I556" s="460">
        <v>27.470300000000002</v>
      </c>
      <c r="J556" s="460">
        <v>107.06509</v>
      </c>
      <c r="K556" s="460">
        <v>0</v>
      </c>
      <c r="L556" s="459" t="s">
        <v>540</v>
      </c>
      <c r="M556" s="309" t="s">
        <v>571</v>
      </c>
      <c r="N556" s="182">
        <v>702.95079999999996</v>
      </c>
      <c r="O556">
        <v>0</v>
      </c>
      <c r="P556" t="s">
        <v>9260</v>
      </c>
    </row>
    <row r="557" spans="1:16" ht="14.4" x14ac:dyDescent="0.3">
      <c r="A557" s="313">
        <v>230886</v>
      </c>
      <c r="B557" t="str">
        <f t="shared" si="16"/>
        <v>SEVROLL maskownica Herkules Glass 2m srebrny</v>
      </c>
      <c r="C557" s="185" t="e">
        <f t="shared" si="17"/>
        <v>#N/A</v>
      </c>
      <c r="D557" s="407" t="s">
        <v>3162</v>
      </c>
      <c r="E557" s="407" t="s">
        <v>4845</v>
      </c>
      <c r="F557" s="407" t="s">
        <v>1143</v>
      </c>
      <c r="G557" s="407" t="s">
        <v>4846</v>
      </c>
      <c r="H557" s="460" t="e">
        <v>#N/A</v>
      </c>
      <c r="I557" s="460" t="e">
        <v>#N/A</v>
      </c>
      <c r="J557" s="460" t="e">
        <v>#N/A</v>
      </c>
      <c r="K557" s="460" t="e">
        <v>#N/A</v>
      </c>
      <c r="L557" s="459" t="e">
        <v>#N/A</v>
      </c>
      <c r="M557" s="314" t="s">
        <v>571</v>
      </c>
      <c r="N557" s="182">
        <v>708.68038000000001</v>
      </c>
      <c r="O557" t="e">
        <v>#N/A</v>
      </c>
      <c r="P557" t="e">
        <v>#N/A</v>
      </c>
    </row>
    <row r="558" spans="1:16" ht="14.4" x14ac:dyDescent="0.3">
      <c r="A558" s="310">
        <v>349805</v>
      </c>
      <c r="B558" t="str">
        <f t="shared" si="16"/>
        <v>SEVROLL Blue tor górny 4 m, jasny brąz</v>
      </c>
      <c r="C558" s="185">
        <f t="shared" si="17"/>
        <v>126.57856</v>
      </c>
      <c r="D558" s="407" t="s">
        <v>3398</v>
      </c>
      <c r="E558" s="407" t="s">
        <v>4847</v>
      </c>
      <c r="F558" s="407" t="s">
        <v>4848</v>
      </c>
      <c r="G558" s="407" t="s">
        <v>4849</v>
      </c>
      <c r="H558" s="460">
        <v>1038.1097400000001</v>
      </c>
      <c r="I558" s="460">
        <v>37.732770000000002</v>
      </c>
      <c r="J558" s="460">
        <v>126.57856</v>
      </c>
      <c r="K558" s="460">
        <v>14750.61198</v>
      </c>
      <c r="L558" s="459" t="s">
        <v>538</v>
      </c>
      <c r="M558" s="309" t="s">
        <v>571</v>
      </c>
      <c r="N558" s="182">
        <v>710.81820000000005</v>
      </c>
      <c r="O558">
        <v>33.021999999999998</v>
      </c>
      <c r="P558" t="s">
        <v>9261</v>
      </c>
    </row>
    <row r="559" spans="1:16" ht="14.4" x14ac:dyDescent="0.3">
      <c r="A559" s="310">
        <v>350688</v>
      </c>
      <c r="B559" t="str">
        <f t="shared" si="16"/>
        <v>SEVROLL Elegant II tor dolny 6m, jasny brąz</v>
      </c>
      <c r="C559" s="185">
        <f t="shared" si="17"/>
        <v>0</v>
      </c>
      <c r="D559" s="407" t="s">
        <v>3428</v>
      </c>
      <c r="E559" s="407" t="s">
        <v>4850</v>
      </c>
      <c r="F559" s="407" t="s">
        <v>4851</v>
      </c>
      <c r="G559" s="407" t="s">
        <v>4852</v>
      </c>
      <c r="H559" s="460">
        <v>1020.48465</v>
      </c>
      <c r="I559" s="460">
        <v>36.691870000000002</v>
      </c>
      <c r="J559" s="460">
        <v>0</v>
      </c>
      <c r="K559" s="460">
        <v>14122.17425</v>
      </c>
      <c r="L559" s="459" t="s">
        <v>538</v>
      </c>
      <c r="M559" s="309" t="s">
        <v>571</v>
      </c>
      <c r="N559" s="182">
        <v>714.71019999999999</v>
      </c>
      <c r="O559">
        <v>35.134</v>
      </c>
      <c r="P559" t="s">
        <v>9262</v>
      </c>
    </row>
    <row r="560" spans="1:16" ht="14.4" x14ac:dyDescent="0.3">
      <c r="A560" s="313">
        <v>120832</v>
      </c>
      <c r="B560" t="str">
        <f t="shared" si="16"/>
        <v>SEVROLL Exclusive tor górny 3m jasny brąz</v>
      </c>
      <c r="C560" s="185">
        <f t="shared" si="17"/>
        <v>134.77080000000001</v>
      </c>
      <c r="D560" s="407" t="s">
        <v>2821</v>
      </c>
      <c r="E560" s="407" t="s">
        <v>4853</v>
      </c>
      <c r="F560" s="407" t="s">
        <v>4854</v>
      </c>
      <c r="G560" s="407" t="s">
        <v>4855</v>
      </c>
      <c r="H560" s="460">
        <v>1047.2737500000001</v>
      </c>
      <c r="I560" s="460">
        <v>39.502310000000001</v>
      </c>
      <c r="J560" s="460">
        <v>134.77080000000001</v>
      </c>
      <c r="K560" s="460">
        <v>14905.75748</v>
      </c>
      <c r="L560" s="459" t="s">
        <v>539</v>
      </c>
      <c r="M560" s="314" t="s">
        <v>571</v>
      </c>
      <c r="N560" s="182">
        <v>717.51522</v>
      </c>
      <c r="O560">
        <v>33.396000000000001</v>
      </c>
      <c r="P560" t="s">
        <v>9263</v>
      </c>
    </row>
    <row r="561" spans="1:16" ht="14.4" x14ac:dyDescent="0.3">
      <c r="A561" s="310">
        <v>191638</v>
      </c>
      <c r="B561" t="str">
        <f t="shared" si="16"/>
        <v>SEVROLL Top tor górny pojedyńczy 3m srebrny</v>
      </c>
      <c r="C561" s="185">
        <f t="shared" si="17"/>
        <v>116.4534</v>
      </c>
      <c r="D561" s="407" t="s">
        <v>2932</v>
      </c>
      <c r="E561" s="407" t="s">
        <v>4856</v>
      </c>
      <c r="F561" s="407" t="s">
        <v>4857</v>
      </c>
      <c r="G561" s="407" t="s">
        <v>4858</v>
      </c>
      <c r="H561" s="460">
        <v>928.56865000000005</v>
      </c>
      <c r="I561" s="460">
        <v>33.387</v>
      </c>
      <c r="J561" s="460">
        <v>116.4534</v>
      </c>
      <c r="K561" s="460">
        <v>12850.1769</v>
      </c>
      <c r="L561" s="459" t="s">
        <v>539</v>
      </c>
      <c r="M561" s="309" t="s">
        <v>571</v>
      </c>
      <c r="N561" s="182">
        <v>729.73609999999996</v>
      </c>
      <c r="O561">
        <v>31.262</v>
      </c>
      <c r="P561" t="s">
        <v>9264</v>
      </c>
    </row>
    <row r="562" spans="1:16" ht="14.4" x14ac:dyDescent="0.3">
      <c r="A562" s="311">
        <v>340595</v>
      </c>
      <c r="B562" t="e">
        <f t="shared" si="16"/>
        <v>#N/A</v>
      </c>
      <c r="C562" s="185" t="e">
        <f t="shared" si="17"/>
        <v>#N/A</v>
      </c>
      <c r="D562" s="407" t="e">
        <v>#N/A</v>
      </c>
      <c r="E562" s="407" t="e">
        <v>#N/A</v>
      </c>
      <c r="F562" s="407" t="e">
        <v>#N/A</v>
      </c>
      <c r="G562" s="407" t="e">
        <v>#N/A</v>
      </c>
      <c r="H562" s="460" t="e">
        <v>#N/A</v>
      </c>
      <c r="I562" s="460" t="e">
        <v>#N/A</v>
      </c>
      <c r="J562" s="460" t="e">
        <v>#N/A</v>
      </c>
      <c r="K562" s="460" t="e">
        <v>#N/A</v>
      </c>
      <c r="L562" s="459" t="e">
        <v>#N/A</v>
      </c>
      <c r="M562" s="312" t="s">
        <v>571</v>
      </c>
      <c r="N562" s="182">
        <v>732.75239999999997</v>
      </c>
      <c r="O562" t="e">
        <v>#N/A</v>
      </c>
      <c r="P562" t="e">
        <v>#N/A</v>
      </c>
    </row>
    <row r="563" spans="1:16" ht="14.4" x14ac:dyDescent="0.3">
      <c r="A563" s="310">
        <v>284958</v>
      </c>
      <c r="B563" t="str">
        <f t="shared" si="16"/>
        <v>SEVROLL Maxim maskownica dolna 2,5 m, jasny brąz</v>
      </c>
      <c r="C563" s="185" t="e">
        <f t="shared" si="17"/>
        <v>#N/A</v>
      </c>
      <c r="D563" s="407" t="s">
        <v>3263</v>
      </c>
      <c r="E563" s="407" t="s">
        <v>4859</v>
      </c>
      <c r="F563" s="407" t="s">
        <v>4860</v>
      </c>
      <c r="G563" s="407" t="s">
        <v>4861</v>
      </c>
      <c r="H563" s="460" t="e">
        <v>#N/A</v>
      </c>
      <c r="I563" s="460" t="e">
        <v>#N/A</v>
      </c>
      <c r="J563" s="460" t="e">
        <v>#N/A</v>
      </c>
      <c r="K563" s="460" t="e">
        <v>#N/A</v>
      </c>
      <c r="L563" s="459" t="e">
        <v>#N/A</v>
      </c>
      <c r="M563" s="309" t="s">
        <v>571</v>
      </c>
      <c r="N563" s="182">
        <v>742.14880000000005</v>
      </c>
      <c r="O563" t="e">
        <v>#N/A</v>
      </c>
      <c r="P563" t="e">
        <v>#N/A</v>
      </c>
    </row>
    <row r="564" spans="1:16" ht="14.4" x14ac:dyDescent="0.3">
      <c r="A564" s="311">
        <v>195460</v>
      </c>
      <c r="B564" t="e">
        <f t="shared" si="16"/>
        <v>#N/A</v>
      </c>
      <c r="C564" s="185" t="e">
        <f t="shared" si="17"/>
        <v>#N/A</v>
      </c>
      <c r="D564" s="407" t="e">
        <v>#N/A</v>
      </c>
      <c r="E564" s="407" t="e">
        <v>#N/A</v>
      </c>
      <c r="F564" s="407" t="e">
        <v>#N/A</v>
      </c>
      <c r="G564" s="407" t="e">
        <v>#N/A</v>
      </c>
      <c r="H564" s="460" t="e">
        <v>#N/A</v>
      </c>
      <c r="I564" s="460" t="e">
        <v>#N/A</v>
      </c>
      <c r="J564" s="460" t="e">
        <v>#N/A</v>
      </c>
      <c r="K564" s="460" t="e">
        <v>#N/A</v>
      </c>
      <c r="L564" s="459" t="e">
        <v>#N/A</v>
      </c>
      <c r="M564" s="312" t="s">
        <v>571</v>
      </c>
      <c r="N564" s="182">
        <v>746.1798</v>
      </c>
      <c r="O564" t="e">
        <v>#N/A</v>
      </c>
      <c r="P564" t="e">
        <v>#N/A</v>
      </c>
    </row>
    <row r="565" spans="1:16" ht="14.4" x14ac:dyDescent="0.3">
      <c r="A565" s="310">
        <v>284970</v>
      </c>
      <c r="B565" t="str">
        <f t="shared" si="16"/>
        <v>SEVROLL Maxim tor 3,5m, jasny brąz</v>
      </c>
      <c r="C565" s="185" t="e">
        <f t="shared" si="17"/>
        <v>#N/A</v>
      </c>
      <c r="D565" s="407" t="s">
        <v>3264</v>
      </c>
      <c r="E565" s="407" t="s">
        <v>4862</v>
      </c>
      <c r="F565" s="407" t="s">
        <v>4863</v>
      </c>
      <c r="G565" s="407" t="s">
        <v>4864</v>
      </c>
      <c r="H565" s="460" t="e">
        <v>#N/A</v>
      </c>
      <c r="I565" s="460" t="e">
        <v>#N/A</v>
      </c>
      <c r="J565" s="460" t="e">
        <v>#N/A</v>
      </c>
      <c r="K565" s="460" t="e">
        <v>#N/A</v>
      </c>
      <c r="L565" s="459" t="e">
        <v>#N/A</v>
      </c>
      <c r="M565" s="309" t="s">
        <v>571</v>
      </c>
      <c r="N565" s="182">
        <v>751.94830000000002</v>
      </c>
      <c r="O565" t="e">
        <v>#N/A</v>
      </c>
      <c r="P565" t="e">
        <v>#N/A</v>
      </c>
    </row>
    <row r="566" spans="1:16" ht="14.4" x14ac:dyDescent="0.3">
      <c r="A566" s="310">
        <v>308668</v>
      </c>
      <c r="B566" t="str">
        <f t="shared" si="16"/>
        <v>SEVROLL Gemini II tor dolny 6m jasny brąz</v>
      </c>
      <c r="C566" s="185">
        <f t="shared" si="17"/>
        <v>0</v>
      </c>
      <c r="D566" s="407" t="s">
        <v>3311</v>
      </c>
      <c r="E566" s="407" t="s">
        <v>4865</v>
      </c>
      <c r="F566" s="407" t="s">
        <v>4866</v>
      </c>
      <c r="G566" s="407" t="s">
        <v>4867</v>
      </c>
      <c r="H566" s="460">
        <v>1050.8820599999999</v>
      </c>
      <c r="I566" s="460">
        <v>37.784820000000003</v>
      </c>
      <c r="J566" s="460">
        <v>0</v>
      </c>
      <c r="K566" s="460">
        <v>14542.83482</v>
      </c>
      <c r="L566" s="459" t="s">
        <v>538</v>
      </c>
      <c r="M566" s="309" t="s">
        <v>571</v>
      </c>
      <c r="N566" s="182">
        <v>756.52139999999997</v>
      </c>
      <c r="O566">
        <v>33.857999999999997</v>
      </c>
      <c r="P566" t="s">
        <v>9265</v>
      </c>
    </row>
    <row r="567" spans="1:16" ht="14.4" x14ac:dyDescent="0.3">
      <c r="A567" s="310">
        <v>205174</v>
      </c>
      <c r="B567" t="str">
        <f t="shared" si="16"/>
        <v>SEVROLL listwa pozioma dolna 3 m 10mm oliwka ciemna szczotkowana</v>
      </c>
      <c r="C567" s="185">
        <f t="shared" si="17"/>
        <v>135.48047</v>
      </c>
      <c r="D567" s="407" t="s">
        <v>2982</v>
      </c>
      <c r="E567" s="407" t="s">
        <v>4868</v>
      </c>
      <c r="F567" s="407" t="s">
        <v>4869</v>
      </c>
      <c r="G567" s="407" t="s">
        <v>4870</v>
      </c>
      <c r="H567" s="460">
        <v>1095.75443</v>
      </c>
      <c r="I567" s="460">
        <v>39.398220000000002</v>
      </c>
      <c r="J567" s="460">
        <v>135.48047</v>
      </c>
      <c r="K567" s="460">
        <v>15163.809960000001</v>
      </c>
      <c r="L567" s="459" t="s">
        <v>539</v>
      </c>
      <c r="M567" s="309" t="s">
        <v>571</v>
      </c>
      <c r="N567" s="182">
        <v>759.78790000000004</v>
      </c>
      <c r="O567">
        <v>33.308</v>
      </c>
      <c r="P567" t="s">
        <v>9266</v>
      </c>
    </row>
    <row r="568" spans="1:16" ht="14.4" x14ac:dyDescent="0.3">
      <c r="A568" s="313">
        <v>346129</v>
      </c>
      <c r="B568" t="str">
        <f t="shared" si="16"/>
        <v>SEVROLL Herkules plus tor górny 4m alu</v>
      </c>
      <c r="C568" s="185" t="e">
        <f t="shared" si="17"/>
        <v>#N/A</v>
      </c>
      <c r="D568" s="407" t="s">
        <v>3377</v>
      </c>
      <c r="E568" s="407" t="s">
        <v>4871</v>
      </c>
      <c r="F568" s="407" t="s">
        <v>4872</v>
      </c>
      <c r="G568" s="407" t="s">
        <v>4873</v>
      </c>
      <c r="H568" s="460" t="e">
        <v>#N/A</v>
      </c>
      <c r="I568" s="460" t="e">
        <v>#N/A</v>
      </c>
      <c r="J568" s="460" t="e">
        <v>#N/A</v>
      </c>
      <c r="K568" s="460" t="e">
        <v>#N/A</v>
      </c>
      <c r="L568" s="459" t="e">
        <v>#N/A</v>
      </c>
      <c r="M568" s="314" t="s">
        <v>571</v>
      </c>
      <c r="N568" s="182">
        <v>760.91380000000004</v>
      </c>
      <c r="O568" t="e">
        <v>#N/A</v>
      </c>
      <c r="P568" t="e">
        <v>#N/A</v>
      </c>
    </row>
    <row r="569" spans="1:16" ht="14.4" x14ac:dyDescent="0.3">
      <c r="A569" s="310">
        <v>163114</v>
      </c>
      <c r="B569" t="str">
        <f t="shared" si="16"/>
        <v>SEVROLL Doubler II tor dolny 4,05m jasny brąz</v>
      </c>
      <c r="C569" s="185">
        <f t="shared" si="17"/>
        <v>148.36633</v>
      </c>
      <c r="D569" s="407" t="s">
        <v>2890</v>
      </c>
      <c r="E569" s="407" t="s">
        <v>4874</v>
      </c>
      <c r="F569" s="407" t="s">
        <v>4875</v>
      </c>
      <c r="G569" s="407" t="s">
        <v>4876</v>
      </c>
      <c r="H569" s="460">
        <v>1199.97416</v>
      </c>
      <c r="I569" s="460">
        <v>43.145470000000003</v>
      </c>
      <c r="J569" s="460">
        <v>148.36633</v>
      </c>
      <c r="K569" s="460">
        <v>16606.074329999999</v>
      </c>
      <c r="L569" s="459" t="s">
        <v>539</v>
      </c>
      <c r="M569" s="309" t="s">
        <v>571</v>
      </c>
      <c r="N569" s="182">
        <v>767.62750000000005</v>
      </c>
      <c r="O569">
        <v>37.51</v>
      </c>
      <c r="P569" t="s">
        <v>9267</v>
      </c>
    </row>
    <row r="570" spans="1:16" ht="14.4" x14ac:dyDescent="0.3">
      <c r="A570" s="310">
        <v>163120</v>
      </c>
      <c r="B570" t="str">
        <f t="shared" si="16"/>
        <v>SEVROLL Doubler II tor dolny 4,05m złoty</v>
      </c>
      <c r="C570" s="185" t="e">
        <f t="shared" si="17"/>
        <v>#N/A</v>
      </c>
      <c r="D570" s="407" t="s">
        <v>2892</v>
      </c>
      <c r="E570" s="407" t="s">
        <v>4877</v>
      </c>
      <c r="F570" s="407" t="s">
        <v>1179</v>
      </c>
      <c r="G570" s="407" t="s">
        <v>4878</v>
      </c>
      <c r="H570" s="460" t="e">
        <v>#N/A</v>
      </c>
      <c r="I570" s="460" t="e">
        <v>#N/A</v>
      </c>
      <c r="J570" s="460" t="e">
        <v>#N/A</v>
      </c>
      <c r="K570" s="460" t="e">
        <v>#N/A</v>
      </c>
      <c r="L570" s="459" t="e">
        <v>#N/A</v>
      </c>
      <c r="M570" s="309" t="s">
        <v>571</v>
      </c>
      <c r="N570" s="182">
        <v>767.62750000000005</v>
      </c>
      <c r="O570" t="e">
        <v>#N/A</v>
      </c>
      <c r="P570" t="e">
        <v>#N/A</v>
      </c>
    </row>
    <row r="571" spans="1:16" ht="14.4" x14ac:dyDescent="0.3">
      <c r="A571" s="313">
        <v>353410</v>
      </c>
      <c r="B571" t="str">
        <f t="shared" si="16"/>
        <v>SEVROLL Ursus tor górny 3,6 m surowy</v>
      </c>
      <c r="C571" s="185" t="e">
        <f t="shared" si="17"/>
        <v>#N/A</v>
      </c>
      <c r="D571" s="407" t="s">
        <v>3436</v>
      </c>
      <c r="E571" s="407" t="s">
        <v>4879</v>
      </c>
      <c r="F571" s="407" t="s">
        <v>4880</v>
      </c>
      <c r="G571" s="407" t="s">
        <v>4881</v>
      </c>
      <c r="H571" s="460" t="e">
        <v>#N/A</v>
      </c>
      <c r="I571" s="460" t="e">
        <v>#N/A</v>
      </c>
      <c r="J571" s="460" t="e">
        <v>#N/A</v>
      </c>
      <c r="K571" s="460" t="e">
        <v>#N/A</v>
      </c>
      <c r="L571" s="459" t="e">
        <v>#N/A</v>
      </c>
      <c r="M571" s="314" t="s">
        <v>571</v>
      </c>
      <c r="N571" s="182">
        <v>771.15531999999996</v>
      </c>
      <c r="O571">
        <v>41.36</v>
      </c>
      <c r="P571" t="s">
        <v>9268</v>
      </c>
    </row>
    <row r="572" spans="1:16" ht="14.4" x14ac:dyDescent="0.3">
      <c r="A572" s="310">
        <v>284526</v>
      </c>
      <c r="B572" t="str">
        <f t="shared" si="16"/>
        <v>SEVROLL Pax maskownica dolna 3m 4mm biały połysk</v>
      </c>
      <c r="C572" s="185">
        <f t="shared" si="17"/>
        <v>129.11160000000001</v>
      </c>
      <c r="D572" s="407" t="s">
        <v>3250</v>
      </c>
      <c r="E572" s="407" t="s">
        <v>4882</v>
      </c>
      <c r="F572" s="407" t="s">
        <v>4883</v>
      </c>
      <c r="G572" s="407" t="s">
        <v>4884</v>
      </c>
      <c r="H572" s="460">
        <v>940.87237000000005</v>
      </c>
      <c r="I572" s="460">
        <v>33.82938</v>
      </c>
      <c r="J572" s="460">
        <v>129.11160000000001</v>
      </c>
      <c r="K572" s="460">
        <v>13020.44433</v>
      </c>
      <c r="L572" s="459" t="s">
        <v>539</v>
      </c>
      <c r="M572" s="309" t="s">
        <v>571</v>
      </c>
      <c r="N572" s="182">
        <v>779.38689999999997</v>
      </c>
      <c r="O572">
        <v>34.671999999999997</v>
      </c>
      <c r="P572" t="s">
        <v>9269</v>
      </c>
    </row>
    <row r="573" spans="1:16" ht="14.4" x14ac:dyDescent="0.3">
      <c r="A573" s="313">
        <v>234399</v>
      </c>
      <c r="B573" t="str">
        <f t="shared" si="16"/>
        <v>SEVROLL Exclusive tor górny 3,6m srebrny</v>
      </c>
      <c r="C573" s="185" t="e">
        <f t="shared" si="17"/>
        <v>#N/A</v>
      </c>
      <c r="D573" s="407" t="s">
        <v>3166</v>
      </c>
      <c r="E573" s="407" t="s">
        <v>4885</v>
      </c>
      <c r="F573" s="407" t="s">
        <v>1172</v>
      </c>
      <c r="G573" s="407" t="s">
        <v>4886</v>
      </c>
      <c r="H573" s="460" t="e">
        <v>#N/A</v>
      </c>
      <c r="I573" s="460" t="e">
        <v>#N/A</v>
      </c>
      <c r="J573" s="460" t="e">
        <v>#N/A</v>
      </c>
      <c r="K573" s="460" t="e">
        <v>#N/A</v>
      </c>
      <c r="L573" s="459" t="e">
        <v>#N/A</v>
      </c>
      <c r="M573" s="314" t="s">
        <v>571</v>
      </c>
      <c r="N573" s="182">
        <v>782.51440000000002</v>
      </c>
      <c r="O573">
        <v>36.542000000000002</v>
      </c>
      <c r="P573" t="s">
        <v>9270</v>
      </c>
    </row>
    <row r="574" spans="1:16" ht="14.4" x14ac:dyDescent="0.3">
      <c r="A574" s="310">
        <v>89114</v>
      </c>
      <c r="B574" t="str">
        <f t="shared" si="16"/>
        <v>SEVROLL 01439 Gemini horní vedení 4,05m oliva</v>
      </c>
      <c r="C574" s="185">
        <f t="shared" si="17"/>
        <v>144.9659</v>
      </c>
      <c r="D574" s="407" t="s">
        <v>2639</v>
      </c>
      <c r="E574" s="407" t="s">
        <v>4887</v>
      </c>
      <c r="F574" s="407" t="s">
        <v>4888</v>
      </c>
      <c r="G574" s="407" t="s">
        <v>2639</v>
      </c>
      <c r="H574" s="460">
        <v>1172.47173</v>
      </c>
      <c r="I574" s="460">
        <v>42.156610000000001</v>
      </c>
      <c r="J574" s="460">
        <v>144.9659</v>
      </c>
      <c r="K574" s="460">
        <v>16225.4768</v>
      </c>
      <c r="L574" s="459" t="s">
        <v>538</v>
      </c>
      <c r="M574" s="309" t="s">
        <v>571</v>
      </c>
      <c r="N574" s="182">
        <v>791.1463</v>
      </c>
      <c r="O574">
        <v>39.49</v>
      </c>
      <c r="P574" t="s">
        <v>9271</v>
      </c>
    </row>
    <row r="575" spans="1:16" ht="14.4" x14ac:dyDescent="0.3">
      <c r="A575" s="310">
        <v>89113</v>
      </c>
      <c r="B575" t="str">
        <f t="shared" si="16"/>
        <v>SEVROLL 01462 Gemini horní vedení 4,05m zlatá</v>
      </c>
      <c r="C575" s="185">
        <f t="shared" si="17"/>
        <v>144.9659</v>
      </c>
      <c r="D575" s="407" t="s">
        <v>2638</v>
      </c>
      <c r="E575" s="407" t="s">
        <v>4889</v>
      </c>
      <c r="F575" s="407" t="s">
        <v>4890</v>
      </c>
      <c r="G575" s="407" t="s">
        <v>2638</v>
      </c>
      <c r="H575" s="460">
        <v>1172.47173</v>
      </c>
      <c r="I575" s="460">
        <v>42.156610000000001</v>
      </c>
      <c r="J575" s="460">
        <v>144.9659</v>
      </c>
      <c r="K575" s="460">
        <v>16225.4768</v>
      </c>
      <c r="L575" s="459" t="s">
        <v>540</v>
      </c>
      <c r="M575" s="309" t="s">
        <v>571</v>
      </c>
      <c r="N575" s="182">
        <v>791.1463</v>
      </c>
      <c r="O575">
        <v>40.700000000000003</v>
      </c>
      <c r="P575" t="s">
        <v>9272</v>
      </c>
    </row>
    <row r="576" spans="1:16" ht="14.4" x14ac:dyDescent="0.3">
      <c r="A576" s="313">
        <v>223510</v>
      </c>
      <c r="B576" t="str">
        <f t="shared" si="16"/>
        <v>SEVROLL Herkules 2 tor górny 3 m alu</v>
      </c>
      <c r="C576" s="185" t="e">
        <f t="shared" si="17"/>
        <v>#N/A</v>
      </c>
      <c r="D576" s="407" t="s">
        <v>2723</v>
      </c>
      <c r="E576" s="407" t="s">
        <v>4891</v>
      </c>
      <c r="F576" s="407" t="s">
        <v>4892</v>
      </c>
      <c r="G576" s="407" t="s">
        <v>4893</v>
      </c>
      <c r="H576" s="460" t="e">
        <v>#N/A</v>
      </c>
      <c r="I576" s="460" t="e">
        <v>#N/A</v>
      </c>
      <c r="J576" s="460" t="e">
        <v>#N/A</v>
      </c>
      <c r="K576" s="460" t="e">
        <v>#N/A</v>
      </c>
      <c r="L576" s="459" t="e">
        <v>#N/A</v>
      </c>
      <c r="M576" s="314" t="s">
        <v>571</v>
      </c>
      <c r="N576" s="182">
        <v>800.18407999999999</v>
      </c>
      <c r="O576" t="e">
        <v>#N/A</v>
      </c>
      <c r="P576" t="e">
        <v>#N/A</v>
      </c>
    </row>
    <row r="577" spans="1:16" ht="14.4" x14ac:dyDescent="0.3">
      <c r="A577" s="313">
        <v>84174</v>
      </c>
      <c r="B577" t="str">
        <f t="shared" si="16"/>
        <v>SEVROLL Prowadnica alumin.HERKULES 2 3 m</v>
      </c>
      <c r="C577" s="185" t="e">
        <f t="shared" si="17"/>
        <v>#N/A</v>
      </c>
      <c r="D577" s="407" t="s">
        <v>2723</v>
      </c>
      <c r="E577" s="407" t="s">
        <v>4891</v>
      </c>
      <c r="F577" s="407" t="s">
        <v>4894</v>
      </c>
      <c r="G577" s="407" t="s">
        <v>4895</v>
      </c>
      <c r="H577" s="460" t="e">
        <v>#N/A</v>
      </c>
      <c r="I577" s="460" t="e">
        <v>#N/A</v>
      </c>
      <c r="J577" s="460" t="e">
        <v>#N/A</v>
      </c>
      <c r="K577" s="460" t="e">
        <v>#N/A</v>
      </c>
      <c r="L577" s="459" t="e">
        <v>#N/A</v>
      </c>
      <c r="M577" s="314" t="s">
        <v>571</v>
      </c>
      <c r="N577" s="182">
        <v>800.18407999999999</v>
      </c>
      <c r="O577" t="e">
        <v>#N/A</v>
      </c>
      <c r="P577" t="e">
        <v>#N/A</v>
      </c>
    </row>
    <row r="578" spans="1:16" ht="14.4" x14ac:dyDescent="0.3">
      <c r="A578" s="310">
        <v>308645</v>
      </c>
      <c r="B578" t="str">
        <f t="shared" si="16"/>
        <v>SEVROLL Elegant II tor dolny 6m biały połysk</v>
      </c>
      <c r="C578" s="185">
        <f t="shared" si="17"/>
        <v>0</v>
      </c>
      <c r="D578" s="407" t="s">
        <v>3306</v>
      </c>
      <c r="E578" s="407" t="s">
        <v>4896</v>
      </c>
      <c r="F578" s="407" t="s">
        <v>4897</v>
      </c>
      <c r="G578" s="407" t="s">
        <v>4898</v>
      </c>
      <c r="H578" s="460">
        <v>1054.50082</v>
      </c>
      <c r="I578" s="460">
        <v>37.914929999999998</v>
      </c>
      <c r="J578" s="460">
        <v>0</v>
      </c>
      <c r="K578" s="460">
        <v>14592.91346</v>
      </c>
      <c r="L578" s="459" t="s">
        <v>539</v>
      </c>
      <c r="M578" s="309" t="s">
        <v>571</v>
      </c>
      <c r="N578" s="182">
        <v>801.59910000000002</v>
      </c>
      <c r="O578">
        <v>37.752000000000002</v>
      </c>
      <c r="P578" t="s">
        <v>9273</v>
      </c>
    </row>
    <row r="579" spans="1:16" ht="14.4" x14ac:dyDescent="0.3">
      <c r="A579" s="310">
        <v>191639</v>
      </c>
      <c r="B579" t="str">
        <f t="shared" si="16"/>
        <v>SEVROLL Top tor górny pojedynczy 3 m oliwka</v>
      </c>
      <c r="C579" s="185">
        <f t="shared" si="17"/>
        <v>139.59678</v>
      </c>
      <c r="D579" s="407" t="s">
        <v>2933</v>
      </c>
      <c r="E579" s="407" t="s">
        <v>4899</v>
      </c>
      <c r="F579" s="407" t="s">
        <v>4900</v>
      </c>
      <c r="G579" s="407" t="s">
        <v>4901</v>
      </c>
      <c r="H579" s="460">
        <v>1129.0468499999999</v>
      </c>
      <c r="I579" s="460">
        <v>40.595260000000003</v>
      </c>
      <c r="J579" s="460">
        <v>139.59678</v>
      </c>
      <c r="K579" s="460">
        <v>15624.533219999999</v>
      </c>
      <c r="L579" s="459" t="s">
        <v>539</v>
      </c>
      <c r="M579" s="309" t="s">
        <v>571</v>
      </c>
      <c r="N579" s="182">
        <v>801.59910000000002</v>
      </c>
      <c r="O579">
        <v>34.363999999999997</v>
      </c>
      <c r="P579" t="s">
        <v>9274</v>
      </c>
    </row>
    <row r="580" spans="1:16" ht="14.4" x14ac:dyDescent="0.3">
      <c r="A580" s="311">
        <v>340596</v>
      </c>
      <c r="B580" t="e">
        <f t="shared" ref="B580:B643" si="18">IF($A$2=1,D580,IF($A$2=2,F580,IF($A$2=3,G580,IF($A$2=4,E580,IF($A$2&gt;4,P580,"zadat jazyk")))))</f>
        <v>#N/A</v>
      </c>
      <c r="C580" s="185" t="e">
        <f t="shared" ref="C580:C643" si="19">IF($A$2=1,H580,IF($A$2=2,I580,IF($A$2=3,J580,IF($A$2=4,K580,IF($A$2&gt;4,O580,"zadat jazyk")))))</f>
        <v>#N/A</v>
      </c>
      <c r="D580" s="407" t="e">
        <v>#N/A</v>
      </c>
      <c r="E580" s="407" t="e">
        <v>#N/A</v>
      </c>
      <c r="F580" s="407" t="e">
        <v>#N/A</v>
      </c>
      <c r="G580" s="407" t="e">
        <v>#N/A</v>
      </c>
      <c r="H580" s="460" t="e">
        <v>#N/A</v>
      </c>
      <c r="I580" s="460" t="e">
        <v>#N/A</v>
      </c>
      <c r="J580" s="460" t="e">
        <v>#N/A</v>
      </c>
      <c r="K580" s="460" t="e">
        <v>#N/A</v>
      </c>
      <c r="L580" s="459" t="e">
        <v>#N/A</v>
      </c>
      <c r="M580" s="312" t="s">
        <v>571</v>
      </c>
      <c r="N580" s="182">
        <v>803.08640000000003</v>
      </c>
      <c r="O580" t="e">
        <v>#N/A</v>
      </c>
      <c r="P580" t="e">
        <v>#N/A</v>
      </c>
    </row>
    <row r="581" spans="1:16" ht="14.4" x14ac:dyDescent="0.3">
      <c r="A581" s="310">
        <v>102825</v>
      </c>
      <c r="B581" t="str">
        <f t="shared" si="18"/>
        <v>SEVROLL Maxim tor 4,3 m, srebrny</v>
      </c>
      <c r="C581" s="185" t="e">
        <f t="shared" si="19"/>
        <v>#N/A</v>
      </c>
      <c r="D581" s="407" t="s">
        <v>2802</v>
      </c>
      <c r="E581" s="407" t="s">
        <v>4902</v>
      </c>
      <c r="F581" s="407" t="s">
        <v>4903</v>
      </c>
      <c r="G581" s="407" t="s">
        <v>4904</v>
      </c>
      <c r="H581" s="460" t="e">
        <v>#N/A</v>
      </c>
      <c r="I581" s="460" t="e">
        <v>#N/A</v>
      </c>
      <c r="J581" s="460" t="e">
        <v>#N/A</v>
      </c>
      <c r="K581" s="460" t="e">
        <v>#N/A</v>
      </c>
      <c r="L581" s="459" t="e">
        <v>#N/A</v>
      </c>
      <c r="M581" s="309" t="s">
        <v>571</v>
      </c>
      <c r="N581" s="182">
        <v>803.55899999999997</v>
      </c>
      <c r="O581" t="e">
        <v>#N/A</v>
      </c>
      <c r="P581" t="e">
        <v>#N/A</v>
      </c>
    </row>
    <row r="582" spans="1:16" ht="14.4" x14ac:dyDescent="0.3">
      <c r="A582" s="313">
        <v>98034</v>
      </c>
      <c r="B582" t="str">
        <f t="shared" si="18"/>
        <v>SEVROLL 10256-SV Exclusive zestaw okuć ZPE-10 II</v>
      </c>
      <c r="C582" s="185">
        <f t="shared" si="19"/>
        <v>135.56983</v>
      </c>
      <c r="D582" s="407" t="s">
        <v>2758</v>
      </c>
      <c r="E582" s="407" t="s">
        <v>4905</v>
      </c>
      <c r="F582" s="407" t="s">
        <v>4906</v>
      </c>
      <c r="G582" s="407" t="s">
        <v>4907</v>
      </c>
      <c r="H582" s="460">
        <v>1053.48288</v>
      </c>
      <c r="I582" s="460">
        <v>39.736510000000003</v>
      </c>
      <c r="J582" s="460">
        <v>135.56983</v>
      </c>
      <c r="K582" s="460">
        <v>14994.13168</v>
      </c>
      <c r="L582" s="459" t="s">
        <v>539</v>
      </c>
      <c r="M582" s="314" t="s">
        <v>571</v>
      </c>
      <c r="N582" s="182">
        <v>819.11587999999995</v>
      </c>
      <c r="O582">
        <v>35.353999999999999</v>
      </c>
      <c r="P582" t="s">
        <v>9275</v>
      </c>
    </row>
    <row r="583" spans="1:16" ht="14.4" x14ac:dyDescent="0.3">
      <c r="A583" s="311">
        <v>248417</v>
      </c>
      <c r="B583" t="e">
        <f t="shared" si="18"/>
        <v>#N/A</v>
      </c>
      <c r="C583" s="185" t="e">
        <f t="shared" si="19"/>
        <v>#N/A</v>
      </c>
      <c r="D583" s="407" t="e">
        <v>#N/A</v>
      </c>
      <c r="E583" s="407" t="e">
        <v>#N/A</v>
      </c>
      <c r="F583" s="407" t="e">
        <v>#N/A</v>
      </c>
      <c r="G583" s="407" t="e">
        <v>#N/A</v>
      </c>
      <c r="H583" s="460" t="e">
        <v>#N/A</v>
      </c>
      <c r="I583" s="460" t="e">
        <v>#N/A</v>
      </c>
      <c r="J583" s="460" t="e">
        <v>#N/A</v>
      </c>
      <c r="K583" s="460" t="e">
        <v>#N/A</v>
      </c>
      <c r="L583" s="459" t="e">
        <v>#N/A</v>
      </c>
      <c r="M583" s="312" t="s">
        <v>571</v>
      </c>
      <c r="N583" s="182">
        <v>819.71079999999995</v>
      </c>
      <c r="O583" t="e">
        <v>#N/A</v>
      </c>
      <c r="P583" t="e">
        <v>#N/A</v>
      </c>
    </row>
    <row r="584" spans="1:16" ht="14.4" x14ac:dyDescent="0.3">
      <c r="A584" s="310">
        <v>180414</v>
      </c>
      <c r="B584" t="str">
        <f t="shared" si="18"/>
        <v>SEVROLL Maxim II tor dolny 6m srebrny</v>
      </c>
      <c r="C584" s="185" t="e">
        <f t="shared" si="19"/>
        <v>#N/A</v>
      </c>
      <c r="D584" s="407" t="s">
        <v>2916</v>
      </c>
      <c r="E584" s="407" t="s">
        <v>4908</v>
      </c>
      <c r="F584" s="407" t="s">
        <v>4909</v>
      </c>
      <c r="G584" s="407" t="s">
        <v>4910</v>
      </c>
      <c r="H584" s="460" t="e">
        <v>#N/A</v>
      </c>
      <c r="I584" s="460" t="e">
        <v>#N/A</v>
      </c>
      <c r="J584" s="460" t="e">
        <v>#N/A</v>
      </c>
      <c r="K584" s="460" t="e">
        <v>#N/A</v>
      </c>
      <c r="L584" s="459" t="e">
        <v>#N/A</v>
      </c>
      <c r="M584" s="309" t="s">
        <v>571</v>
      </c>
      <c r="N584" s="182">
        <v>823.15800000000002</v>
      </c>
      <c r="O584" t="e">
        <v>#N/A</v>
      </c>
      <c r="P584" t="e">
        <v>#N/A</v>
      </c>
    </row>
    <row r="585" spans="1:16" ht="14.4" x14ac:dyDescent="0.3">
      <c r="A585" s="310">
        <v>179227</v>
      </c>
      <c r="B585" t="str">
        <f t="shared" si="18"/>
        <v>SEVROLL Future II rączka 3,5m jasny brąz</v>
      </c>
      <c r="C585" s="185">
        <f t="shared" si="19"/>
        <v>170.136</v>
      </c>
      <c r="D585" s="407" t="s">
        <v>2906</v>
      </c>
      <c r="E585" s="407" t="s">
        <v>4911</v>
      </c>
      <c r="F585" s="407" t="s">
        <v>2906</v>
      </c>
      <c r="G585" s="407" t="s">
        <v>4912</v>
      </c>
      <c r="H585" s="460">
        <v>1362.81744</v>
      </c>
      <c r="I585" s="460">
        <v>49.00056</v>
      </c>
      <c r="J585" s="460">
        <v>170.136</v>
      </c>
      <c r="K585" s="460">
        <v>18859.61275</v>
      </c>
      <c r="L585" s="459" t="s">
        <v>539</v>
      </c>
      <c r="M585" s="309" t="s">
        <v>571</v>
      </c>
      <c r="N585" s="182">
        <v>838.18389999999999</v>
      </c>
      <c r="O585">
        <v>41.426000000000002</v>
      </c>
      <c r="P585" t="s">
        <v>9276</v>
      </c>
    </row>
    <row r="586" spans="1:16" ht="14.4" x14ac:dyDescent="0.3">
      <c r="A586" s="310">
        <v>216338</v>
      </c>
      <c r="B586" t="str">
        <f t="shared" si="18"/>
        <v>SEVROLL Simple tor górny 6 m srebrny</v>
      </c>
      <c r="C586" s="185">
        <f t="shared" si="19"/>
        <v>0</v>
      </c>
      <c r="D586" s="407" t="s">
        <v>3010</v>
      </c>
      <c r="E586" s="407" t="s">
        <v>4913</v>
      </c>
      <c r="F586" s="407" t="s">
        <v>1048</v>
      </c>
      <c r="G586" s="407" t="s">
        <v>4914</v>
      </c>
      <c r="H586" s="460">
        <v>1181.29729</v>
      </c>
      <c r="I586" s="460">
        <v>42.937289999999997</v>
      </c>
      <c r="J586" s="460">
        <v>0</v>
      </c>
      <c r="K586" s="460">
        <v>16785.17915</v>
      </c>
      <c r="L586" s="459" t="s">
        <v>539</v>
      </c>
      <c r="M586" s="309" t="s">
        <v>571</v>
      </c>
      <c r="N586" s="182">
        <v>850.4298</v>
      </c>
      <c r="O586">
        <v>42.283999999999999</v>
      </c>
      <c r="P586" t="s">
        <v>9277</v>
      </c>
    </row>
    <row r="587" spans="1:16" ht="14.4" x14ac:dyDescent="0.3">
      <c r="A587" s="313">
        <v>134489</v>
      </c>
      <c r="B587" t="str">
        <f t="shared" si="18"/>
        <v>SEVROLL Ursus zestaw okuć ZP-18 do 1 skrzydła</v>
      </c>
      <c r="C587" s="185" t="e">
        <f t="shared" si="19"/>
        <v>#N/A</v>
      </c>
      <c r="D587" s="407" t="s">
        <v>2842</v>
      </c>
      <c r="E587" s="407" t="s">
        <v>4915</v>
      </c>
      <c r="F587" s="407" t="s">
        <v>4916</v>
      </c>
      <c r="G587" s="407" t="s">
        <v>4917</v>
      </c>
      <c r="H587" s="460" t="e">
        <v>#N/A</v>
      </c>
      <c r="I587" s="460" t="e">
        <v>#N/A</v>
      </c>
      <c r="J587" s="460" t="e">
        <v>#N/A</v>
      </c>
      <c r="K587" s="460" t="e">
        <v>#N/A</v>
      </c>
      <c r="L587" s="459" t="e">
        <v>#N/A</v>
      </c>
      <c r="M587" s="314" t="s">
        <v>572</v>
      </c>
      <c r="N587" s="182">
        <v>851.29993999999999</v>
      </c>
      <c r="O587" t="e">
        <v>#N/A</v>
      </c>
      <c r="P587" t="e">
        <v>#N/A</v>
      </c>
    </row>
    <row r="588" spans="1:16" ht="14.4" x14ac:dyDescent="0.3">
      <c r="A588" s="313">
        <v>214825</v>
      </c>
      <c r="B588" t="str">
        <f t="shared" si="18"/>
        <v>SEVROLL Exclusive zestaw okuć ZPE-18</v>
      </c>
      <c r="C588" s="185">
        <f t="shared" si="19"/>
        <v>134.14932999999999</v>
      </c>
      <c r="D588" s="407" t="s">
        <v>3006</v>
      </c>
      <c r="E588" s="407" t="s">
        <v>4918</v>
      </c>
      <c r="F588" s="407" t="s">
        <v>1170</v>
      </c>
      <c r="G588" s="407" t="s">
        <v>4919</v>
      </c>
      <c r="H588" s="460">
        <v>1042.4444100000001</v>
      </c>
      <c r="I588" s="460">
        <v>39.320149999999998</v>
      </c>
      <c r="J588" s="460">
        <v>134.14932999999999</v>
      </c>
      <c r="K588" s="460">
        <v>14837.02203</v>
      </c>
      <c r="L588" s="459" t="s">
        <v>539</v>
      </c>
      <c r="M588" s="314" t="s">
        <v>571</v>
      </c>
      <c r="N588" s="182">
        <v>851.29993999999999</v>
      </c>
      <c r="O588">
        <v>34.979999999999997</v>
      </c>
      <c r="P588" t="s">
        <v>9278</v>
      </c>
    </row>
    <row r="589" spans="1:16" ht="14.4" x14ac:dyDescent="0.3">
      <c r="A589" s="310">
        <v>227321</v>
      </c>
      <c r="B589" t="str">
        <f t="shared" si="18"/>
        <v>SEVROLL Comfort tor górny 2,35m srebrny</v>
      </c>
      <c r="C589" s="185">
        <f t="shared" si="19"/>
        <v>149.685</v>
      </c>
      <c r="D589" s="407" t="s">
        <v>3143</v>
      </c>
      <c r="E589" s="407" t="s">
        <v>4920</v>
      </c>
      <c r="F589" s="407" t="s">
        <v>1260</v>
      </c>
      <c r="G589" s="407" t="s">
        <v>4921</v>
      </c>
      <c r="H589" s="460">
        <v>1155.8255300000001</v>
      </c>
      <c r="I589" s="460">
        <v>41.55809</v>
      </c>
      <c r="J589" s="460">
        <v>149.685</v>
      </c>
      <c r="K589" s="460">
        <v>15995.115159999999</v>
      </c>
      <c r="L589" s="459" t="s">
        <v>538</v>
      </c>
      <c r="M589" s="309" t="s">
        <v>571</v>
      </c>
      <c r="N589" s="182">
        <v>863.6626</v>
      </c>
      <c r="O589">
        <v>40.194000000000003</v>
      </c>
      <c r="P589" t="s">
        <v>9279</v>
      </c>
    </row>
    <row r="590" spans="1:16" ht="14.4" x14ac:dyDescent="0.3">
      <c r="A590" s="313">
        <v>89259</v>
      </c>
      <c r="B590" t="e">
        <f t="shared" si="18"/>
        <v>#N/A</v>
      </c>
      <c r="C590" s="185" t="e">
        <f t="shared" si="19"/>
        <v>#N/A</v>
      </c>
      <c r="D590" s="407" t="e">
        <v>#N/A</v>
      </c>
      <c r="E590" s="407" t="e">
        <v>#N/A</v>
      </c>
      <c r="F590" s="407" t="e">
        <v>#N/A</v>
      </c>
      <c r="G590" s="407" t="e">
        <v>#N/A</v>
      </c>
      <c r="H590" s="460" t="e">
        <v>#N/A</v>
      </c>
      <c r="I590" s="460" t="e">
        <v>#N/A</v>
      </c>
      <c r="J590" s="460" t="e">
        <v>#N/A</v>
      </c>
      <c r="K590" s="460" t="e">
        <v>#N/A</v>
      </c>
      <c r="L590" s="459" t="e">
        <v>#N/A</v>
      </c>
      <c r="M590" s="314" t="s">
        <v>571</v>
      </c>
      <c r="N590" s="182">
        <v>867.70749999999998</v>
      </c>
      <c r="O590" t="e">
        <v>#N/A</v>
      </c>
      <c r="P590" t="e">
        <v>#N/A</v>
      </c>
    </row>
    <row r="591" spans="1:16" ht="14.4" x14ac:dyDescent="0.3">
      <c r="A591" s="310">
        <v>351578</v>
      </c>
      <c r="B591" t="str">
        <f t="shared" si="18"/>
        <v>SEVROLL Gemini II tor dolny 6m biały połysk</v>
      </c>
      <c r="C591" s="185">
        <f t="shared" si="19"/>
        <v>0</v>
      </c>
      <c r="D591" s="407" t="s">
        <v>3434</v>
      </c>
      <c r="E591" s="407" t="s">
        <v>4922</v>
      </c>
      <c r="F591" s="407" t="s">
        <v>4923</v>
      </c>
      <c r="G591" s="407" t="s">
        <v>4924</v>
      </c>
      <c r="H591" s="460">
        <v>1034.23587</v>
      </c>
      <c r="I591" s="460">
        <v>37.186300000000003</v>
      </c>
      <c r="J591" s="460">
        <v>0</v>
      </c>
      <c r="K591" s="460">
        <v>14312.4732</v>
      </c>
      <c r="L591" s="459" t="s">
        <v>539</v>
      </c>
      <c r="M591" s="309" t="s">
        <v>571</v>
      </c>
      <c r="N591" s="182">
        <v>873.46209999999996</v>
      </c>
      <c r="O591">
        <v>39.71</v>
      </c>
      <c r="P591" t="s">
        <v>9280</v>
      </c>
    </row>
    <row r="592" spans="1:16" ht="14.4" x14ac:dyDescent="0.3">
      <c r="A592" s="313">
        <v>351578</v>
      </c>
      <c r="B592" t="str">
        <f t="shared" si="18"/>
        <v>SEVROLL Gemini II tor dolny 6m biały połysk</v>
      </c>
      <c r="C592" s="185">
        <f t="shared" si="19"/>
        <v>0</v>
      </c>
      <c r="D592" s="407" t="s">
        <v>3434</v>
      </c>
      <c r="E592" s="407" t="s">
        <v>4922</v>
      </c>
      <c r="F592" s="407" t="s">
        <v>4923</v>
      </c>
      <c r="G592" s="407" t="s">
        <v>4924</v>
      </c>
      <c r="H592" s="460">
        <v>1034.23587</v>
      </c>
      <c r="I592" s="460">
        <v>37.186300000000003</v>
      </c>
      <c r="J592" s="460">
        <v>0</v>
      </c>
      <c r="K592" s="460">
        <v>14312.4732</v>
      </c>
      <c r="L592" s="459" t="s">
        <v>539</v>
      </c>
      <c r="M592" s="314" t="s">
        <v>571</v>
      </c>
      <c r="N592" s="182">
        <v>873.46209999999996</v>
      </c>
      <c r="O592">
        <v>39.71</v>
      </c>
      <c r="P592" t="s">
        <v>9280</v>
      </c>
    </row>
    <row r="593" spans="1:16" ht="14.4" x14ac:dyDescent="0.3">
      <c r="A593" s="311">
        <v>167748</v>
      </c>
      <c r="B593" t="e">
        <f t="shared" si="18"/>
        <v>#N/A</v>
      </c>
      <c r="C593" s="185" t="e">
        <f t="shared" si="19"/>
        <v>#N/A</v>
      </c>
      <c r="D593" s="407" t="e">
        <v>#N/A</v>
      </c>
      <c r="E593" s="407" t="e">
        <v>#N/A</v>
      </c>
      <c r="F593" s="407" t="e">
        <v>#N/A</v>
      </c>
      <c r="G593" s="407" t="e">
        <v>#N/A</v>
      </c>
      <c r="H593" s="460" t="e">
        <v>#N/A</v>
      </c>
      <c r="I593" s="460" t="e">
        <v>#N/A</v>
      </c>
      <c r="J593" s="460" t="e">
        <v>#N/A</v>
      </c>
      <c r="K593" s="460" t="e">
        <v>#N/A</v>
      </c>
      <c r="L593" s="459" t="e">
        <v>#N/A</v>
      </c>
      <c r="M593" s="312" t="s">
        <v>571</v>
      </c>
      <c r="N593" s="182">
        <v>874</v>
      </c>
      <c r="O593" t="e">
        <v>#N/A</v>
      </c>
      <c r="P593" t="e">
        <v>#N/A</v>
      </c>
    </row>
    <row r="594" spans="1:16" ht="14.4" x14ac:dyDescent="0.3">
      <c r="A594" s="310">
        <v>238031</v>
      </c>
      <c r="B594" t="str">
        <f t="shared" si="18"/>
        <v>SEVROLL Maxim tor 4,3 m oliwka</v>
      </c>
      <c r="C594" s="185" t="e">
        <f t="shared" si="19"/>
        <v>#N/A</v>
      </c>
      <c r="D594" s="407" t="s">
        <v>3175</v>
      </c>
      <c r="E594" s="407" t="s">
        <v>4925</v>
      </c>
      <c r="F594" s="407" t="s">
        <v>4926</v>
      </c>
      <c r="G594" s="407" t="s">
        <v>4927</v>
      </c>
      <c r="H594" s="460" t="e">
        <v>#N/A</v>
      </c>
      <c r="I594" s="460" t="e">
        <v>#N/A</v>
      </c>
      <c r="J594" s="460" t="e">
        <v>#N/A</v>
      </c>
      <c r="K594" s="460" t="e">
        <v>#N/A</v>
      </c>
      <c r="L594" s="459" t="e">
        <v>#N/A</v>
      </c>
      <c r="M594" s="309" t="s">
        <v>571</v>
      </c>
      <c r="N594" s="182">
        <v>879.34180000000003</v>
      </c>
      <c r="O594" t="e">
        <v>#N/A</v>
      </c>
      <c r="P594" t="e">
        <v>#N/A</v>
      </c>
    </row>
    <row r="595" spans="1:16" ht="14.4" x14ac:dyDescent="0.3">
      <c r="A595" s="310">
        <v>179224</v>
      </c>
      <c r="B595" t="str">
        <f t="shared" si="18"/>
        <v>SEVROLL 03049 Future II rączka 3,5m srebrna</v>
      </c>
      <c r="C595" s="185">
        <f t="shared" si="19"/>
        <v>154.6728</v>
      </c>
      <c r="D595" s="407" t="s">
        <v>2905</v>
      </c>
      <c r="E595" s="407" t="s">
        <v>4928</v>
      </c>
      <c r="F595" s="407" t="s">
        <v>4929</v>
      </c>
      <c r="G595" s="407" t="s">
        <v>4930</v>
      </c>
      <c r="H595" s="460">
        <v>1169.5767499999999</v>
      </c>
      <c r="I595" s="460">
        <v>42.052520000000001</v>
      </c>
      <c r="J595" s="460">
        <v>154.6728</v>
      </c>
      <c r="K595" s="460">
        <v>16185.41373</v>
      </c>
      <c r="L595" s="459" t="s">
        <v>538</v>
      </c>
      <c r="M595" s="309" t="s">
        <v>571</v>
      </c>
      <c r="N595" s="182">
        <v>879.99509999999998</v>
      </c>
      <c r="O595">
        <v>38.588000000000001</v>
      </c>
      <c r="P595" t="s">
        <v>9281</v>
      </c>
    </row>
    <row r="596" spans="1:16" ht="14.4" x14ac:dyDescent="0.3">
      <c r="A596" s="310">
        <v>102838</v>
      </c>
      <c r="B596" t="str">
        <f t="shared" si="18"/>
        <v>SEVROLL 02298 Maxim tor górny 3,5 m, srebrny</v>
      </c>
      <c r="C596" s="185" t="e">
        <f t="shared" si="19"/>
        <v>#N/A</v>
      </c>
      <c r="D596" s="407" t="s">
        <v>2812</v>
      </c>
      <c r="E596" s="407" t="s">
        <v>4931</v>
      </c>
      <c r="F596" s="407" t="s">
        <v>4932</v>
      </c>
      <c r="G596" s="407" t="s">
        <v>4933</v>
      </c>
      <c r="H596" s="460" t="e">
        <v>#N/A</v>
      </c>
      <c r="I596" s="460" t="e">
        <v>#N/A</v>
      </c>
      <c r="J596" s="460" t="e">
        <v>#N/A</v>
      </c>
      <c r="K596" s="460" t="e">
        <v>#N/A</v>
      </c>
      <c r="L596" s="459" t="e">
        <v>#N/A</v>
      </c>
      <c r="M596" s="309" t="s">
        <v>571</v>
      </c>
      <c r="N596" s="182">
        <v>894.36770000000001</v>
      </c>
      <c r="O596">
        <v>36.520000000000003</v>
      </c>
      <c r="P596" t="s">
        <v>9282</v>
      </c>
    </row>
    <row r="597" spans="1:16" ht="14.4" x14ac:dyDescent="0.3">
      <c r="A597" s="310">
        <v>98113</v>
      </c>
      <c r="B597" t="str">
        <f t="shared" si="18"/>
        <v>SEVROLL Comfort tor górny 2,35m jasny brąz</v>
      </c>
      <c r="C597" s="185">
        <f t="shared" si="19"/>
        <v>178.52282</v>
      </c>
      <c r="D597" s="407" t="s">
        <v>2791</v>
      </c>
      <c r="E597" s="407" t="s">
        <v>4934</v>
      </c>
      <c r="F597" s="407" t="s">
        <v>4935</v>
      </c>
      <c r="G597" s="407" t="s">
        <v>4936</v>
      </c>
      <c r="H597" s="460">
        <v>1443.8772300000001</v>
      </c>
      <c r="I597" s="460">
        <v>51.915089999999999</v>
      </c>
      <c r="J597" s="460">
        <v>178.52282</v>
      </c>
      <c r="K597" s="460">
        <v>19981.374199999998</v>
      </c>
      <c r="L597" s="459" t="s">
        <v>539</v>
      </c>
      <c r="M597" s="309" t="s">
        <v>571</v>
      </c>
      <c r="N597" s="182">
        <v>904.16719999999998</v>
      </c>
      <c r="O597">
        <v>44.198</v>
      </c>
      <c r="P597" t="s">
        <v>9283</v>
      </c>
    </row>
    <row r="598" spans="1:16" ht="14.4" x14ac:dyDescent="0.3">
      <c r="A598" s="310">
        <v>223554</v>
      </c>
      <c r="B598" t="str">
        <f t="shared" si="18"/>
        <v>SEVROLL Simple tor górny 6 m oliwka</v>
      </c>
      <c r="C598" s="185" t="e">
        <f t="shared" si="19"/>
        <v>#N/A</v>
      </c>
      <c r="D598" s="407" t="s">
        <v>3072</v>
      </c>
      <c r="E598" s="407" t="s">
        <v>4937</v>
      </c>
      <c r="F598" s="407" t="s">
        <v>4938</v>
      </c>
      <c r="G598" s="407" t="s">
        <v>4939</v>
      </c>
      <c r="H598" s="460" t="e">
        <v>#N/A</v>
      </c>
      <c r="I598" s="460" t="e">
        <v>#N/A</v>
      </c>
      <c r="J598" s="460" t="e">
        <v>#N/A</v>
      </c>
      <c r="K598" s="460" t="e">
        <v>#N/A</v>
      </c>
      <c r="L598" s="459" t="e">
        <v>#N/A</v>
      </c>
      <c r="M598" s="309" t="s">
        <v>571</v>
      </c>
      <c r="N598" s="182">
        <v>940.5018</v>
      </c>
      <c r="O598">
        <v>48.026000000000003</v>
      </c>
      <c r="P598" t="s">
        <v>9284</v>
      </c>
    </row>
    <row r="599" spans="1:16" ht="14.4" x14ac:dyDescent="0.3">
      <c r="A599" s="311">
        <v>248419</v>
      </c>
      <c r="B599" t="e">
        <f t="shared" si="18"/>
        <v>#N/A</v>
      </c>
      <c r="C599" s="185" t="e">
        <f t="shared" si="19"/>
        <v>#N/A</v>
      </c>
      <c r="D599" s="407" t="e">
        <v>#N/A</v>
      </c>
      <c r="E599" s="407" t="e">
        <v>#N/A</v>
      </c>
      <c r="F599" s="407" t="e">
        <v>#N/A</v>
      </c>
      <c r="G599" s="407" t="e">
        <v>#N/A</v>
      </c>
      <c r="H599" s="460" t="e">
        <v>#N/A</v>
      </c>
      <c r="I599" s="460" t="e">
        <v>#N/A</v>
      </c>
      <c r="J599" s="460" t="e">
        <v>#N/A</v>
      </c>
      <c r="K599" s="460" t="e">
        <v>#N/A</v>
      </c>
      <c r="L599" s="459" t="e">
        <v>#N/A</v>
      </c>
      <c r="M599" s="312" t="s">
        <v>571</v>
      </c>
      <c r="N599" s="182">
        <v>945.67259999999999</v>
      </c>
      <c r="O599" t="e">
        <v>#N/A</v>
      </c>
      <c r="P599" t="e">
        <v>#N/A</v>
      </c>
    </row>
    <row r="600" spans="1:16" ht="14.4" x14ac:dyDescent="0.3">
      <c r="A600" s="311">
        <v>157354</v>
      </c>
      <c r="B600" t="e">
        <f t="shared" si="18"/>
        <v>#N/A</v>
      </c>
      <c r="C600" s="185" t="e">
        <f t="shared" si="19"/>
        <v>#N/A</v>
      </c>
      <c r="D600" s="407" t="e">
        <v>#N/A</v>
      </c>
      <c r="E600" s="407" t="e">
        <v>#N/A</v>
      </c>
      <c r="F600" s="407" t="e">
        <v>#N/A</v>
      </c>
      <c r="G600" s="407" t="e">
        <v>#N/A</v>
      </c>
      <c r="H600" s="460" t="e">
        <v>#N/A</v>
      </c>
      <c r="I600" s="460" t="e">
        <v>#N/A</v>
      </c>
      <c r="J600" s="460" t="e">
        <v>#N/A</v>
      </c>
      <c r="K600" s="460" t="e">
        <v>#N/A</v>
      </c>
      <c r="L600" s="459" t="e">
        <v>#N/A</v>
      </c>
      <c r="M600" s="312" t="s">
        <v>571</v>
      </c>
      <c r="N600" s="182">
        <v>946.95140000000004</v>
      </c>
      <c r="O600" t="e">
        <v>#N/A</v>
      </c>
      <c r="P600" t="e">
        <v>#N/A</v>
      </c>
    </row>
    <row r="601" spans="1:16" ht="14.4" x14ac:dyDescent="0.3">
      <c r="A601" s="310">
        <v>102830</v>
      </c>
      <c r="B601" t="str">
        <f t="shared" si="18"/>
        <v>SEVROLL 02811 Maxim maskownica dolna 3,5 m, 18mm  srebrna</v>
      </c>
      <c r="C601" s="185" t="e">
        <f t="shared" si="19"/>
        <v>#N/A</v>
      </c>
      <c r="D601" s="407" t="s">
        <v>2805</v>
      </c>
      <c r="E601" s="407" t="s">
        <v>4940</v>
      </c>
      <c r="F601" s="407" t="s">
        <v>4941</v>
      </c>
      <c r="G601" s="407" t="s">
        <v>4942</v>
      </c>
      <c r="H601" s="460" t="e">
        <v>#N/A</v>
      </c>
      <c r="I601" s="460" t="e">
        <v>#N/A</v>
      </c>
      <c r="J601" s="460" t="e">
        <v>#N/A</v>
      </c>
      <c r="K601" s="460" t="e">
        <v>#N/A</v>
      </c>
      <c r="L601" s="459" t="e">
        <v>#N/A</v>
      </c>
      <c r="M601" s="309" t="s">
        <v>571</v>
      </c>
      <c r="N601" s="182">
        <v>948.59159999999997</v>
      </c>
      <c r="O601" t="e">
        <v>#N/A</v>
      </c>
      <c r="P601" t="e">
        <v>#N/A</v>
      </c>
    </row>
    <row r="602" spans="1:16" ht="14.4" x14ac:dyDescent="0.3">
      <c r="A602" s="311">
        <v>248458</v>
      </c>
      <c r="B602" t="e">
        <f t="shared" si="18"/>
        <v>#N/A</v>
      </c>
      <c r="C602" s="185" t="e">
        <f t="shared" si="19"/>
        <v>#N/A</v>
      </c>
      <c r="D602" s="407" t="e">
        <v>#N/A</v>
      </c>
      <c r="E602" s="407" t="e">
        <v>#N/A</v>
      </c>
      <c r="F602" s="407" t="e">
        <v>#N/A</v>
      </c>
      <c r="G602" s="407" t="e">
        <v>#N/A</v>
      </c>
      <c r="H602" s="460" t="e">
        <v>#N/A</v>
      </c>
      <c r="I602" s="460" t="e">
        <v>#N/A</v>
      </c>
      <c r="J602" s="460" t="e">
        <v>#N/A</v>
      </c>
      <c r="K602" s="460" t="e">
        <v>#N/A</v>
      </c>
      <c r="L602" s="459" t="e">
        <v>#N/A</v>
      </c>
      <c r="M602" s="312" t="s">
        <v>571</v>
      </c>
      <c r="N602" s="182">
        <v>961.01819999999998</v>
      </c>
      <c r="O602" t="e">
        <v>#N/A</v>
      </c>
      <c r="P602" t="e">
        <v>#N/A</v>
      </c>
    </row>
    <row r="603" spans="1:16" ht="14.4" x14ac:dyDescent="0.3">
      <c r="A603" s="310">
        <v>134933</v>
      </c>
      <c r="B603" t="str">
        <f t="shared" si="18"/>
        <v>SEVROLL Gemini tor górny 6m, srebrny</v>
      </c>
      <c r="C603" s="185">
        <f t="shared" si="19"/>
        <v>0</v>
      </c>
      <c r="D603" s="407" t="s">
        <v>2843</v>
      </c>
      <c r="E603" s="407" t="s">
        <v>4943</v>
      </c>
      <c r="F603" s="407" t="s">
        <v>4944</v>
      </c>
      <c r="G603" s="407" t="s">
        <v>4945</v>
      </c>
      <c r="H603" s="460">
        <v>1387.42489</v>
      </c>
      <c r="I603" s="460">
        <v>49.88532</v>
      </c>
      <c r="J603" s="460">
        <v>0</v>
      </c>
      <c r="K603" s="460">
        <v>19200.14761</v>
      </c>
      <c r="L603" s="459" t="s">
        <v>538</v>
      </c>
      <c r="M603" s="309" t="s">
        <v>571</v>
      </c>
      <c r="N603" s="182">
        <v>962.96420000000001</v>
      </c>
      <c r="O603">
        <v>49.323999999999998</v>
      </c>
      <c r="P603" t="s">
        <v>9285</v>
      </c>
    </row>
    <row r="604" spans="1:16" ht="14.4" x14ac:dyDescent="0.3">
      <c r="A604" s="310">
        <v>349807</v>
      </c>
      <c r="B604" t="str">
        <f t="shared" si="18"/>
        <v>SEVROLL Blue tor górny 6 m, srebrny</v>
      </c>
      <c r="C604" s="185" t="e">
        <f t="shared" si="19"/>
        <v>#N/A</v>
      </c>
      <c r="D604" s="407" t="s">
        <v>3400</v>
      </c>
      <c r="E604" s="407" t="s">
        <v>4946</v>
      </c>
      <c r="F604" s="407" t="s">
        <v>4947</v>
      </c>
      <c r="G604" s="407" t="s">
        <v>4948</v>
      </c>
      <c r="H604" s="460" t="e">
        <v>#N/A</v>
      </c>
      <c r="I604" s="460" t="e">
        <v>#N/A</v>
      </c>
      <c r="J604" s="460" t="e">
        <v>#N/A</v>
      </c>
      <c r="K604" s="460" t="e">
        <v>#N/A</v>
      </c>
      <c r="L604" s="459" t="e">
        <v>#N/A</v>
      </c>
      <c r="M604" s="309" t="s">
        <v>571</v>
      </c>
      <c r="N604" s="182">
        <v>968.274</v>
      </c>
      <c r="O604">
        <v>46.618000000000002</v>
      </c>
      <c r="P604" t="s">
        <v>9286</v>
      </c>
    </row>
    <row r="605" spans="1:16" ht="14.4" x14ac:dyDescent="0.3">
      <c r="A605" s="310">
        <v>304006</v>
      </c>
      <c r="B605" t="str">
        <f t="shared" si="18"/>
        <v>SEVROLL folia ochronna 300mm/50m przeźroczysta</v>
      </c>
      <c r="C605" s="185" t="e">
        <f t="shared" si="19"/>
        <v>#N/A</v>
      </c>
      <c r="D605" s="407" t="s">
        <v>3288</v>
      </c>
      <c r="E605" s="407" t="s">
        <v>4949</v>
      </c>
      <c r="F605" s="407" t="s">
        <v>4950</v>
      </c>
      <c r="G605" s="407" t="s">
        <v>4951</v>
      </c>
      <c r="H605" s="460" t="e">
        <v>#N/A</v>
      </c>
      <c r="I605" s="460" t="e">
        <v>#N/A</v>
      </c>
      <c r="J605" s="460" t="e">
        <v>#N/A</v>
      </c>
      <c r="K605" s="460" t="e">
        <v>#N/A</v>
      </c>
      <c r="L605" s="459" t="e">
        <v>#N/A</v>
      </c>
      <c r="M605" s="309" t="s">
        <v>571</v>
      </c>
      <c r="N605" s="182">
        <v>978.64340000000004</v>
      </c>
      <c r="O605">
        <v>38.06</v>
      </c>
      <c r="P605" t="s">
        <v>9287</v>
      </c>
    </row>
    <row r="606" spans="1:16" ht="14.4" x14ac:dyDescent="0.3">
      <c r="A606" s="310">
        <v>299759</v>
      </c>
      <c r="B606" t="str">
        <f t="shared" si="18"/>
        <v>SEVROLL 04191 Idea tor górny/dolny 6m, srebrny</v>
      </c>
      <c r="C606" s="185" t="e">
        <f t="shared" si="19"/>
        <v>#N/A</v>
      </c>
      <c r="D606" s="407" t="s">
        <v>3283</v>
      </c>
      <c r="E606" s="407" t="s">
        <v>4952</v>
      </c>
      <c r="F606" s="407" t="s">
        <v>4953</v>
      </c>
      <c r="G606" s="407" t="s">
        <v>4954</v>
      </c>
      <c r="H606" s="460" t="e">
        <v>#N/A</v>
      </c>
      <c r="I606" s="460" t="e">
        <v>#N/A</v>
      </c>
      <c r="J606" s="460" t="e">
        <v>#N/A</v>
      </c>
      <c r="K606" s="460" t="e">
        <v>#N/A</v>
      </c>
      <c r="L606" s="459" t="e">
        <v>#N/A</v>
      </c>
      <c r="M606" s="309" t="s">
        <v>571</v>
      </c>
      <c r="N606" s="182">
        <v>978.64340000000004</v>
      </c>
      <c r="O606">
        <v>42.042000000000002</v>
      </c>
      <c r="P606" t="s">
        <v>9288</v>
      </c>
    </row>
    <row r="607" spans="1:16" ht="14.4" x14ac:dyDescent="0.3">
      <c r="A607" s="311">
        <v>195452</v>
      </c>
      <c r="B607" t="e">
        <f t="shared" si="18"/>
        <v>#N/A</v>
      </c>
      <c r="C607" s="185" t="e">
        <f t="shared" si="19"/>
        <v>#N/A</v>
      </c>
      <c r="D607" s="407" t="e">
        <v>#N/A</v>
      </c>
      <c r="E607" s="407" t="e">
        <v>#N/A</v>
      </c>
      <c r="F607" s="407" t="e">
        <v>#N/A</v>
      </c>
      <c r="G607" s="407" t="e">
        <v>#N/A</v>
      </c>
      <c r="H607" s="460" t="e">
        <v>#N/A</v>
      </c>
      <c r="I607" s="460" t="e">
        <v>#N/A</v>
      </c>
      <c r="J607" s="460" t="e">
        <v>#N/A</v>
      </c>
      <c r="K607" s="460" t="e">
        <v>#N/A</v>
      </c>
      <c r="L607" s="459" t="e">
        <v>#N/A</v>
      </c>
      <c r="M607" s="312" t="s">
        <v>571</v>
      </c>
      <c r="N607" s="182">
        <v>979.24109999999996</v>
      </c>
      <c r="O607" t="e">
        <v>#N/A</v>
      </c>
      <c r="P607" t="e">
        <v>#N/A</v>
      </c>
    </row>
    <row r="608" spans="1:16" ht="14.4" x14ac:dyDescent="0.3">
      <c r="A608" s="310">
        <v>100968</v>
      </c>
      <c r="B608" t="str">
        <f t="shared" si="18"/>
        <v>SEVROLL Maxim zestaw okuć dla 3 drzwi 2,5 m, srebrny</v>
      </c>
      <c r="C608" s="185" t="e">
        <f t="shared" si="19"/>
        <v>#N/A</v>
      </c>
      <c r="D608" s="407" t="s">
        <v>2794</v>
      </c>
      <c r="E608" s="407" t="s">
        <v>4955</v>
      </c>
      <c r="F608" s="407" t="s">
        <v>4956</v>
      </c>
      <c r="G608" s="407" t="s">
        <v>4957</v>
      </c>
      <c r="H608" s="460" t="e">
        <v>#N/A</v>
      </c>
      <c r="I608" s="460" t="e">
        <v>#N/A</v>
      </c>
      <c r="J608" s="460" t="e">
        <v>#N/A</v>
      </c>
      <c r="K608" s="460" t="e">
        <v>#N/A</v>
      </c>
      <c r="L608" s="459" t="e">
        <v>#N/A</v>
      </c>
      <c r="M608" s="309" t="s">
        <v>571</v>
      </c>
      <c r="N608" s="182">
        <v>999.54899999999998</v>
      </c>
      <c r="O608" t="e">
        <v>#N/A</v>
      </c>
      <c r="P608" t="e">
        <v>#N/A</v>
      </c>
    </row>
    <row r="609" spans="1:16" ht="14.4" x14ac:dyDescent="0.3">
      <c r="A609" s="313">
        <v>223514</v>
      </c>
      <c r="B609" t="str">
        <f t="shared" si="18"/>
        <v>SEVROLL Herkules zestaw okuć 60kg 1,2m</v>
      </c>
      <c r="C609" s="185" t="e">
        <f t="shared" si="19"/>
        <v>#N/A</v>
      </c>
      <c r="D609" s="407" t="s">
        <v>3055</v>
      </c>
      <c r="E609" s="407" t="s">
        <v>4958</v>
      </c>
      <c r="F609" s="407" t="s">
        <v>1152</v>
      </c>
      <c r="G609" s="407" t="s">
        <v>4959</v>
      </c>
      <c r="H609" s="460" t="e">
        <v>#N/A</v>
      </c>
      <c r="I609" s="460" t="e">
        <v>#N/A</v>
      </c>
      <c r="J609" s="460" t="e">
        <v>#N/A</v>
      </c>
      <c r="K609" s="460" t="e">
        <v>#N/A</v>
      </c>
      <c r="L609" s="459" t="e">
        <v>#N/A</v>
      </c>
      <c r="M609" s="314" t="s">
        <v>572</v>
      </c>
      <c r="N609" s="182">
        <v>1001.49222</v>
      </c>
      <c r="O609" t="e">
        <v>#N/A</v>
      </c>
      <c r="P609" t="e">
        <v>#N/A</v>
      </c>
    </row>
    <row r="610" spans="1:16" ht="14.4" x14ac:dyDescent="0.3">
      <c r="A610" s="310">
        <v>349806</v>
      </c>
      <c r="B610" t="str">
        <f t="shared" si="18"/>
        <v>SEVROLL Blue tor górny 6 m, jasny brąz</v>
      </c>
      <c r="C610" s="185">
        <f t="shared" si="19"/>
        <v>0</v>
      </c>
      <c r="D610" s="407" t="s">
        <v>3399</v>
      </c>
      <c r="E610" s="407" t="s">
        <v>4960</v>
      </c>
      <c r="F610" s="407" t="s">
        <v>4961</v>
      </c>
      <c r="G610" s="407" t="s">
        <v>4962</v>
      </c>
      <c r="H610" s="460">
        <v>1557.16462</v>
      </c>
      <c r="I610" s="460">
        <v>56.599159999999998</v>
      </c>
      <c r="J610" s="460">
        <v>0</v>
      </c>
      <c r="K610" s="460">
        <v>22125.917969999999</v>
      </c>
      <c r="L610" s="459" t="s">
        <v>538</v>
      </c>
      <c r="M610" s="309" t="s">
        <v>571</v>
      </c>
      <c r="N610" s="182">
        <v>1018.5642</v>
      </c>
      <c r="O610">
        <v>49.698</v>
      </c>
      <c r="P610" t="s">
        <v>9289</v>
      </c>
    </row>
    <row r="611" spans="1:16" ht="14.4" x14ac:dyDescent="0.3">
      <c r="A611" s="310">
        <v>318663</v>
      </c>
      <c r="B611" t="str">
        <f t="shared" si="18"/>
        <v>SEVROLL tłumienie Central 10/18mm obustronne 25kg</v>
      </c>
      <c r="C611" s="185">
        <f t="shared" si="19"/>
        <v>206.958</v>
      </c>
      <c r="D611" s="407" t="s">
        <v>3338</v>
      </c>
      <c r="E611" s="407" t="s">
        <v>4963</v>
      </c>
      <c r="F611" s="407" t="s">
        <v>4964</v>
      </c>
      <c r="G611" s="407" t="s">
        <v>4965</v>
      </c>
      <c r="H611" s="460">
        <v>1450.76324</v>
      </c>
      <c r="I611" s="460">
        <v>49.156689999999998</v>
      </c>
      <c r="J611" s="460">
        <v>206.958</v>
      </c>
      <c r="K611" s="460">
        <v>19364.876939999998</v>
      </c>
      <c r="L611" s="459" t="s">
        <v>538</v>
      </c>
      <c r="M611" s="309" t="s">
        <v>571</v>
      </c>
      <c r="N611" s="182">
        <v>1022.4145</v>
      </c>
      <c r="O611">
        <v>43.735999999999997</v>
      </c>
      <c r="P611" t="s">
        <v>9290</v>
      </c>
    </row>
    <row r="612" spans="1:16" ht="14.4" x14ac:dyDescent="0.3">
      <c r="A612" s="310">
        <v>283955</v>
      </c>
      <c r="B612" t="str">
        <f t="shared" si="18"/>
        <v>SEVROLL tłumienie Central 10/18mm obustronne 25-40kg</v>
      </c>
      <c r="C612" s="185">
        <f t="shared" si="19"/>
        <v>206.958</v>
      </c>
      <c r="D612" s="407" t="s">
        <v>3246</v>
      </c>
      <c r="E612" s="407" t="s">
        <v>4966</v>
      </c>
      <c r="F612" s="407" t="s">
        <v>4967</v>
      </c>
      <c r="G612" s="407" t="s">
        <v>4968</v>
      </c>
      <c r="H612" s="460">
        <v>1450.76324</v>
      </c>
      <c r="I612" s="460">
        <v>49.156689999999998</v>
      </c>
      <c r="J612" s="460">
        <v>206.958</v>
      </c>
      <c r="K612" s="460">
        <v>19364.876939999998</v>
      </c>
      <c r="L612" s="459" t="s">
        <v>538</v>
      </c>
      <c r="M612" s="309" t="s">
        <v>571</v>
      </c>
      <c r="N612" s="182">
        <v>1022.4145</v>
      </c>
      <c r="O612">
        <v>43.735999999999997</v>
      </c>
      <c r="P612" t="s">
        <v>9291</v>
      </c>
    </row>
    <row r="613" spans="1:16" ht="14.4" x14ac:dyDescent="0.3">
      <c r="A613" s="310">
        <v>284973</v>
      </c>
      <c r="B613" t="str">
        <f t="shared" si="18"/>
        <v>SEVROLL Maxim tor górny 3,5m jasny brąz</v>
      </c>
      <c r="C613" s="185" t="e">
        <f t="shared" si="19"/>
        <v>#N/A</v>
      </c>
      <c r="D613" s="407" t="s">
        <v>3267</v>
      </c>
      <c r="E613" s="407" t="s">
        <v>4969</v>
      </c>
      <c r="F613" s="407" t="s">
        <v>1132</v>
      </c>
      <c r="G613" s="407" t="s">
        <v>4970</v>
      </c>
      <c r="H613" s="460" t="e">
        <v>#N/A</v>
      </c>
      <c r="I613" s="460" t="e">
        <v>#N/A</v>
      </c>
      <c r="J613" s="460" t="e">
        <v>#N/A</v>
      </c>
      <c r="K613" s="460" t="e">
        <v>#N/A</v>
      </c>
      <c r="L613" s="459" t="e">
        <v>#N/A</v>
      </c>
      <c r="M613" s="309" t="s">
        <v>571</v>
      </c>
      <c r="N613" s="182">
        <v>1028.9475</v>
      </c>
      <c r="O613" t="e">
        <v>#N/A</v>
      </c>
      <c r="P613" t="e">
        <v>#N/A</v>
      </c>
    </row>
    <row r="614" spans="1:16" ht="14.4" x14ac:dyDescent="0.3">
      <c r="A614" s="310">
        <v>163110</v>
      </c>
      <c r="B614" t="str">
        <f t="shared" si="18"/>
        <v>SEVROLL Doubler II tor dolny 6m srebrna</v>
      </c>
      <c r="C614" s="185">
        <f t="shared" si="19"/>
        <v>0</v>
      </c>
      <c r="D614" s="407" t="s">
        <v>2886</v>
      </c>
      <c r="E614" s="407" t="s">
        <v>4971</v>
      </c>
      <c r="F614" s="407" t="s">
        <v>4972</v>
      </c>
      <c r="G614" s="407" t="s">
        <v>4973</v>
      </c>
      <c r="H614" s="460">
        <v>1421.44102</v>
      </c>
      <c r="I614" s="460">
        <v>51.10839</v>
      </c>
      <c r="J614" s="460">
        <v>0</v>
      </c>
      <c r="K614" s="460">
        <v>19670.886839999999</v>
      </c>
      <c r="L614" s="459" t="s">
        <v>539</v>
      </c>
      <c r="M614" s="309" t="s">
        <v>571</v>
      </c>
      <c r="N614" s="182">
        <v>1033.5206000000001</v>
      </c>
      <c r="O614">
        <v>50.533999999999999</v>
      </c>
      <c r="P614" t="s">
        <v>9292</v>
      </c>
    </row>
    <row r="615" spans="1:16" ht="14.4" x14ac:dyDescent="0.3">
      <c r="A615" s="310">
        <v>232989</v>
      </c>
      <c r="B615" t="str">
        <f t="shared" si="18"/>
        <v>SEVROLL Optima tłumienie komplet L+P</v>
      </c>
      <c r="C615" s="185">
        <f t="shared" si="19"/>
        <v>198.7062</v>
      </c>
      <c r="D615" s="407" t="s">
        <v>3164</v>
      </c>
      <c r="E615" s="407" t="s">
        <v>4974</v>
      </c>
      <c r="F615" s="407" t="s">
        <v>1119</v>
      </c>
      <c r="G615" s="407" t="s">
        <v>4975</v>
      </c>
      <c r="H615" s="460">
        <v>1655.0528400000001</v>
      </c>
      <c r="I615" s="460">
        <v>56.078699999999998</v>
      </c>
      <c r="J615" s="460">
        <v>198.7062</v>
      </c>
      <c r="K615" s="460">
        <v>22091.74668</v>
      </c>
      <c r="L615" s="459" t="s">
        <v>539</v>
      </c>
      <c r="M615" s="309" t="s">
        <v>574</v>
      </c>
      <c r="N615" s="182">
        <v>1055.0795000000001</v>
      </c>
      <c r="O615">
        <v>47.41</v>
      </c>
      <c r="P615" t="s">
        <v>9293</v>
      </c>
    </row>
    <row r="616" spans="1:16" ht="14.4" x14ac:dyDescent="0.3">
      <c r="A616" s="313">
        <v>223511</v>
      </c>
      <c r="B616" t="str">
        <f t="shared" si="18"/>
        <v>SEVROLL Herkules 2 tor górny 4 m alu</v>
      </c>
      <c r="C616" s="185" t="e">
        <f t="shared" si="19"/>
        <v>#N/A</v>
      </c>
      <c r="D616" s="407" t="s">
        <v>3053</v>
      </c>
      <c r="E616" s="407" t="s">
        <v>4976</v>
      </c>
      <c r="F616" s="407" t="s">
        <v>4977</v>
      </c>
      <c r="G616" s="407" t="s">
        <v>4978</v>
      </c>
      <c r="H616" s="460" t="e">
        <v>#N/A</v>
      </c>
      <c r="I616" s="460" t="e">
        <v>#N/A</v>
      </c>
      <c r="J616" s="460" t="e">
        <v>#N/A</v>
      </c>
      <c r="K616" s="460" t="e">
        <v>#N/A</v>
      </c>
      <c r="L616" s="459" t="e">
        <v>#N/A</v>
      </c>
      <c r="M616" s="314" t="s">
        <v>571</v>
      </c>
      <c r="N616" s="182">
        <v>1062.7050400000001</v>
      </c>
      <c r="O616" t="e">
        <v>#N/A</v>
      </c>
      <c r="P616" t="e">
        <v>#N/A</v>
      </c>
    </row>
    <row r="617" spans="1:16" ht="14.4" x14ac:dyDescent="0.3">
      <c r="A617" s="310">
        <v>180419</v>
      </c>
      <c r="B617" t="str">
        <f t="shared" si="18"/>
        <v>SEVROLL Maxim tor 6m srebrny</v>
      </c>
      <c r="C617" s="185" t="e">
        <f t="shared" si="19"/>
        <v>#N/A</v>
      </c>
      <c r="D617" s="407" t="s">
        <v>2920</v>
      </c>
      <c r="E617" s="407" t="s">
        <v>4979</v>
      </c>
      <c r="F617" s="407" t="s">
        <v>4980</v>
      </c>
      <c r="G617" s="407" t="s">
        <v>4981</v>
      </c>
      <c r="H617" s="460" t="e">
        <v>#N/A</v>
      </c>
      <c r="I617" s="460" t="e">
        <v>#N/A</v>
      </c>
      <c r="J617" s="460" t="e">
        <v>#N/A</v>
      </c>
      <c r="K617" s="460" t="e">
        <v>#N/A</v>
      </c>
      <c r="L617" s="459" t="e">
        <v>#N/A</v>
      </c>
      <c r="M617" s="309" t="s">
        <v>571</v>
      </c>
      <c r="N617" s="182">
        <v>1068.1455000000001</v>
      </c>
      <c r="O617" t="e">
        <v>#N/A</v>
      </c>
      <c r="P617" t="e">
        <v>#N/A</v>
      </c>
    </row>
    <row r="618" spans="1:16" ht="14.4" x14ac:dyDescent="0.3">
      <c r="A618" s="311">
        <v>248829</v>
      </c>
      <c r="B618" t="e">
        <f t="shared" si="18"/>
        <v>#N/A</v>
      </c>
      <c r="C618" s="185" t="e">
        <f t="shared" si="19"/>
        <v>#N/A</v>
      </c>
      <c r="D618" s="407" t="e">
        <v>#N/A</v>
      </c>
      <c r="E618" s="407" t="e">
        <v>#N/A</v>
      </c>
      <c r="F618" s="407" t="e">
        <v>#N/A</v>
      </c>
      <c r="G618" s="407" t="e">
        <v>#N/A</v>
      </c>
      <c r="H618" s="460" t="e">
        <v>#N/A</v>
      </c>
      <c r="I618" s="460" t="e">
        <v>#N/A</v>
      </c>
      <c r="J618" s="460" t="e">
        <v>#N/A</v>
      </c>
      <c r="K618" s="460" t="e">
        <v>#N/A</v>
      </c>
      <c r="L618" s="459" t="e">
        <v>#N/A</v>
      </c>
      <c r="M618" s="312" t="s">
        <v>571</v>
      </c>
      <c r="N618" s="182">
        <v>1077.3889999999999</v>
      </c>
      <c r="O618" t="e">
        <v>#N/A</v>
      </c>
      <c r="P618" t="e">
        <v>#N/A</v>
      </c>
    </row>
    <row r="619" spans="1:16" ht="14.4" x14ac:dyDescent="0.3">
      <c r="A619" s="313">
        <v>223516</v>
      </c>
      <c r="B619" t="str">
        <f t="shared" si="18"/>
        <v>SEVROLL Herkules zestaw okuć 60kg 1,5m</v>
      </c>
      <c r="C619" s="185" t="e">
        <f t="shared" si="19"/>
        <v>#N/A</v>
      </c>
      <c r="D619" s="407" t="s">
        <v>3057</v>
      </c>
      <c r="E619" s="407" t="s">
        <v>4982</v>
      </c>
      <c r="F619" s="407" t="s">
        <v>1151</v>
      </c>
      <c r="G619" s="407" t="s">
        <v>4983</v>
      </c>
      <c r="H619" s="460" t="e">
        <v>#N/A</v>
      </c>
      <c r="I619" s="460" t="e">
        <v>#N/A</v>
      </c>
      <c r="J619" s="460" t="e">
        <v>#N/A</v>
      </c>
      <c r="K619" s="460" t="e">
        <v>#N/A</v>
      </c>
      <c r="L619" s="459" t="e">
        <v>#N/A</v>
      </c>
      <c r="M619" s="314" t="s">
        <v>572</v>
      </c>
      <c r="N619" s="182">
        <v>1086.68532</v>
      </c>
      <c r="O619" t="e">
        <v>#N/A</v>
      </c>
      <c r="P619" t="e">
        <v>#N/A</v>
      </c>
    </row>
    <row r="620" spans="1:16" ht="14.4" x14ac:dyDescent="0.3">
      <c r="A620" s="310">
        <v>284971</v>
      </c>
      <c r="B620" t="str">
        <f t="shared" si="18"/>
        <v>SEVROLL Maxim maskownica dolna 3,5m 18mm, jasny brąz</v>
      </c>
      <c r="C620" s="185" t="e">
        <f t="shared" si="19"/>
        <v>#N/A</v>
      </c>
      <c r="D620" s="407" t="s">
        <v>3265</v>
      </c>
      <c r="E620" s="407" t="s">
        <v>4984</v>
      </c>
      <c r="F620" s="407" t="s">
        <v>4985</v>
      </c>
      <c r="G620" s="407" t="s">
        <v>4986</v>
      </c>
      <c r="H620" s="460" t="e">
        <v>#N/A</v>
      </c>
      <c r="I620" s="460" t="e">
        <v>#N/A</v>
      </c>
      <c r="J620" s="460" t="e">
        <v>#N/A</v>
      </c>
      <c r="K620" s="460" t="e">
        <v>#N/A</v>
      </c>
      <c r="L620" s="459" t="e">
        <v>#N/A</v>
      </c>
      <c r="M620" s="309" t="s">
        <v>571</v>
      </c>
      <c r="N620" s="182">
        <v>1091.011</v>
      </c>
      <c r="O620" t="e">
        <v>#N/A</v>
      </c>
      <c r="P620" t="e">
        <v>#N/A</v>
      </c>
    </row>
    <row r="621" spans="1:16" ht="14.4" x14ac:dyDescent="0.3">
      <c r="A621" s="310">
        <v>102839</v>
      </c>
      <c r="B621" t="str">
        <f t="shared" si="18"/>
        <v>SEVROLL 02306 Maxim tor górny 4,3 m, srebrny</v>
      </c>
      <c r="C621" s="185" t="e">
        <f t="shared" si="19"/>
        <v>#N/A</v>
      </c>
      <c r="D621" s="407" t="s">
        <v>2813</v>
      </c>
      <c r="E621" s="407" t="s">
        <v>4987</v>
      </c>
      <c r="F621" s="407" t="s">
        <v>4988</v>
      </c>
      <c r="G621" s="407" t="s">
        <v>4989</v>
      </c>
      <c r="H621" s="460" t="e">
        <v>#N/A</v>
      </c>
      <c r="I621" s="460" t="e">
        <v>#N/A</v>
      </c>
      <c r="J621" s="460" t="e">
        <v>#N/A</v>
      </c>
      <c r="K621" s="460" t="e">
        <v>#N/A</v>
      </c>
      <c r="L621" s="459" t="e">
        <v>#N/A</v>
      </c>
      <c r="M621" s="309" t="s">
        <v>571</v>
      </c>
      <c r="N621" s="182">
        <v>1100.1572000000001</v>
      </c>
      <c r="O621">
        <v>44.902000000000001</v>
      </c>
      <c r="P621" t="s">
        <v>9294</v>
      </c>
    </row>
    <row r="622" spans="1:16" ht="14.4" x14ac:dyDescent="0.3">
      <c r="A622" s="310">
        <v>227324</v>
      </c>
      <c r="B622" t="str">
        <f t="shared" si="18"/>
        <v>SEVROLL Comfort tor górny 3m srebrny</v>
      </c>
      <c r="C622" s="185">
        <f t="shared" si="19"/>
        <v>191.09700000000001</v>
      </c>
      <c r="D622" s="407" t="s">
        <v>3144</v>
      </c>
      <c r="E622" s="407" t="s">
        <v>4990</v>
      </c>
      <c r="F622" s="407" t="s">
        <v>1259</v>
      </c>
      <c r="G622" s="407" t="s">
        <v>4991</v>
      </c>
      <c r="H622" s="460">
        <v>1474.99839</v>
      </c>
      <c r="I622" s="460">
        <v>53.034059999999997</v>
      </c>
      <c r="J622" s="460">
        <v>191.09700000000001</v>
      </c>
      <c r="K622" s="460">
        <v>20412.050360000001</v>
      </c>
      <c r="L622" s="459" t="s">
        <v>539</v>
      </c>
      <c r="M622" s="309" t="s">
        <v>571</v>
      </c>
      <c r="N622" s="182">
        <v>1102.1170999999999</v>
      </c>
      <c r="O622">
        <v>51.304000000000002</v>
      </c>
      <c r="P622" t="s">
        <v>9295</v>
      </c>
    </row>
    <row r="623" spans="1:16" ht="14.4" x14ac:dyDescent="0.3">
      <c r="A623" s="311">
        <v>195455</v>
      </c>
      <c r="B623" t="e">
        <f t="shared" si="18"/>
        <v>#N/A</v>
      </c>
      <c r="C623" s="185" t="e">
        <f t="shared" si="19"/>
        <v>#N/A</v>
      </c>
      <c r="D623" s="407" t="e">
        <v>#N/A</v>
      </c>
      <c r="E623" s="407" t="e">
        <v>#N/A</v>
      </c>
      <c r="F623" s="407" t="e">
        <v>#N/A</v>
      </c>
      <c r="G623" s="407" t="e">
        <v>#N/A</v>
      </c>
      <c r="H623" s="460" t="e">
        <v>#N/A</v>
      </c>
      <c r="I623" s="460" t="e">
        <v>#N/A</v>
      </c>
      <c r="J623" s="460" t="e">
        <v>#N/A</v>
      </c>
      <c r="K623" s="460" t="e">
        <v>#N/A</v>
      </c>
      <c r="L623" s="459" t="e">
        <v>#N/A</v>
      </c>
      <c r="M623" s="312" t="s">
        <v>571</v>
      </c>
      <c r="N623" s="182">
        <v>1110.6378</v>
      </c>
      <c r="O623" t="e">
        <v>#N/A</v>
      </c>
      <c r="P623" t="e">
        <v>#N/A</v>
      </c>
    </row>
    <row r="624" spans="1:16" ht="14.4" x14ac:dyDescent="0.3">
      <c r="A624" s="310">
        <v>134935</v>
      </c>
      <c r="B624" t="str">
        <f t="shared" si="18"/>
        <v>SEVROLL Gemini tor górny 6m złoty</v>
      </c>
      <c r="C624" s="185">
        <f t="shared" si="19"/>
        <v>0</v>
      </c>
      <c r="D624" s="407" t="s">
        <v>2845</v>
      </c>
      <c r="E624" s="407" t="s">
        <v>4992</v>
      </c>
      <c r="F624" s="407" t="s">
        <v>4993</v>
      </c>
      <c r="G624" s="407" t="s">
        <v>4994</v>
      </c>
      <c r="H624" s="460">
        <v>1736.99296</v>
      </c>
      <c r="I624" s="460">
        <v>62.454239999999999</v>
      </c>
      <c r="J624" s="460">
        <v>0</v>
      </c>
      <c r="K624" s="460">
        <v>24037.743399999999</v>
      </c>
      <c r="L624" s="459" t="s">
        <v>539</v>
      </c>
      <c r="M624" s="309" t="s">
        <v>571</v>
      </c>
      <c r="N624" s="182">
        <v>1115.8363999999999</v>
      </c>
      <c r="O624">
        <v>60.258000000000003</v>
      </c>
      <c r="P624" t="s">
        <v>9296</v>
      </c>
    </row>
    <row r="625" spans="1:16" ht="14.4" x14ac:dyDescent="0.3">
      <c r="A625" s="310">
        <v>163115</v>
      </c>
      <c r="B625" t="str">
        <f t="shared" si="18"/>
        <v>SEVROLL Doubler II tor dolny 6m jasny brąz</v>
      </c>
      <c r="C625" s="185">
        <f t="shared" si="19"/>
        <v>0</v>
      </c>
      <c r="D625" s="407" t="s">
        <v>2891</v>
      </c>
      <c r="E625" s="407" t="s">
        <v>4995</v>
      </c>
      <c r="F625" s="407" t="s">
        <v>4996</v>
      </c>
      <c r="G625" s="407" t="s">
        <v>4997</v>
      </c>
      <c r="H625" s="460">
        <v>1776.8013000000001</v>
      </c>
      <c r="I625" s="460">
        <v>63.885480000000001</v>
      </c>
      <c r="J625" s="460">
        <v>0</v>
      </c>
      <c r="K625" s="460">
        <v>24588.608349999999</v>
      </c>
      <c r="L625" s="459" t="s">
        <v>539</v>
      </c>
      <c r="M625" s="309" t="s">
        <v>571</v>
      </c>
      <c r="N625" s="182">
        <v>1137.3952999999999</v>
      </c>
      <c r="O625">
        <v>55.594000000000001</v>
      </c>
      <c r="P625" t="s">
        <v>9297</v>
      </c>
    </row>
    <row r="626" spans="1:16" ht="14.4" x14ac:dyDescent="0.3">
      <c r="A626" s="313">
        <v>223515</v>
      </c>
      <c r="B626" t="str">
        <f t="shared" si="18"/>
        <v>SEVROLL Herkules zestaw okuć 120kg 1,2m</v>
      </c>
      <c r="C626" s="185" t="e">
        <f t="shared" si="19"/>
        <v>#N/A</v>
      </c>
      <c r="D626" s="407" t="s">
        <v>3056</v>
      </c>
      <c r="E626" s="407" t="s">
        <v>4998</v>
      </c>
      <c r="F626" s="407" t="s">
        <v>1159</v>
      </c>
      <c r="G626" s="407" t="s">
        <v>4999</v>
      </c>
      <c r="H626" s="460" t="e">
        <v>#N/A</v>
      </c>
      <c r="I626" s="460" t="e">
        <v>#N/A</v>
      </c>
      <c r="J626" s="460" t="e">
        <v>#N/A</v>
      </c>
      <c r="K626" s="460" t="e">
        <v>#N/A</v>
      </c>
      <c r="L626" s="459" t="e">
        <v>#N/A</v>
      </c>
      <c r="M626" s="314" t="s">
        <v>572</v>
      </c>
      <c r="N626" s="182">
        <v>1148.5291999999999</v>
      </c>
      <c r="O626" t="e">
        <v>#N/A</v>
      </c>
      <c r="P626" t="e">
        <v>#N/A</v>
      </c>
    </row>
    <row r="627" spans="1:16" ht="14.4" x14ac:dyDescent="0.3">
      <c r="A627" s="310">
        <v>279077</v>
      </c>
      <c r="B627" t="str">
        <f t="shared" si="18"/>
        <v>SEVROLL Single tor górny 6m srebrny</v>
      </c>
      <c r="C627" s="185">
        <f t="shared" si="19"/>
        <v>0</v>
      </c>
      <c r="D627" s="407" t="s">
        <v>3228</v>
      </c>
      <c r="E627" s="407" t="s">
        <v>5000</v>
      </c>
      <c r="F627" s="407" t="s">
        <v>5001</v>
      </c>
      <c r="G627" s="407" t="s">
        <v>5002</v>
      </c>
      <c r="H627" s="460">
        <v>1467.76091</v>
      </c>
      <c r="I627" s="460">
        <v>52.773829999999997</v>
      </c>
      <c r="J627" s="460">
        <v>0</v>
      </c>
      <c r="K627" s="460">
        <v>20311.893090000001</v>
      </c>
      <c r="L627" s="459" t="s">
        <v>539</v>
      </c>
      <c r="M627" s="309" t="s">
        <v>571</v>
      </c>
      <c r="N627" s="182">
        <v>1153.0744999999999</v>
      </c>
      <c r="O627">
        <v>49.433999999999997</v>
      </c>
      <c r="P627" t="s">
        <v>9298</v>
      </c>
    </row>
    <row r="628" spans="1:16" ht="14.4" x14ac:dyDescent="0.3">
      <c r="A628" s="310">
        <v>98115</v>
      </c>
      <c r="B628" t="str">
        <f t="shared" si="18"/>
        <v>SEVROLL Comfort tor górny 3m jasny brąz</v>
      </c>
      <c r="C628" s="185">
        <f t="shared" si="19"/>
        <v>227.9186</v>
      </c>
      <c r="D628" s="407" t="s">
        <v>2792</v>
      </c>
      <c r="E628" s="407" t="s">
        <v>5003</v>
      </c>
      <c r="F628" s="407" t="s">
        <v>5004</v>
      </c>
      <c r="G628" s="407" t="s">
        <v>5005</v>
      </c>
      <c r="H628" s="460">
        <v>1843.3861099999999</v>
      </c>
      <c r="I628" s="460">
        <v>66.279560000000004</v>
      </c>
      <c r="J628" s="460">
        <v>227.9186</v>
      </c>
      <c r="K628" s="460">
        <v>25510.055260000001</v>
      </c>
      <c r="L628" s="459" t="s">
        <v>539</v>
      </c>
      <c r="M628" s="309" t="s">
        <v>571</v>
      </c>
      <c r="N628" s="182">
        <v>1153.7277999999999</v>
      </c>
      <c r="O628">
        <v>56.43</v>
      </c>
      <c r="P628" t="s">
        <v>9299</v>
      </c>
    </row>
    <row r="629" spans="1:16" ht="14.4" x14ac:dyDescent="0.3">
      <c r="A629" s="313">
        <v>346130</v>
      </c>
      <c r="B629" t="str">
        <f t="shared" si="18"/>
        <v>SEVROLL Herkules plus tor górny 6m alu</v>
      </c>
      <c r="C629" s="185" t="e">
        <f t="shared" si="19"/>
        <v>#N/A</v>
      </c>
      <c r="D629" s="407" t="s">
        <v>3378</v>
      </c>
      <c r="E629" s="407" t="s">
        <v>5006</v>
      </c>
      <c r="F629" s="407" t="s">
        <v>5007</v>
      </c>
      <c r="G629" s="407" t="s">
        <v>5008</v>
      </c>
      <c r="H629" s="460" t="e">
        <v>#N/A</v>
      </c>
      <c r="I629" s="460" t="e">
        <v>#N/A</v>
      </c>
      <c r="J629" s="460" t="e">
        <v>#N/A</v>
      </c>
      <c r="K629" s="460" t="e">
        <v>#N/A</v>
      </c>
      <c r="L629" s="459" t="e">
        <v>#N/A</v>
      </c>
      <c r="M629" s="314" t="s">
        <v>571</v>
      </c>
      <c r="N629" s="182">
        <v>1162.9907599999999</v>
      </c>
      <c r="O629" t="e">
        <v>#N/A</v>
      </c>
      <c r="P629" t="e">
        <v>#N/A</v>
      </c>
    </row>
    <row r="630" spans="1:16" ht="14.4" x14ac:dyDescent="0.3">
      <c r="A630" s="310">
        <v>102831</v>
      </c>
      <c r="B630" t="str">
        <f t="shared" si="18"/>
        <v>SEVROLL 02801 Maxim maskownica dolna 4,3 m, 18mm  srebrna</v>
      </c>
      <c r="C630" s="185" t="e">
        <f t="shared" si="19"/>
        <v>#N/A</v>
      </c>
      <c r="D630" s="407" t="s">
        <v>2806</v>
      </c>
      <c r="E630" s="407" t="s">
        <v>5009</v>
      </c>
      <c r="F630" s="407" t="s">
        <v>5010</v>
      </c>
      <c r="G630" s="407" t="s">
        <v>5011</v>
      </c>
      <c r="H630" s="460" t="e">
        <v>#N/A</v>
      </c>
      <c r="I630" s="460" t="e">
        <v>#N/A</v>
      </c>
      <c r="J630" s="460" t="e">
        <v>#N/A</v>
      </c>
      <c r="K630" s="460" t="e">
        <v>#N/A</v>
      </c>
      <c r="L630" s="459" t="e">
        <v>#N/A</v>
      </c>
      <c r="M630" s="309" t="s">
        <v>571</v>
      </c>
      <c r="N630" s="182">
        <v>1166.1405</v>
      </c>
      <c r="O630" t="e">
        <v>#N/A</v>
      </c>
      <c r="P630" t="e">
        <v>#N/A</v>
      </c>
    </row>
    <row r="631" spans="1:16" ht="14.4" x14ac:dyDescent="0.3">
      <c r="A631" s="310">
        <v>134934</v>
      </c>
      <c r="B631" t="str">
        <f t="shared" si="18"/>
        <v>SEVROLL Gemini tor górny 6m, jasny brąz</v>
      </c>
      <c r="C631" s="185">
        <f t="shared" si="19"/>
        <v>0</v>
      </c>
      <c r="D631" s="407" t="s">
        <v>2844</v>
      </c>
      <c r="E631" s="407" t="s">
        <v>5012</v>
      </c>
      <c r="F631" s="407" t="s">
        <v>1247</v>
      </c>
      <c r="G631" s="407" t="s">
        <v>5013</v>
      </c>
      <c r="H631" s="460">
        <v>1736.99515</v>
      </c>
      <c r="I631" s="460">
        <v>62.454239999999999</v>
      </c>
      <c r="J631" s="460">
        <v>0</v>
      </c>
      <c r="K631" s="460">
        <v>24037.743399999999</v>
      </c>
      <c r="L631" s="459" t="s">
        <v>538</v>
      </c>
      <c r="M631" s="309" t="s">
        <v>571</v>
      </c>
      <c r="N631" s="182">
        <v>1171.3669</v>
      </c>
      <c r="O631">
        <v>58.454000000000001</v>
      </c>
      <c r="P631" t="s">
        <v>9300</v>
      </c>
    </row>
    <row r="632" spans="1:16" ht="14.4" x14ac:dyDescent="0.3">
      <c r="A632" s="310">
        <v>288822</v>
      </c>
      <c r="B632" t="str">
        <f t="shared" si="18"/>
        <v>SEVROLL tłumienie Top SV60 - 2szt</v>
      </c>
      <c r="C632" s="185">
        <f t="shared" si="19"/>
        <v>170.82550000000001</v>
      </c>
      <c r="D632" s="407" t="s">
        <v>3275</v>
      </c>
      <c r="E632" s="407" t="s">
        <v>5014</v>
      </c>
      <c r="F632" s="407" t="s">
        <v>1094</v>
      </c>
      <c r="G632" s="407" t="s">
        <v>5015</v>
      </c>
      <c r="H632" s="460">
        <v>1506.0596700000001</v>
      </c>
      <c r="I632" s="460">
        <v>51.030320000000003</v>
      </c>
      <c r="J632" s="460">
        <v>170.82550000000001</v>
      </c>
      <c r="K632" s="460">
        <v>20102.976739999998</v>
      </c>
      <c r="L632" s="459" t="s">
        <v>539</v>
      </c>
      <c r="M632" s="309" t="s">
        <v>574</v>
      </c>
      <c r="N632" s="182">
        <v>1201.4186999999999</v>
      </c>
      <c r="O632">
        <v>45.408000000000001</v>
      </c>
      <c r="P632" t="s">
        <v>9301</v>
      </c>
    </row>
    <row r="633" spans="1:16" ht="14.4" x14ac:dyDescent="0.3">
      <c r="A633" s="310">
        <v>299760</v>
      </c>
      <c r="B633" t="str">
        <f t="shared" si="18"/>
        <v>SEVROLL Idea zestaw okuć dla 2 drzwi 50kg</v>
      </c>
      <c r="C633" s="185" t="e">
        <f t="shared" si="19"/>
        <v>#N/A</v>
      </c>
      <c r="D633" s="407" t="s">
        <v>3284</v>
      </c>
      <c r="E633" s="407" t="s">
        <v>5016</v>
      </c>
      <c r="F633" s="407" t="s">
        <v>5017</v>
      </c>
      <c r="G633" s="407" t="s">
        <v>5018</v>
      </c>
      <c r="H633" s="460" t="e">
        <v>#N/A</v>
      </c>
      <c r="I633" s="460" t="e">
        <v>#N/A</v>
      </c>
      <c r="J633" s="460" t="e">
        <v>#N/A</v>
      </c>
      <c r="K633" s="460" t="e">
        <v>#N/A</v>
      </c>
      <c r="L633" s="459" t="e">
        <v>#N/A</v>
      </c>
      <c r="M633" s="309" t="s">
        <v>572</v>
      </c>
      <c r="N633" s="182">
        <v>1202.7253000000001</v>
      </c>
      <c r="O633">
        <v>47.19</v>
      </c>
      <c r="P633" t="s">
        <v>9302</v>
      </c>
    </row>
    <row r="634" spans="1:16" ht="14.4" x14ac:dyDescent="0.3">
      <c r="A634" s="310">
        <v>238027</v>
      </c>
      <c r="B634" t="str">
        <f t="shared" si="18"/>
        <v>SEVROLL Maxim tor górny 4,3m jasny brąz</v>
      </c>
      <c r="C634" s="185" t="e">
        <f t="shared" si="19"/>
        <v>#N/A</v>
      </c>
      <c r="D634" s="407" t="s">
        <v>3171</v>
      </c>
      <c r="E634" s="407" t="s">
        <v>5019</v>
      </c>
      <c r="F634" s="407" t="s">
        <v>1131</v>
      </c>
      <c r="G634" s="407" t="s">
        <v>5020</v>
      </c>
      <c r="H634" s="460" t="e">
        <v>#N/A</v>
      </c>
      <c r="I634" s="460" t="e">
        <v>#N/A</v>
      </c>
      <c r="J634" s="460" t="e">
        <v>#N/A</v>
      </c>
      <c r="K634" s="460" t="e">
        <v>#N/A</v>
      </c>
      <c r="L634" s="459" t="e">
        <v>#N/A</v>
      </c>
      <c r="M634" s="309" t="s">
        <v>571</v>
      </c>
      <c r="N634" s="182">
        <v>1204.6851999999999</v>
      </c>
      <c r="O634" t="e">
        <v>#N/A</v>
      </c>
      <c r="P634" t="e">
        <v>#N/A</v>
      </c>
    </row>
    <row r="635" spans="1:16" ht="14.4" x14ac:dyDescent="0.3">
      <c r="A635" s="313">
        <v>213363</v>
      </c>
      <c r="B635" t="str">
        <f t="shared" si="18"/>
        <v>SEVROLL Herkules tłumienie 40 - 80kg</v>
      </c>
      <c r="C635" s="185" t="e">
        <f t="shared" si="19"/>
        <v>#N/A</v>
      </c>
      <c r="D635" s="407" t="s">
        <v>2999</v>
      </c>
      <c r="E635" s="407" t="s">
        <v>5021</v>
      </c>
      <c r="F635" s="407" t="s">
        <v>1146</v>
      </c>
      <c r="G635" s="407" t="s">
        <v>5022</v>
      </c>
      <c r="H635" s="460" t="e">
        <v>#N/A</v>
      </c>
      <c r="I635" s="460" t="e">
        <v>#N/A</v>
      </c>
      <c r="J635" s="460" t="e">
        <v>#N/A</v>
      </c>
      <c r="K635" s="460" t="e">
        <v>#N/A</v>
      </c>
      <c r="L635" s="459" t="e">
        <v>#N/A</v>
      </c>
      <c r="M635" s="314" t="s">
        <v>571</v>
      </c>
      <c r="N635" s="182">
        <v>1218.5768599999999</v>
      </c>
      <c r="O635" t="e">
        <v>#N/A</v>
      </c>
      <c r="P635" t="e">
        <v>#N/A</v>
      </c>
    </row>
    <row r="636" spans="1:16" ht="14.4" x14ac:dyDescent="0.3">
      <c r="A636" s="310">
        <v>306089</v>
      </c>
      <c r="B636" t="str">
        <f t="shared" si="18"/>
        <v>SEVROLL tłumienie Top SV80 - 2szt</v>
      </c>
      <c r="C636" s="185">
        <f t="shared" si="19"/>
        <v>182.6087</v>
      </c>
      <c r="D636" s="407" t="s">
        <v>3292</v>
      </c>
      <c r="E636" s="407" t="s">
        <v>5023</v>
      </c>
      <c r="F636" s="407" t="s">
        <v>1093</v>
      </c>
      <c r="G636" s="407" t="s">
        <v>5024</v>
      </c>
      <c r="H636" s="460">
        <v>1610.5084899999999</v>
      </c>
      <c r="I636" s="460">
        <v>54.569389999999999</v>
      </c>
      <c r="J636" s="460">
        <v>182.6087</v>
      </c>
      <c r="K636" s="460">
        <v>21497.166109999998</v>
      </c>
      <c r="L636" s="459" t="s">
        <v>539</v>
      </c>
      <c r="M636" s="309" t="s">
        <v>574</v>
      </c>
      <c r="N636" s="182">
        <v>1223.6309000000001</v>
      </c>
      <c r="O636">
        <v>48.554000000000002</v>
      </c>
      <c r="P636" t="s">
        <v>9303</v>
      </c>
    </row>
    <row r="637" spans="1:16" ht="14.4" x14ac:dyDescent="0.3">
      <c r="A637" s="311">
        <v>195462</v>
      </c>
      <c r="B637" t="e">
        <f t="shared" si="18"/>
        <v>#N/A</v>
      </c>
      <c r="C637" s="185" t="e">
        <f t="shared" si="19"/>
        <v>#N/A</v>
      </c>
      <c r="D637" s="407" t="e">
        <v>#N/A</v>
      </c>
      <c r="E637" s="407" t="e">
        <v>#N/A</v>
      </c>
      <c r="F637" s="407" t="e">
        <v>#N/A</v>
      </c>
      <c r="G637" s="407" t="e">
        <v>#N/A</v>
      </c>
      <c r="H637" s="460" t="e">
        <v>#N/A</v>
      </c>
      <c r="I637" s="460" t="e">
        <v>#N/A</v>
      </c>
      <c r="J637" s="460" t="e">
        <v>#N/A</v>
      </c>
      <c r="K637" s="460" t="e">
        <v>#N/A</v>
      </c>
      <c r="L637" s="459" t="e">
        <v>#N/A</v>
      </c>
      <c r="M637" s="312" t="s">
        <v>571</v>
      </c>
      <c r="N637" s="182">
        <v>1252.5845999999999</v>
      </c>
      <c r="O637" t="e">
        <v>#N/A</v>
      </c>
      <c r="P637" t="e">
        <v>#N/A</v>
      </c>
    </row>
    <row r="638" spans="1:16" ht="14.4" x14ac:dyDescent="0.3">
      <c r="A638" s="311">
        <v>340591</v>
      </c>
      <c r="B638" t="e">
        <f t="shared" si="18"/>
        <v>#N/A</v>
      </c>
      <c r="C638" s="185" t="e">
        <f t="shared" si="19"/>
        <v>#N/A</v>
      </c>
      <c r="D638" s="407" t="e">
        <v>#N/A</v>
      </c>
      <c r="E638" s="407" t="e">
        <v>#N/A</v>
      </c>
      <c r="F638" s="407" t="e">
        <v>#N/A</v>
      </c>
      <c r="G638" s="407" t="e">
        <v>#N/A</v>
      </c>
      <c r="H638" s="460" t="e">
        <v>#N/A</v>
      </c>
      <c r="I638" s="460" t="e">
        <v>#N/A</v>
      </c>
      <c r="J638" s="460" t="e">
        <v>#N/A</v>
      </c>
      <c r="K638" s="460" t="e">
        <v>#N/A</v>
      </c>
      <c r="L638" s="459" t="e">
        <v>#N/A</v>
      </c>
      <c r="M638" s="312" t="s">
        <v>571</v>
      </c>
      <c r="N638" s="182">
        <v>1253.2239999999999</v>
      </c>
      <c r="O638" t="e">
        <v>#N/A</v>
      </c>
      <c r="P638" t="e">
        <v>#N/A</v>
      </c>
    </row>
    <row r="639" spans="1:16" ht="14.4" x14ac:dyDescent="0.3">
      <c r="A639" s="311">
        <v>195449</v>
      </c>
      <c r="B639" t="e">
        <f t="shared" si="18"/>
        <v>#N/A</v>
      </c>
      <c r="C639" s="185" t="e">
        <f t="shared" si="19"/>
        <v>#N/A</v>
      </c>
      <c r="D639" s="407" t="e">
        <v>#N/A</v>
      </c>
      <c r="E639" s="407" t="e">
        <v>#N/A</v>
      </c>
      <c r="F639" s="407" t="e">
        <v>#N/A</v>
      </c>
      <c r="G639" s="407" t="e">
        <v>#N/A</v>
      </c>
      <c r="H639" s="460" t="e">
        <v>#N/A</v>
      </c>
      <c r="I639" s="460" t="e">
        <v>#N/A</v>
      </c>
      <c r="J639" s="460" t="e">
        <v>#N/A</v>
      </c>
      <c r="K639" s="460" t="e">
        <v>#N/A</v>
      </c>
      <c r="L639" s="459" t="e">
        <v>#N/A</v>
      </c>
      <c r="M639" s="312" t="s">
        <v>571</v>
      </c>
      <c r="N639" s="182">
        <v>1265.0528999999999</v>
      </c>
      <c r="O639" t="e">
        <v>#N/A</v>
      </c>
      <c r="P639" t="e">
        <v>#N/A</v>
      </c>
    </row>
    <row r="640" spans="1:16" ht="14.4" x14ac:dyDescent="0.3">
      <c r="A640" s="310">
        <v>238032</v>
      </c>
      <c r="B640" t="str">
        <f t="shared" si="18"/>
        <v>SEVROLL Maxim maskownica dolna 4,3 m 18mm oliwka</v>
      </c>
      <c r="C640" s="185" t="e">
        <f t="shared" si="19"/>
        <v>#N/A</v>
      </c>
      <c r="D640" s="407" t="s">
        <v>3176</v>
      </c>
      <c r="E640" s="407" t="s">
        <v>5025</v>
      </c>
      <c r="F640" s="407" t="s">
        <v>5026</v>
      </c>
      <c r="G640" s="407" t="s">
        <v>5027</v>
      </c>
      <c r="H640" s="460" t="e">
        <v>#N/A</v>
      </c>
      <c r="I640" s="460" t="e">
        <v>#N/A</v>
      </c>
      <c r="J640" s="460" t="e">
        <v>#N/A</v>
      </c>
      <c r="K640" s="460" t="e">
        <v>#N/A</v>
      </c>
      <c r="L640" s="459" t="e">
        <v>#N/A</v>
      </c>
      <c r="M640" s="309" t="s">
        <v>571</v>
      </c>
      <c r="N640" s="182">
        <v>1276.5482</v>
      </c>
      <c r="O640" t="e">
        <v>#N/A</v>
      </c>
      <c r="P640" t="e">
        <v>#N/A</v>
      </c>
    </row>
    <row r="641" spans="1:16" ht="14.4" x14ac:dyDescent="0.3">
      <c r="A641" s="311">
        <v>340597</v>
      </c>
      <c r="B641" t="e">
        <f t="shared" si="18"/>
        <v>#N/A</v>
      </c>
      <c r="C641" s="185" t="e">
        <f t="shared" si="19"/>
        <v>#N/A</v>
      </c>
      <c r="D641" s="407" t="e">
        <v>#N/A</v>
      </c>
      <c r="E641" s="407" t="e">
        <v>#N/A</v>
      </c>
      <c r="F641" s="407" t="e">
        <v>#N/A</v>
      </c>
      <c r="G641" s="407" t="e">
        <v>#N/A</v>
      </c>
      <c r="H641" s="460" t="e">
        <v>#N/A</v>
      </c>
      <c r="I641" s="460" t="e">
        <v>#N/A</v>
      </c>
      <c r="J641" s="460" t="e">
        <v>#N/A</v>
      </c>
      <c r="K641" s="460" t="e">
        <v>#N/A</v>
      </c>
      <c r="L641" s="459" t="e">
        <v>#N/A</v>
      </c>
      <c r="M641" s="312" t="s">
        <v>571</v>
      </c>
      <c r="N641" s="182">
        <v>1277.5211999999999</v>
      </c>
      <c r="O641" t="e">
        <v>#N/A</v>
      </c>
      <c r="P641" t="e">
        <v>#N/A</v>
      </c>
    </row>
    <row r="642" spans="1:16" ht="14.4" x14ac:dyDescent="0.3">
      <c r="A642" s="313">
        <v>223518</v>
      </c>
      <c r="B642" t="str">
        <f t="shared" si="18"/>
        <v>SEVROLL Herkules zestaw okuć 60kg 1,8m</v>
      </c>
      <c r="C642" s="185" t="e">
        <f t="shared" si="19"/>
        <v>#N/A</v>
      </c>
      <c r="D642" s="407" t="s">
        <v>3059</v>
      </c>
      <c r="E642" s="407" t="s">
        <v>5028</v>
      </c>
      <c r="F642" s="407" t="s">
        <v>1150</v>
      </c>
      <c r="G642" s="407" t="s">
        <v>5029</v>
      </c>
      <c r="H642" s="460" t="e">
        <v>#N/A</v>
      </c>
      <c r="I642" s="460" t="e">
        <v>#N/A</v>
      </c>
      <c r="J642" s="460" t="e">
        <v>#N/A</v>
      </c>
      <c r="K642" s="460" t="e">
        <v>#N/A</v>
      </c>
      <c r="L642" s="459" t="e">
        <v>#N/A</v>
      </c>
      <c r="M642" s="314" t="s">
        <v>572</v>
      </c>
      <c r="N642" s="182">
        <v>1299.9836</v>
      </c>
      <c r="O642" t="e">
        <v>#N/A</v>
      </c>
      <c r="P642" t="e">
        <v>#N/A</v>
      </c>
    </row>
    <row r="643" spans="1:16" ht="14.4" x14ac:dyDescent="0.3">
      <c r="A643" s="313">
        <v>223520</v>
      </c>
      <c r="B643" t="str">
        <f t="shared" si="18"/>
        <v>SEVROLL Herkules zestaw okuć 60kg 2m</v>
      </c>
      <c r="C643" s="185" t="e">
        <f t="shared" si="19"/>
        <v>#N/A</v>
      </c>
      <c r="D643" s="407" t="s">
        <v>3061</v>
      </c>
      <c r="E643" s="407" t="s">
        <v>5030</v>
      </c>
      <c r="F643" s="407" t="s">
        <v>1148</v>
      </c>
      <c r="G643" s="407" t="s">
        <v>5031</v>
      </c>
      <c r="H643" s="460" t="e">
        <v>#N/A</v>
      </c>
      <c r="I643" s="460" t="e">
        <v>#N/A</v>
      </c>
      <c r="J643" s="460" t="e">
        <v>#N/A</v>
      </c>
      <c r="K643" s="460" t="e">
        <v>#N/A</v>
      </c>
      <c r="L643" s="459" t="e">
        <v>#N/A</v>
      </c>
      <c r="M643" s="314" t="s">
        <v>572</v>
      </c>
      <c r="N643" s="182">
        <v>1303.1388999999999</v>
      </c>
      <c r="O643" t="e">
        <v>#N/A</v>
      </c>
      <c r="P643" t="e">
        <v>#N/A</v>
      </c>
    </row>
    <row r="644" spans="1:16" ht="14.4" x14ac:dyDescent="0.3">
      <c r="A644" s="313">
        <v>223517</v>
      </c>
      <c r="B644" t="str">
        <f t="shared" ref="B644:B707" si="20">IF($A$2=1,D644,IF($A$2=2,F644,IF($A$2=3,G644,IF($A$2=4,E644,IF($A$2&gt;4,P644,"zadat jazyk")))))</f>
        <v>SEVROLL Herkules zestaw okuć 120kg 1,5m</v>
      </c>
      <c r="C644" s="185" t="e">
        <f t="shared" ref="C644:C707" si="21">IF($A$2=1,H644,IF($A$2=2,I644,IF($A$2=3,J644,IF($A$2=4,K644,IF($A$2&gt;4,O644,"zadat jazyk")))))</f>
        <v>#N/A</v>
      </c>
      <c r="D644" s="407" t="s">
        <v>3058</v>
      </c>
      <c r="E644" s="407" t="s">
        <v>5032</v>
      </c>
      <c r="F644" s="407" t="s">
        <v>1158</v>
      </c>
      <c r="G644" s="407" t="s">
        <v>5033</v>
      </c>
      <c r="H644" s="460" t="e">
        <v>#N/A</v>
      </c>
      <c r="I644" s="460" t="e">
        <v>#N/A</v>
      </c>
      <c r="J644" s="460" t="e">
        <v>#N/A</v>
      </c>
      <c r="K644" s="460" t="e">
        <v>#N/A</v>
      </c>
      <c r="L644" s="459" t="e">
        <v>#N/A</v>
      </c>
      <c r="M644" s="314" t="s">
        <v>572</v>
      </c>
      <c r="N644" s="182">
        <v>1303.1388999999999</v>
      </c>
      <c r="O644" t="e">
        <v>#N/A</v>
      </c>
      <c r="P644" t="e">
        <v>#N/A</v>
      </c>
    </row>
    <row r="645" spans="1:16" ht="14.4" x14ac:dyDescent="0.3">
      <c r="A645" s="310">
        <v>181590</v>
      </c>
      <c r="B645" t="str">
        <f t="shared" si="20"/>
        <v>SEVROLL Everest zestaw do rączki Fox II</v>
      </c>
      <c r="C645" s="185">
        <f t="shared" si="21"/>
        <v>185.4768</v>
      </c>
      <c r="D645" s="407" t="s">
        <v>2922</v>
      </c>
      <c r="E645" s="407" t="s">
        <v>5034</v>
      </c>
      <c r="F645" s="407" t="s">
        <v>5035</v>
      </c>
      <c r="G645" s="407" t="s">
        <v>5036</v>
      </c>
      <c r="H645" s="460">
        <v>1478.6171099999999</v>
      </c>
      <c r="I645" s="460">
        <v>53.164169999999999</v>
      </c>
      <c r="J645" s="460">
        <v>185.4768</v>
      </c>
      <c r="K645" s="460">
        <v>20462.128990000001</v>
      </c>
      <c r="L645" s="459" t="s">
        <v>538</v>
      </c>
      <c r="M645" s="309" t="s">
        <v>572</v>
      </c>
      <c r="N645" s="182">
        <v>1317.0527999999999</v>
      </c>
      <c r="O645">
        <v>49.786000000000001</v>
      </c>
      <c r="P645" t="s">
        <v>9304</v>
      </c>
    </row>
    <row r="646" spans="1:16" ht="14.4" x14ac:dyDescent="0.3">
      <c r="A646" s="313">
        <v>223519</v>
      </c>
      <c r="B646" t="str">
        <f t="shared" si="20"/>
        <v>SEVROLL Herkules zestaw okuć 120kg 1,8m</v>
      </c>
      <c r="C646" s="185" t="e">
        <f t="shared" si="21"/>
        <v>#N/A</v>
      </c>
      <c r="D646" s="407" t="s">
        <v>3060</v>
      </c>
      <c r="E646" s="407" t="s">
        <v>5037</v>
      </c>
      <c r="F646" s="407" t="s">
        <v>1157</v>
      </c>
      <c r="G646" s="407" t="s">
        <v>5038</v>
      </c>
      <c r="H646" s="460" t="e">
        <v>#N/A</v>
      </c>
      <c r="I646" s="460" t="e">
        <v>#N/A</v>
      </c>
      <c r="J646" s="460" t="e">
        <v>#N/A</v>
      </c>
      <c r="K646" s="460" t="e">
        <v>#N/A</v>
      </c>
      <c r="L646" s="459" t="e">
        <v>#N/A</v>
      </c>
      <c r="M646" s="314" t="s">
        <v>572</v>
      </c>
      <c r="N646" s="182">
        <v>1407.2637999999999</v>
      </c>
      <c r="O646" t="e">
        <v>#N/A</v>
      </c>
      <c r="P646" t="e">
        <v>#N/A</v>
      </c>
    </row>
    <row r="647" spans="1:16" ht="14.4" x14ac:dyDescent="0.3">
      <c r="A647" s="310">
        <v>98079</v>
      </c>
      <c r="B647" t="str">
        <f t="shared" si="20"/>
        <v>SEVROLL Comfort tor górny 4,05m srebrny</v>
      </c>
      <c r="C647" s="185">
        <f t="shared" si="21"/>
        <v>257.95800000000003</v>
      </c>
      <c r="D647" s="407" t="s">
        <v>2786</v>
      </c>
      <c r="E647" s="407" t="s">
        <v>5039</v>
      </c>
      <c r="F647" s="407" t="s">
        <v>1186</v>
      </c>
      <c r="G647" s="407" t="s">
        <v>5040</v>
      </c>
      <c r="H647" s="460">
        <v>1991.7544399999999</v>
      </c>
      <c r="I647" s="460">
        <v>71.614199999999997</v>
      </c>
      <c r="J647" s="460">
        <v>257.95800000000003</v>
      </c>
      <c r="K647" s="460">
        <v>27563.279180000001</v>
      </c>
      <c r="L647" s="459" t="s">
        <v>538</v>
      </c>
      <c r="M647" s="309" t="s">
        <v>571</v>
      </c>
      <c r="N647" s="182">
        <v>1416.3543999999999</v>
      </c>
      <c r="O647">
        <v>69.256</v>
      </c>
      <c r="P647" t="s">
        <v>9305</v>
      </c>
    </row>
    <row r="648" spans="1:16" ht="14.4" x14ac:dyDescent="0.3">
      <c r="A648" s="313">
        <v>223522</v>
      </c>
      <c r="B648" t="str">
        <f t="shared" si="20"/>
        <v>SEVROLL Herkules zestaw okuć 60kg 2,4m</v>
      </c>
      <c r="C648" s="185" t="e">
        <f t="shared" si="21"/>
        <v>#N/A</v>
      </c>
      <c r="D648" s="407" t="s">
        <v>3063</v>
      </c>
      <c r="E648" s="407" t="s">
        <v>5041</v>
      </c>
      <c r="F648" s="407" t="s">
        <v>1149</v>
      </c>
      <c r="G648" s="407" t="s">
        <v>5042</v>
      </c>
      <c r="H648" s="460" t="e">
        <v>#N/A</v>
      </c>
      <c r="I648" s="460" t="e">
        <v>#N/A</v>
      </c>
      <c r="J648" s="460" t="e">
        <v>#N/A</v>
      </c>
      <c r="K648" s="460" t="e">
        <v>#N/A</v>
      </c>
      <c r="L648" s="459" t="e">
        <v>#N/A</v>
      </c>
      <c r="M648" s="314" t="s">
        <v>572</v>
      </c>
      <c r="N648" s="182">
        <v>1420.5160599999999</v>
      </c>
      <c r="O648" t="e">
        <v>#N/A</v>
      </c>
      <c r="P648" t="e">
        <v>#N/A</v>
      </c>
    </row>
    <row r="649" spans="1:16" ht="14.4" x14ac:dyDescent="0.3">
      <c r="A649" s="311">
        <v>261946</v>
      </c>
      <c r="B649" t="e">
        <f t="shared" si="20"/>
        <v>#N/A</v>
      </c>
      <c r="C649" s="185" t="e">
        <f t="shared" si="21"/>
        <v>#N/A</v>
      </c>
      <c r="D649" s="407" t="e">
        <v>#N/A</v>
      </c>
      <c r="E649" s="407" t="e">
        <v>#N/A</v>
      </c>
      <c r="F649" s="407" t="e">
        <v>#N/A</v>
      </c>
      <c r="G649" s="407" t="e">
        <v>#N/A</v>
      </c>
      <c r="H649" s="460" t="e">
        <v>#N/A</v>
      </c>
      <c r="I649" s="460" t="e">
        <v>#N/A</v>
      </c>
      <c r="J649" s="460" t="e">
        <v>#N/A</v>
      </c>
      <c r="K649" s="460" t="e">
        <v>#N/A</v>
      </c>
      <c r="L649" s="459" t="e">
        <v>#N/A</v>
      </c>
      <c r="M649" s="312" t="s">
        <v>571</v>
      </c>
      <c r="N649" s="182">
        <v>1438.65</v>
      </c>
      <c r="O649" t="e">
        <v>#N/A</v>
      </c>
      <c r="P649" t="e">
        <v>#N/A</v>
      </c>
    </row>
    <row r="650" spans="1:16" ht="14.4" x14ac:dyDescent="0.3">
      <c r="A650" s="310">
        <v>191641</v>
      </c>
      <c r="B650" t="str">
        <f t="shared" si="20"/>
        <v>SEVROLL Top tor górny pojedynczy 6 m srebrny</v>
      </c>
      <c r="C650" s="185">
        <f t="shared" si="21"/>
        <v>0</v>
      </c>
      <c r="D650" s="407" t="s">
        <v>2934</v>
      </c>
      <c r="E650" s="407" t="s">
        <v>5043</v>
      </c>
      <c r="F650" s="407" t="s">
        <v>5044</v>
      </c>
      <c r="G650" s="407" t="s">
        <v>5045</v>
      </c>
      <c r="H650" s="460">
        <v>1855.6898100000001</v>
      </c>
      <c r="I650" s="460">
        <v>66.721950000000007</v>
      </c>
      <c r="J650" s="460">
        <v>0</v>
      </c>
      <c r="K650" s="460">
        <v>25680.322690000001</v>
      </c>
      <c r="L650" s="459" t="s">
        <v>539</v>
      </c>
      <c r="M650" s="309" t="s">
        <v>571</v>
      </c>
      <c r="N650" s="182">
        <v>1458.1656</v>
      </c>
      <c r="O650">
        <v>62.502000000000002</v>
      </c>
      <c r="P650" t="s">
        <v>9306</v>
      </c>
    </row>
    <row r="651" spans="1:16" ht="14.4" x14ac:dyDescent="0.3">
      <c r="A651" s="310">
        <v>197377</v>
      </c>
      <c r="B651" t="str">
        <f t="shared" si="20"/>
        <v>SEVROLL Maxim tor górny 6 m srebrny</v>
      </c>
      <c r="C651" s="185" t="e">
        <f t="shared" si="21"/>
        <v>#N/A</v>
      </c>
      <c r="D651" s="407" t="s">
        <v>2944</v>
      </c>
      <c r="E651" s="407" t="s">
        <v>5046</v>
      </c>
      <c r="F651" s="407" t="s">
        <v>5047</v>
      </c>
      <c r="G651" s="407" t="s">
        <v>5048</v>
      </c>
      <c r="H651" s="460" t="e">
        <v>#N/A</v>
      </c>
      <c r="I651" s="460" t="e">
        <v>#N/A</v>
      </c>
      <c r="J651" s="460" t="e">
        <v>#N/A</v>
      </c>
      <c r="K651" s="460" t="e">
        <v>#N/A</v>
      </c>
      <c r="L651" s="459" t="e">
        <v>#N/A</v>
      </c>
      <c r="M651" s="309" t="s">
        <v>571</v>
      </c>
      <c r="N651" s="182">
        <v>1460.1255000000001</v>
      </c>
      <c r="O651" t="e">
        <v>#N/A</v>
      </c>
      <c r="P651" t="e">
        <v>#N/A</v>
      </c>
    </row>
    <row r="652" spans="1:16" ht="14.4" x14ac:dyDescent="0.3">
      <c r="A652" s="313">
        <v>223521</v>
      </c>
      <c r="B652" t="str">
        <f t="shared" si="20"/>
        <v>SEVROLL Herkules zestaw okuć 120kg 2m</v>
      </c>
      <c r="C652" s="185" t="e">
        <f t="shared" si="21"/>
        <v>#N/A</v>
      </c>
      <c r="D652" s="407" t="s">
        <v>3062</v>
      </c>
      <c r="E652" s="407" t="s">
        <v>5049</v>
      </c>
      <c r="F652" s="407" t="s">
        <v>1155</v>
      </c>
      <c r="G652" s="407" t="s">
        <v>5050</v>
      </c>
      <c r="H652" s="460" t="e">
        <v>#N/A</v>
      </c>
      <c r="I652" s="460" t="e">
        <v>#N/A</v>
      </c>
      <c r="J652" s="460" t="e">
        <v>#N/A</v>
      </c>
      <c r="K652" s="460" t="e">
        <v>#N/A</v>
      </c>
      <c r="L652" s="459" t="e">
        <v>#N/A</v>
      </c>
      <c r="M652" s="314" t="s">
        <v>572</v>
      </c>
      <c r="N652" s="182">
        <v>1472.8940399999999</v>
      </c>
      <c r="O652" t="e">
        <v>#N/A</v>
      </c>
      <c r="P652" t="e">
        <v>#N/A</v>
      </c>
    </row>
    <row r="653" spans="1:16" ht="14.4" x14ac:dyDescent="0.3">
      <c r="A653" s="311">
        <v>157362</v>
      </c>
      <c r="B653" t="str">
        <f t="shared" si="20"/>
        <v>ASTIN tor górny 3,6m czarny szczotkowany</v>
      </c>
      <c r="C653" s="185" t="e">
        <f t="shared" si="21"/>
        <v>#N/A</v>
      </c>
      <c r="D653" s="407" t="s">
        <v>1066</v>
      </c>
      <c r="E653" s="407" t="s">
        <v>5051</v>
      </c>
      <c r="F653" s="407" t="s">
        <v>1067</v>
      </c>
      <c r="G653" s="407" t="s">
        <v>5052</v>
      </c>
      <c r="H653" s="460" t="e">
        <v>#N/A</v>
      </c>
      <c r="I653" s="460" t="e">
        <v>#N/A</v>
      </c>
      <c r="J653" s="460" t="e">
        <v>#N/A</v>
      </c>
      <c r="K653" s="460" t="e">
        <v>#N/A</v>
      </c>
      <c r="L653" s="459" t="e">
        <v>#N/A</v>
      </c>
      <c r="M653" s="312" t="s">
        <v>571</v>
      </c>
      <c r="N653" s="182">
        <v>1498.7536</v>
      </c>
      <c r="O653" t="e">
        <v>#N/A</v>
      </c>
      <c r="P653" t="e">
        <v>#N/A</v>
      </c>
    </row>
    <row r="654" spans="1:16" ht="14.4" x14ac:dyDescent="0.3">
      <c r="A654" s="310">
        <v>180420</v>
      </c>
      <c r="B654" t="str">
        <f t="shared" si="20"/>
        <v>SEVROLL Maxim maskownica dolna 6m 10mm srebrny</v>
      </c>
      <c r="C654" s="185" t="e">
        <f t="shared" si="21"/>
        <v>#N/A</v>
      </c>
      <c r="D654" s="407" t="s">
        <v>2921</v>
      </c>
      <c r="E654" s="407" t="s">
        <v>5053</v>
      </c>
      <c r="F654" s="407" t="s">
        <v>5054</v>
      </c>
      <c r="G654" s="407" t="s">
        <v>5055</v>
      </c>
      <c r="H654" s="460" t="e">
        <v>#N/A</v>
      </c>
      <c r="I654" s="460" t="e">
        <v>#N/A</v>
      </c>
      <c r="J654" s="460" t="e">
        <v>#N/A</v>
      </c>
      <c r="K654" s="460" t="e">
        <v>#N/A</v>
      </c>
      <c r="L654" s="459" t="e">
        <v>#N/A</v>
      </c>
      <c r="M654" s="309" t="s">
        <v>571</v>
      </c>
      <c r="N654" s="182">
        <v>1548.9743000000001</v>
      </c>
      <c r="O654" t="e">
        <v>#N/A</v>
      </c>
      <c r="P654" t="e">
        <v>#N/A</v>
      </c>
    </row>
    <row r="655" spans="1:16" ht="14.4" x14ac:dyDescent="0.3">
      <c r="A655" s="310">
        <v>98117</v>
      </c>
      <c r="B655" t="str">
        <f t="shared" si="20"/>
        <v>SEVROLL Comfort tor górny 4,05m jasny brąz</v>
      </c>
      <c r="C655" s="185">
        <f t="shared" si="21"/>
        <v>307.64983999999998</v>
      </c>
      <c r="D655" s="407" t="s">
        <v>2793</v>
      </c>
      <c r="E655" s="407" t="s">
        <v>5056</v>
      </c>
      <c r="F655" s="407" t="s">
        <v>5057</v>
      </c>
      <c r="G655" s="407" t="s">
        <v>5058</v>
      </c>
      <c r="H655" s="460">
        <v>2488.2455599999998</v>
      </c>
      <c r="I655" s="460">
        <v>89.465699999999998</v>
      </c>
      <c r="J655" s="460">
        <v>307.64983999999998</v>
      </c>
      <c r="K655" s="460">
        <v>34434.067340000001</v>
      </c>
      <c r="L655" s="459" t="s">
        <v>539</v>
      </c>
      <c r="M655" s="309" t="s">
        <v>571</v>
      </c>
      <c r="N655" s="182">
        <v>1557.4672</v>
      </c>
      <c r="O655">
        <v>76.186000000000007</v>
      </c>
      <c r="P655" t="s">
        <v>9307</v>
      </c>
    </row>
    <row r="656" spans="1:16" ht="14.4" x14ac:dyDescent="0.3">
      <c r="A656" s="310">
        <v>212761</v>
      </c>
      <c r="B656" t="str">
        <f t="shared" si="20"/>
        <v>SEVROLL Line tor górny 2m alu surowy</v>
      </c>
      <c r="C656" s="185" t="e">
        <f t="shared" si="21"/>
        <v>#N/A</v>
      </c>
      <c r="D656" s="407" t="s">
        <v>2993</v>
      </c>
      <c r="E656" s="407" t="s">
        <v>5059</v>
      </c>
      <c r="F656" s="407" t="s">
        <v>1141</v>
      </c>
      <c r="G656" s="407" t="s">
        <v>5060</v>
      </c>
      <c r="H656" s="460" t="e">
        <v>#N/A</v>
      </c>
      <c r="I656" s="460" t="e">
        <v>#N/A</v>
      </c>
      <c r="J656" s="460" t="e">
        <v>#N/A</v>
      </c>
      <c r="K656" s="460" t="e">
        <v>#N/A</v>
      </c>
      <c r="L656" s="459" t="e">
        <v>#N/A</v>
      </c>
      <c r="M656" s="309" t="s">
        <v>571</v>
      </c>
      <c r="N656" s="182">
        <v>1564.0001999999999</v>
      </c>
      <c r="O656">
        <v>66.043999999999997</v>
      </c>
      <c r="P656" t="s">
        <v>9308</v>
      </c>
    </row>
    <row r="657" spans="1:16" ht="14.4" x14ac:dyDescent="0.3">
      <c r="A657" s="313">
        <v>223512</v>
      </c>
      <c r="B657" t="str">
        <f t="shared" si="20"/>
        <v>SEVROLL Herkules 2 tor górny 6 m alu</v>
      </c>
      <c r="C657" s="185" t="e">
        <f t="shared" si="21"/>
        <v>#N/A</v>
      </c>
      <c r="D657" s="407" t="s">
        <v>3054</v>
      </c>
      <c r="E657" s="407" t="s">
        <v>5061</v>
      </c>
      <c r="F657" s="407" t="s">
        <v>5062</v>
      </c>
      <c r="G657" s="407" t="s">
        <v>5063</v>
      </c>
      <c r="H657" s="460" t="e">
        <v>#N/A</v>
      </c>
      <c r="I657" s="460" t="e">
        <v>#N/A</v>
      </c>
      <c r="J657" s="460" t="e">
        <v>#N/A</v>
      </c>
      <c r="K657" s="460" t="e">
        <v>#N/A</v>
      </c>
      <c r="L657" s="459" t="e">
        <v>#N/A</v>
      </c>
      <c r="M657" s="314" t="s">
        <v>571</v>
      </c>
      <c r="N657" s="182">
        <v>1588.3780200000001</v>
      </c>
      <c r="O657" t="e">
        <v>#N/A</v>
      </c>
      <c r="P657" t="e">
        <v>#N/A</v>
      </c>
    </row>
    <row r="658" spans="1:16" ht="14.4" x14ac:dyDescent="0.3">
      <c r="A658" s="310">
        <v>191642</v>
      </c>
      <c r="B658" t="str">
        <f t="shared" si="20"/>
        <v>SEVROLL Top tor górny pojedynczy 6 m oliwka</v>
      </c>
      <c r="C658" s="185" t="e">
        <f t="shared" si="21"/>
        <v>#N/A</v>
      </c>
      <c r="D658" s="407" t="s">
        <v>2935</v>
      </c>
      <c r="E658" s="407" t="s">
        <v>5064</v>
      </c>
      <c r="F658" s="407" t="s">
        <v>5065</v>
      </c>
      <c r="G658" s="407" t="s">
        <v>5066</v>
      </c>
      <c r="H658" s="460" t="e">
        <v>#N/A</v>
      </c>
      <c r="I658" s="460" t="e">
        <v>#N/A</v>
      </c>
      <c r="J658" s="460" t="e">
        <v>#N/A</v>
      </c>
      <c r="K658" s="460" t="e">
        <v>#N/A</v>
      </c>
      <c r="L658" s="459" t="e">
        <v>#N/A</v>
      </c>
      <c r="M658" s="309" t="s">
        <v>571</v>
      </c>
      <c r="N658" s="182">
        <v>1602.5449000000001</v>
      </c>
      <c r="O658">
        <v>68.727999999999994</v>
      </c>
      <c r="P658" t="s">
        <v>9309</v>
      </c>
    </row>
    <row r="659" spans="1:16" ht="14.4" x14ac:dyDescent="0.3">
      <c r="A659" s="310">
        <v>262430</v>
      </c>
      <c r="B659" t="str">
        <f t="shared" si="20"/>
        <v>SEVROLL Optima tor górny 6m srebrny</v>
      </c>
      <c r="C659" s="185" t="e">
        <f t="shared" si="21"/>
        <v>#N/A</v>
      </c>
      <c r="D659" s="407" t="s">
        <v>3201</v>
      </c>
      <c r="E659" s="407" t="s">
        <v>5067</v>
      </c>
      <c r="F659" s="407" t="s">
        <v>1120</v>
      </c>
      <c r="G659" s="407" t="s">
        <v>5068</v>
      </c>
      <c r="H659" s="460" t="e">
        <v>#N/A</v>
      </c>
      <c r="I659" s="460" t="e">
        <v>#N/A</v>
      </c>
      <c r="J659" s="460" t="e">
        <v>#N/A</v>
      </c>
      <c r="K659" s="460" t="e">
        <v>#N/A</v>
      </c>
      <c r="L659" s="459" t="e">
        <v>#N/A</v>
      </c>
      <c r="M659" s="309" t="s">
        <v>571</v>
      </c>
      <c r="N659" s="182">
        <v>1611.0378000000001</v>
      </c>
      <c r="O659">
        <v>69.058000000000007</v>
      </c>
      <c r="P659" t="s">
        <v>9310</v>
      </c>
    </row>
    <row r="660" spans="1:16" ht="14.4" x14ac:dyDescent="0.3">
      <c r="A660" s="313">
        <v>223523</v>
      </c>
      <c r="B660" t="str">
        <f t="shared" si="20"/>
        <v>SEVROLL Herkules zestaw okuć 120kg 2,4m</v>
      </c>
      <c r="C660" s="185" t="e">
        <f t="shared" si="21"/>
        <v>#N/A</v>
      </c>
      <c r="D660" s="407" t="s">
        <v>3064</v>
      </c>
      <c r="E660" s="407" t="s">
        <v>5069</v>
      </c>
      <c r="F660" s="407" t="s">
        <v>1156</v>
      </c>
      <c r="G660" s="407" t="s">
        <v>5070</v>
      </c>
      <c r="H660" s="460" t="e">
        <v>#N/A</v>
      </c>
      <c r="I660" s="460" t="e">
        <v>#N/A</v>
      </c>
      <c r="J660" s="460" t="e">
        <v>#N/A</v>
      </c>
      <c r="K660" s="460" t="e">
        <v>#N/A</v>
      </c>
      <c r="L660" s="459" t="e">
        <v>#N/A</v>
      </c>
      <c r="M660" s="314" t="s">
        <v>572</v>
      </c>
      <c r="N660" s="182">
        <v>1616.1446599999999</v>
      </c>
      <c r="O660" t="e">
        <v>#N/A</v>
      </c>
      <c r="P660" t="e">
        <v>#N/A</v>
      </c>
    </row>
    <row r="661" spans="1:16" ht="14.4" x14ac:dyDescent="0.3">
      <c r="A661" s="313">
        <v>223524</v>
      </c>
      <c r="B661" t="str">
        <f t="shared" si="20"/>
        <v>SEVROLL Herkules zestaw okuć 60kg 3m</v>
      </c>
      <c r="C661" s="185" t="e">
        <f t="shared" si="21"/>
        <v>#N/A</v>
      </c>
      <c r="D661" s="407" t="s">
        <v>3065</v>
      </c>
      <c r="E661" s="407" t="s">
        <v>5071</v>
      </c>
      <c r="F661" s="407" t="s">
        <v>1147</v>
      </c>
      <c r="G661" s="407" t="s">
        <v>5072</v>
      </c>
      <c r="H661" s="460" t="e">
        <v>#N/A</v>
      </c>
      <c r="I661" s="460" t="e">
        <v>#N/A</v>
      </c>
      <c r="J661" s="460" t="e">
        <v>#N/A</v>
      </c>
      <c r="K661" s="460" t="e">
        <v>#N/A</v>
      </c>
      <c r="L661" s="459" t="e">
        <v>#N/A</v>
      </c>
      <c r="M661" s="314" t="s">
        <v>572</v>
      </c>
      <c r="N661" s="182">
        <v>1629.3969199999999</v>
      </c>
      <c r="O661" t="e">
        <v>#N/A</v>
      </c>
      <c r="P661" t="e">
        <v>#N/A</v>
      </c>
    </row>
    <row r="662" spans="1:16" ht="14.4" x14ac:dyDescent="0.3">
      <c r="A662" s="310">
        <v>304010</v>
      </c>
      <c r="B662" t="str">
        <f t="shared" si="20"/>
        <v>SEVROLL folia ochronna 500mm/50m przeźroczysta</v>
      </c>
      <c r="C662" s="185">
        <f t="shared" si="21"/>
        <v>238.62010000000001</v>
      </c>
      <c r="D662" s="407" t="s">
        <v>3289</v>
      </c>
      <c r="E662" s="407" t="s">
        <v>5073</v>
      </c>
      <c r="F662" s="407" t="s">
        <v>5074</v>
      </c>
      <c r="G662" s="407" t="s">
        <v>5075</v>
      </c>
      <c r="H662" s="460">
        <v>2104.3362999999999</v>
      </c>
      <c r="I662" s="460">
        <v>71.301919999999996</v>
      </c>
      <c r="J662" s="460">
        <v>238.62010000000001</v>
      </c>
      <c r="K662" s="460">
        <v>28088.810160000001</v>
      </c>
      <c r="L662" s="459" t="s">
        <v>539</v>
      </c>
      <c r="M662" s="309" t="s">
        <v>571</v>
      </c>
      <c r="N662" s="182">
        <v>1631.2900999999999</v>
      </c>
      <c r="O662">
        <v>63.448</v>
      </c>
      <c r="P662" t="s">
        <v>9311</v>
      </c>
    </row>
    <row r="663" spans="1:16" ht="14.4" x14ac:dyDescent="0.3">
      <c r="A663" s="311">
        <v>248420</v>
      </c>
      <c r="B663" t="e">
        <f t="shared" si="20"/>
        <v>#N/A</v>
      </c>
      <c r="C663" s="185" t="e">
        <f t="shared" si="21"/>
        <v>#N/A</v>
      </c>
      <c r="D663" s="407" t="e">
        <v>#N/A</v>
      </c>
      <c r="E663" s="407" t="e">
        <v>#N/A</v>
      </c>
      <c r="F663" s="407" t="e">
        <v>#N/A</v>
      </c>
      <c r="G663" s="407" t="e">
        <v>#N/A</v>
      </c>
      <c r="H663" s="460" t="e">
        <v>#N/A</v>
      </c>
      <c r="I663" s="460" t="e">
        <v>#N/A</v>
      </c>
      <c r="J663" s="460" t="e">
        <v>#N/A</v>
      </c>
      <c r="K663" s="460" t="e">
        <v>#N/A</v>
      </c>
      <c r="L663" s="459" t="e">
        <v>#N/A</v>
      </c>
      <c r="M663" s="312" t="s">
        <v>571</v>
      </c>
      <c r="N663" s="182">
        <v>1679.0644</v>
      </c>
      <c r="O663" t="e">
        <v>#N/A</v>
      </c>
      <c r="P663" t="e">
        <v>#N/A</v>
      </c>
    </row>
    <row r="664" spans="1:16" ht="14.4" x14ac:dyDescent="0.3">
      <c r="A664" s="311">
        <v>195457</v>
      </c>
      <c r="B664" t="e">
        <f t="shared" si="20"/>
        <v>#N/A</v>
      </c>
      <c r="C664" s="185" t="e">
        <f t="shared" si="21"/>
        <v>#N/A</v>
      </c>
      <c r="D664" s="407" t="e">
        <v>#N/A</v>
      </c>
      <c r="E664" s="407" t="e">
        <v>#N/A</v>
      </c>
      <c r="F664" s="407" t="e">
        <v>#N/A</v>
      </c>
      <c r="G664" s="407" t="e">
        <v>#N/A</v>
      </c>
      <c r="H664" s="460" t="e">
        <v>#N/A</v>
      </c>
      <c r="I664" s="460" t="e">
        <v>#N/A</v>
      </c>
      <c r="J664" s="460" t="e">
        <v>#N/A</v>
      </c>
      <c r="K664" s="460" t="e">
        <v>#N/A</v>
      </c>
      <c r="L664" s="459" t="e">
        <v>#N/A</v>
      </c>
      <c r="M664" s="312" t="s">
        <v>571</v>
      </c>
      <c r="N664" s="182">
        <v>1703.3616</v>
      </c>
      <c r="O664" t="e">
        <v>#N/A</v>
      </c>
      <c r="P664" t="e">
        <v>#N/A</v>
      </c>
    </row>
    <row r="665" spans="1:16" ht="14.4" x14ac:dyDescent="0.3">
      <c r="A665" s="313">
        <v>223525</v>
      </c>
      <c r="B665" t="str">
        <f t="shared" si="20"/>
        <v>SEVROLL Herkules zestaw okuć 120kg 3m</v>
      </c>
      <c r="C665" s="185" t="e">
        <f t="shared" si="21"/>
        <v>#N/A</v>
      </c>
      <c r="D665" s="407" t="s">
        <v>3066</v>
      </c>
      <c r="E665" s="407" t="s">
        <v>5076</v>
      </c>
      <c r="F665" s="407" t="s">
        <v>1154</v>
      </c>
      <c r="G665" s="407" t="s">
        <v>5077</v>
      </c>
      <c r="H665" s="460" t="e">
        <v>#N/A</v>
      </c>
      <c r="I665" s="460" t="e">
        <v>#N/A</v>
      </c>
      <c r="J665" s="460" t="e">
        <v>#N/A</v>
      </c>
      <c r="K665" s="460" t="e">
        <v>#N/A</v>
      </c>
      <c r="L665" s="459" t="e">
        <v>#N/A</v>
      </c>
      <c r="M665" s="314" t="s">
        <v>572</v>
      </c>
      <c r="N665" s="182">
        <v>1746.7740799999999</v>
      </c>
      <c r="O665" t="e">
        <v>#N/A</v>
      </c>
      <c r="P665" t="e">
        <v>#N/A</v>
      </c>
    </row>
    <row r="666" spans="1:16" ht="14.4" x14ac:dyDescent="0.3">
      <c r="A666" s="311">
        <v>195451</v>
      </c>
      <c r="B666" t="e">
        <f t="shared" si="20"/>
        <v>#N/A</v>
      </c>
      <c r="C666" s="185" t="e">
        <f t="shared" si="21"/>
        <v>#N/A</v>
      </c>
      <c r="D666" s="407" t="e">
        <v>#N/A</v>
      </c>
      <c r="E666" s="407" t="e">
        <v>#N/A</v>
      </c>
      <c r="F666" s="407" t="e">
        <v>#N/A</v>
      </c>
      <c r="G666" s="407" t="e">
        <v>#N/A</v>
      </c>
      <c r="H666" s="460" t="e">
        <v>#N/A</v>
      </c>
      <c r="I666" s="460" t="e">
        <v>#N/A</v>
      </c>
      <c r="J666" s="460" t="e">
        <v>#N/A</v>
      </c>
      <c r="K666" s="460" t="e">
        <v>#N/A</v>
      </c>
      <c r="L666" s="459" t="e">
        <v>#N/A</v>
      </c>
      <c r="M666" s="312" t="s">
        <v>571</v>
      </c>
      <c r="N666" s="182">
        <v>1801.1898000000001</v>
      </c>
      <c r="O666" t="e">
        <v>#N/A</v>
      </c>
      <c r="P666" t="e">
        <v>#N/A</v>
      </c>
    </row>
    <row r="667" spans="1:16" ht="14.4" x14ac:dyDescent="0.3">
      <c r="A667" s="311">
        <v>248459</v>
      </c>
      <c r="B667" t="e">
        <f t="shared" si="20"/>
        <v>#N/A</v>
      </c>
      <c r="C667" s="185" t="e">
        <f t="shared" si="21"/>
        <v>#N/A</v>
      </c>
      <c r="D667" s="407" t="e">
        <v>#N/A</v>
      </c>
      <c r="E667" s="407" t="e">
        <v>#N/A</v>
      </c>
      <c r="F667" s="407" t="e">
        <v>#N/A</v>
      </c>
      <c r="G667" s="407" t="e">
        <v>#N/A</v>
      </c>
      <c r="H667" s="460" t="e">
        <v>#N/A</v>
      </c>
      <c r="I667" s="460" t="e">
        <v>#N/A</v>
      </c>
      <c r="J667" s="460" t="e">
        <v>#N/A</v>
      </c>
      <c r="K667" s="460" t="e">
        <v>#N/A</v>
      </c>
      <c r="L667" s="459" t="e">
        <v>#N/A</v>
      </c>
      <c r="M667" s="312" t="s">
        <v>571</v>
      </c>
      <c r="N667" s="182">
        <v>2014.11</v>
      </c>
      <c r="O667" t="e">
        <v>#N/A</v>
      </c>
      <c r="P667" t="e">
        <v>#N/A</v>
      </c>
    </row>
    <row r="668" spans="1:16" ht="14.4" x14ac:dyDescent="0.3">
      <c r="A668" s="313">
        <v>317377</v>
      </c>
      <c r="B668" t="str">
        <f t="shared" si="20"/>
        <v>SEVROLL Herkules Glass zestaw okuć 100kg</v>
      </c>
      <c r="C668" s="185" t="e">
        <f t="shared" si="21"/>
        <v>#N/A</v>
      </c>
      <c r="D668" s="407" t="s">
        <v>3325</v>
      </c>
      <c r="E668" s="407" t="s">
        <v>5078</v>
      </c>
      <c r="F668" s="407" t="s">
        <v>5079</v>
      </c>
      <c r="G668" s="407" t="s">
        <v>5080</v>
      </c>
      <c r="H668" s="460" t="e">
        <v>#N/A</v>
      </c>
      <c r="I668" s="460" t="e">
        <v>#N/A</v>
      </c>
      <c r="J668" s="460" t="e">
        <v>#N/A</v>
      </c>
      <c r="K668" s="460" t="e">
        <v>#N/A</v>
      </c>
      <c r="L668" s="459" t="e">
        <v>#N/A</v>
      </c>
      <c r="M668" s="314" t="s">
        <v>572</v>
      </c>
      <c r="N668" s="182">
        <v>2076.1873999999998</v>
      </c>
      <c r="O668" t="e">
        <v>#N/A</v>
      </c>
      <c r="P668" t="e">
        <v>#N/A</v>
      </c>
    </row>
    <row r="669" spans="1:16" ht="14.4" x14ac:dyDescent="0.3">
      <c r="A669" s="310">
        <v>227196</v>
      </c>
      <c r="B669" t="str">
        <f t="shared" si="20"/>
        <v>SEVROLL Comfort tor górny 6m srebrny</v>
      </c>
      <c r="C669" s="185">
        <f t="shared" si="21"/>
        <v>0</v>
      </c>
      <c r="D669" s="407" t="s">
        <v>3141</v>
      </c>
      <c r="E669" s="407" t="s">
        <v>5081</v>
      </c>
      <c r="F669" s="407" t="s">
        <v>1184</v>
      </c>
      <c r="G669" s="407" t="s">
        <v>5082</v>
      </c>
      <c r="H669" s="460">
        <v>2950.7205199999999</v>
      </c>
      <c r="I669" s="460">
        <v>106.09414</v>
      </c>
      <c r="J669" s="460">
        <v>0</v>
      </c>
      <c r="K669" s="460">
        <v>40834.116679999999</v>
      </c>
      <c r="L669" s="459" t="s">
        <v>539</v>
      </c>
      <c r="M669" s="309" t="s">
        <v>571</v>
      </c>
      <c r="N669" s="182">
        <v>2099.0529000000001</v>
      </c>
      <c r="O669">
        <v>102.608</v>
      </c>
      <c r="P669" t="s">
        <v>9312</v>
      </c>
    </row>
    <row r="670" spans="1:16" ht="14.4" x14ac:dyDescent="0.3">
      <c r="A670" s="310">
        <v>212763</v>
      </c>
      <c r="B670" t="str">
        <f t="shared" si="20"/>
        <v>SEVROLL Line zestaw okuć do 2 skrzydeł lewy</v>
      </c>
      <c r="C670" s="185" t="e">
        <f t="shared" si="21"/>
        <v>#N/A</v>
      </c>
      <c r="D670" s="407" t="s">
        <v>2995</v>
      </c>
      <c r="E670" s="407" t="s">
        <v>5083</v>
      </c>
      <c r="F670" s="407" t="s">
        <v>1140</v>
      </c>
      <c r="G670" s="407" t="s">
        <v>5084</v>
      </c>
      <c r="H670" s="460" t="e">
        <v>#N/A</v>
      </c>
      <c r="I670" s="460" t="e">
        <v>#N/A</v>
      </c>
      <c r="J670" s="460" t="e">
        <v>#N/A</v>
      </c>
      <c r="K670" s="460" t="e">
        <v>#N/A</v>
      </c>
      <c r="L670" s="459" t="e">
        <v>#N/A</v>
      </c>
      <c r="M670" s="309" t="s">
        <v>572</v>
      </c>
      <c r="N670" s="182">
        <v>2215.9935999999998</v>
      </c>
      <c r="O670">
        <v>97.174000000000007</v>
      </c>
      <c r="P670" t="s">
        <v>9313</v>
      </c>
    </row>
    <row r="671" spans="1:16" ht="14.4" x14ac:dyDescent="0.3">
      <c r="A671" s="310">
        <v>212764</v>
      </c>
      <c r="B671" t="str">
        <f t="shared" si="20"/>
        <v>SEVROLL Line zestaw okuć do dwóch skrzydeł prawy</v>
      </c>
      <c r="C671" s="185">
        <f t="shared" si="21"/>
        <v>368.93400000000003</v>
      </c>
      <c r="D671" s="407" t="s">
        <v>2996</v>
      </c>
      <c r="E671" s="407" t="s">
        <v>5085</v>
      </c>
      <c r="F671" s="407" t="s">
        <v>1139</v>
      </c>
      <c r="G671" s="407" t="s">
        <v>5086</v>
      </c>
      <c r="H671" s="460">
        <v>1590.7980700000001</v>
      </c>
      <c r="I671" s="460">
        <v>57.197670000000002</v>
      </c>
      <c r="J671" s="460">
        <v>368.93400000000003</v>
      </c>
      <c r="K671" s="460">
        <v>22014.566589999999</v>
      </c>
      <c r="L671" s="459" t="s">
        <v>539</v>
      </c>
      <c r="M671" s="309" t="s">
        <v>572</v>
      </c>
      <c r="N671" s="182">
        <v>2215.9935999999998</v>
      </c>
      <c r="O671">
        <v>97.174000000000007</v>
      </c>
      <c r="P671" t="s">
        <v>9314</v>
      </c>
    </row>
    <row r="672" spans="1:16" ht="14.4" x14ac:dyDescent="0.3">
      <c r="A672" s="310">
        <v>227197</v>
      </c>
      <c r="B672" t="str">
        <f t="shared" si="20"/>
        <v>SEVROLL Comfort tor górny 6 m oliwka</v>
      </c>
      <c r="C672" s="185">
        <f t="shared" si="21"/>
        <v>0</v>
      </c>
      <c r="D672" s="407" t="s">
        <v>3142</v>
      </c>
      <c r="E672" s="407" t="s">
        <v>5087</v>
      </c>
      <c r="F672" s="407" t="s">
        <v>1185</v>
      </c>
      <c r="G672" s="407" t="s">
        <v>5088</v>
      </c>
      <c r="H672" s="460">
        <v>3686.7721999999999</v>
      </c>
      <c r="I672" s="460">
        <v>132.55912000000001</v>
      </c>
      <c r="J672" s="460">
        <v>0</v>
      </c>
      <c r="K672" s="460">
        <v>51020.110520000002</v>
      </c>
      <c r="L672" s="459" t="s">
        <v>539</v>
      </c>
      <c r="M672" s="309" t="s">
        <v>571</v>
      </c>
      <c r="N672" s="182">
        <v>2308.7622000000001</v>
      </c>
      <c r="O672">
        <v>112.86</v>
      </c>
      <c r="P672" t="s">
        <v>9315</v>
      </c>
    </row>
    <row r="673" spans="1:16" ht="14.4" x14ac:dyDescent="0.3">
      <c r="A673" s="313">
        <v>213362</v>
      </c>
      <c r="B673" t="str">
        <f t="shared" si="20"/>
        <v>SEVROLL Herkules Glass zestaw okuć 100kg + 2m</v>
      </c>
      <c r="C673" s="185" t="e">
        <f t="shared" si="21"/>
        <v>#N/A</v>
      </c>
      <c r="D673" s="407" t="s">
        <v>2998</v>
      </c>
      <c r="E673" s="407" t="s">
        <v>5089</v>
      </c>
      <c r="F673" s="407" t="s">
        <v>1161</v>
      </c>
      <c r="G673" s="407" t="s">
        <v>5090</v>
      </c>
      <c r="H673" s="460" t="e">
        <v>#N/A</v>
      </c>
      <c r="I673" s="460" t="e">
        <v>#N/A</v>
      </c>
      <c r="J673" s="460" t="e">
        <v>#N/A</v>
      </c>
      <c r="K673" s="460" t="e">
        <v>#N/A</v>
      </c>
      <c r="L673" s="459" t="e">
        <v>#N/A</v>
      </c>
      <c r="M673" s="314" t="s">
        <v>572</v>
      </c>
      <c r="N673" s="182">
        <v>2809.47912</v>
      </c>
      <c r="O673" t="e">
        <v>#N/A</v>
      </c>
      <c r="P673" t="e">
        <v>#N/A</v>
      </c>
    </row>
    <row r="674" spans="1:16" ht="14.4" x14ac:dyDescent="0.3">
      <c r="A674" s="310">
        <v>182716</v>
      </c>
      <c r="B674" t="e">
        <f t="shared" si="20"/>
        <v>#N/A</v>
      </c>
      <c r="C674" s="185" t="e">
        <f t="shared" si="21"/>
        <v>#N/A</v>
      </c>
      <c r="D674" s="407" t="e">
        <v>#N/A</v>
      </c>
      <c r="E674" s="407" t="e">
        <v>#N/A</v>
      </c>
      <c r="F674" s="407" t="e">
        <v>#N/A</v>
      </c>
      <c r="G674" s="407" t="e">
        <v>#N/A</v>
      </c>
      <c r="H674" s="460" t="e">
        <v>#N/A</v>
      </c>
      <c r="I674" s="460" t="e">
        <v>#N/A</v>
      </c>
      <c r="J674" s="460" t="e">
        <v>#N/A</v>
      </c>
      <c r="K674" s="460" t="e">
        <v>#N/A</v>
      </c>
      <c r="L674" s="459" t="e">
        <v>#N/A</v>
      </c>
      <c r="M674" s="309" t="s">
        <v>571</v>
      </c>
      <c r="N674" s="182">
        <v>3325.9503</v>
      </c>
      <c r="O674" t="e">
        <v>#N/A</v>
      </c>
      <c r="P674" t="e">
        <v>#N/A</v>
      </c>
    </row>
    <row r="675" spans="1:16" ht="14.4" x14ac:dyDescent="0.3">
      <c r="A675" s="310">
        <v>98056</v>
      </c>
      <c r="B675" t="str">
        <f t="shared" si="20"/>
        <v>SEVROLL Prince zestaw okuć do drzwi składanych 1200mm srebrny</v>
      </c>
      <c r="C675" s="185" t="e">
        <f t="shared" si="21"/>
        <v>#N/A</v>
      </c>
      <c r="D675" s="407" t="s">
        <v>2767</v>
      </c>
      <c r="E675" s="407" t="s">
        <v>5091</v>
      </c>
      <c r="F675" s="407" t="s">
        <v>5092</v>
      </c>
      <c r="G675" s="407" t="s">
        <v>5093</v>
      </c>
      <c r="H675" s="460" t="e">
        <v>#N/A</v>
      </c>
      <c r="I675" s="460" t="e">
        <v>#N/A</v>
      </c>
      <c r="J675" s="460" t="e">
        <v>#N/A</v>
      </c>
      <c r="K675" s="460" t="e">
        <v>#N/A</v>
      </c>
      <c r="L675" s="459" t="e">
        <v>#N/A</v>
      </c>
      <c r="M675" s="309" t="s">
        <v>571</v>
      </c>
      <c r="N675" s="182">
        <v>3847.5728199999999</v>
      </c>
      <c r="O675">
        <v>170.76400000000001</v>
      </c>
      <c r="P675" t="s">
        <v>9316</v>
      </c>
    </row>
    <row r="676" spans="1:16" ht="14.4" x14ac:dyDescent="0.3">
      <c r="A676" s="310">
        <v>100967</v>
      </c>
      <c r="B676" t="str">
        <f t="shared" si="20"/>
        <v>SEVROLL Maxim komplet torów dla 3 drzwi 2,5 m srebrny</v>
      </c>
      <c r="C676" s="185" t="e">
        <f t="shared" si="21"/>
        <v>#N/A</v>
      </c>
      <c r="D676" s="407" t="s">
        <v>5094</v>
      </c>
      <c r="E676" s="407" t="s">
        <v>5095</v>
      </c>
      <c r="F676" s="407" t="s">
        <v>1228</v>
      </c>
      <c r="G676" s="407" t="s">
        <v>5096</v>
      </c>
      <c r="H676" s="460" t="e">
        <v>#N/A</v>
      </c>
      <c r="I676" s="460" t="e">
        <v>#N/A</v>
      </c>
      <c r="J676" s="460" t="e">
        <v>#N/A</v>
      </c>
      <c r="K676" s="460" t="e">
        <v>#N/A</v>
      </c>
      <c r="L676" s="459" t="e">
        <v>#N/A</v>
      </c>
      <c r="M676" s="309" t="s">
        <v>571</v>
      </c>
      <c r="N676" s="182">
        <v>4762.5569999999998</v>
      </c>
      <c r="O676" t="e">
        <v>#N/A</v>
      </c>
      <c r="P676" t="e">
        <v>#N/A</v>
      </c>
    </row>
    <row r="677" spans="1:16" ht="14.4" x14ac:dyDescent="0.3">
      <c r="A677" s="310">
        <v>203857</v>
      </c>
      <c r="B677" t="str">
        <f t="shared" si="20"/>
        <v>ANB-folia ochronna 200mm/250m transparentna</v>
      </c>
      <c r="C677" s="185">
        <f t="shared" si="21"/>
        <v>325.75200000000001</v>
      </c>
      <c r="D677" s="407" t="s">
        <v>6734</v>
      </c>
      <c r="E677" s="407" t="s">
        <v>6735</v>
      </c>
      <c r="F677" s="407" t="s">
        <v>6736</v>
      </c>
      <c r="G677" s="407" t="s">
        <v>6737</v>
      </c>
      <c r="H677" s="460">
        <v>2337.9803999999999</v>
      </c>
      <c r="I677" s="460">
        <v>93.888260000000002</v>
      </c>
      <c r="J677" s="460">
        <v>325.75200000000001</v>
      </c>
      <c r="K677" s="460" t="e">
        <v>#N/A</v>
      </c>
      <c r="L677" s="459" t="s">
        <v>538</v>
      </c>
      <c r="M677" s="309" t="s">
        <v>571</v>
      </c>
      <c r="N677" s="182"/>
      <c r="O677">
        <v>62.043170000000003</v>
      </c>
      <c r="P677" t="s">
        <v>9317</v>
      </c>
    </row>
    <row r="678" spans="1:16" ht="14.4" x14ac:dyDescent="0.3">
      <c r="A678" s="310">
        <v>203859</v>
      </c>
      <c r="B678" t="str">
        <f t="shared" si="20"/>
        <v>ANB-folia ochronna 250mm/250m transparentna</v>
      </c>
      <c r="C678" s="185">
        <f t="shared" si="21"/>
        <v>407.19</v>
      </c>
      <c r="D678" s="407" t="s">
        <v>6738</v>
      </c>
      <c r="E678" s="407" t="s">
        <v>6739</v>
      </c>
      <c r="F678" s="407" t="s">
        <v>6736</v>
      </c>
      <c r="G678" s="407" t="s">
        <v>6740</v>
      </c>
      <c r="H678" s="460">
        <v>2922.4755</v>
      </c>
      <c r="I678" s="460">
        <v>117.36033999999999</v>
      </c>
      <c r="J678" s="460">
        <v>407.19</v>
      </c>
      <c r="K678" s="460" t="e">
        <v>#N/A</v>
      </c>
      <c r="L678" s="459" t="s">
        <v>538</v>
      </c>
      <c r="M678" s="309" t="s">
        <v>571</v>
      </c>
      <c r="N678" s="182"/>
      <c r="O678">
        <v>77.553960000000004</v>
      </c>
      <c r="P678" t="s">
        <v>9318</v>
      </c>
    </row>
    <row r="679" spans="1:16" ht="14.4" x14ac:dyDescent="0.3">
      <c r="A679" s="310">
        <v>203860</v>
      </c>
      <c r="B679" t="str">
        <f t="shared" si="20"/>
        <v>ANB-folia ochronna 300mm/250m transparentna</v>
      </c>
      <c r="C679" s="185">
        <f t="shared" si="21"/>
        <v>488.62799999999999</v>
      </c>
      <c r="D679" s="407" t="s">
        <v>6741</v>
      </c>
      <c r="E679" s="407" t="s">
        <v>6742</v>
      </c>
      <c r="F679" s="407" t="s">
        <v>6743</v>
      </c>
      <c r="G679" s="407" t="s">
        <v>6744</v>
      </c>
      <c r="H679" s="460">
        <v>3506.9706000000001</v>
      </c>
      <c r="I679" s="460">
        <v>140.83239</v>
      </c>
      <c r="J679" s="460">
        <v>488.62799999999999</v>
      </c>
      <c r="K679" s="460" t="e">
        <v>#N/A</v>
      </c>
      <c r="L679" s="459" t="s">
        <v>538</v>
      </c>
      <c r="M679" s="309" t="s">
        <v>571</v>
      </c>
      <c r="N679" s="182"/>
      <c r="O679">
        <v>93.064750000000004</v>
      </c>
      <c r="P679" t="s">
        <v>9319</v>
      </c>
    </row>
    <row r="680" spans="1:16" ht="14.4" x14ac:dyDescent="0.3">
      <c r="A680" s="310">
        <v>203861</v>
      </c>
      <c r="B680" t="str">
        <f t="shared" si="20"/>
        <v>ANB-folia ochronna 400mm/250m transparentna</v>
      </c>
      <c r="C680" s="185">
        <f t="shared" si="21"/>
        <v>651.50400000000002</v>
      </c>
      <c r="D680" s="407" t="s">
        <v>6745</v>
      </c>
      <c r="E680" s="407" t="s">
        <v>6746</v>
      </c>
      <c r="F680" s="407" t="s">
        <v>6747</v>
      </c>
      <c r="G680" s="407" t="s">
        <v>6748</v>
      </c>
      <c r="H680" s="460">
        <v>4675.9607999999998</v>
      </c>
      <c r="I680" s="460">
        <v>187.77653000000001</v>
      </c>
      <c r="J680" s="460">
        <v>651.50400000000002</v>
      </c>
      <c r="K680" s="460" t="e">
        <v>#N/A</v>
      </c>
      <c r="L680" s="459" t="s">
        <v>538</v>
      </c>
      <c r="M680" s="309" t="s">
        <v>571</v>
      </c>
      <c r="N680" s="182"/>
      <c r="O680">
        <v>124.08634000000001</v>
      </c>
      <c r="P680" t="s">
        <v>9318</v>
      </c>
    </row>
    <row r="681" spans="1:16" ht="14.4" x14ac:dyDescent="0.3">
      <c r="A681" s="310">
        <v>203862</v>
      </c>
      <c r="B681" t="str">
        <f t="shared" si="20"/>
        <v>ANB-folia ochronna 500mm/250m transparentna</v>
      </c>
      <c r="C681" s="185">
        <f t="shared" si="21"/>
        <v>814.38</v>
      </c>
      <c r="D681" s="407" t="s">
        <v>6749</v>
      </c>
      <c r="E681" s="407" t="s">
        <v>6750</v>
      </c>
      <c r="F681" s="407" t="s">
        <v>6751</v>
      </c>
      <c r="G681" s="407" t="s">
        <v>6752</v>
      </c>
      <c r="H681" s="460">
        <v>5844.951</v>
      </c>
      <c r="I681" s="460">
        <v>234.72066000000001</v>
      </c>
      <c r="J681" s="460">
        <v>814.38</v>
      </c>
      <c r="K681" s="460" t="e">
        <v>#N/A</v>
      </c>
      <c r="L681" s="459" t="s">
        <v>538</v>
      </c>
      <c r="M681" s="309" t="s">
        <v>571</v>
      </c>
      <c r="N681" s="182"/>
      <c r="O681">
        <v>155.10792000000001</v>
      </c>
      <c r="P681" t="s">
        <v>9320</v>
      </c>
    </row>
    <row r="682" spans="1:16" ht="14.4" x14ac:dyDescent="0.3">
      <c r="A682" s="310">
        <v>89293</v>
      </c>
      <c r="B682" t="e">
        <f t="shared" si="20"/>
        <v>#N/A</v>
      </c>
      <c r="C682" s="185" t="e">
        <f t="shared" si="21"/>
        <v>#N/A</v>
      </c>
      <c r="D682" s="407" t="e">
        <v>#N/A</v>
      </c>
      <c r="E682" s="407" t="e">
        <v>#N/A</v>
      </c>
      <c r="F682" s="407" t="e">
        <v>#N/A</v>
      </c>
      <c r="G682" s="407" t="e">
        <v>#N/A</v>
      </c>
      <c r="H682" s="460" t="e">
        <v>#N/A</v>
      </c>
      <c r="I682" s="460" t="e">
        <v>#N/A</v>
      </c>
      <c r="J682" s="460" t="e">
        <v>#N/A</v>
      </c>
      <c r="K682" s="460" t="e">
        <v>#N/A</v>
      </c>
      <c r="L682" s="459" t="e">
        <v>#N/A</v>
      </c>
      <c r="M682" s="309" t="s">
        <v>570</v>
      </c>
      <c r="N682" s="182"/>
      <c r="O682" t="e">
        <v>#N/A</v>
      </c>
      <c r="P682" t="e">
        <v>#N/A</v>
      </c>
    </row>
    <row r="683" spans="1:16" ht="14.4" x14ac:dyDescent="0.3">
      <c r="A683" s="310">
        <v>96438</v>
      </c>
      <c r="B683" t="e">
        <f t="shared" si="20"/>
        <v>#N/A</v>
      </c>
      <c r="C683" s="185" t="e">
        <f t="shared" si="21"/>
        <v>#N/A</v>
      </c>
      <c r="D683" s="407" t="e">
        <v>#N/A</v>
      </c>
      <c r="E683" s="407" t="e">
        <v>#N/A</v>
      </c>
      <c r="F683" s="407" t="e">
        <v>#N/A</v>
      </c>
      <c r="G683" s="407" t="e">
        <v>#N/A</v>
      </c>
      <c r="H683" s="460" t="e">
        <v>#N/A</v>
      </c>
      <c r="I683" s="460" t="e">
        <v>#N/A</v>
      </c>
      <c r="J683" s="460" t="e">
        <v>#N/A</v>
      </c>
      <c r="K683" s="460" t="e">
        <v>#N/A</v>
      </c>
      <c r="L683" s="459" t="e">
        <v>#N/A</v>
      </c>
      <c r="M683" s="309" t="s">
        <v>570</v>
      </c>
      <c r="N683" s="182"/>
      <c r="O683" t="e">
        <v>#N/A</v>
      </c>
      <c r="P683" t="e">
        <v>#N/A</v>
      </c>
    </row>
    <row r="684" spans="1:16" ht="14.4" x14ac:dyDescent="0.3">
      <c r="A684" s="310">
        <v>89290</v>
      </c>
      <c r="B684" t="str">
        <f t="shared" si="20"/>
        <v>OKE-szczoteczka odbojowa samoprzylepna 6,7x3mm szara</v>
      </c>
      <c r="C684" s="185">
        <f t="shared" si="21"/>
        <v>3.0701999999999998</v>
      </c>
      <c r="D684" s="407" t="s">
        <v>6765</v>
      </c>
      <c r="E684" s="407" t="s">
        <v>6766</v>
      </c>
      <c r="F684" s="407" t="s">
        <v>6767</v>
      </c>
      <c r="G684" s="407" t="s">
        <v>6768</v>
      </c>
      <c r="H684" s="460">
        <v>18.406849999999999</v>
      </c>
      <c r="I684" s="460">
        <v>0.71497999999999995</v>
      </c>
      <c r="J684" s="460">
        <v>3.0701999999999998</v>
      </c>
      <c r="K684" s="460" t="e">
        <v>#N/A</v>
      </c>
      <c r="L684" s="459" t="s">
        <v>539</v>
      </c>
      <c r="M684" s="309" t="s">
        <v>570</v>
      </c>
      <c r="N684" s="182"/>
      <c r="O684">
        <v>0.58808000000000005</v>
      </c>
      <c r="P684" t="s">
        <v>9321</v>
      </c>
    </row>
    <row r="685" spans="1:16" ht="14.4" x14ac:dyDescent="0.3">
      <c r="A685" s="310">
        <v>89291</v>
      </c>
      <c r="B685" t="str">
        <f t="shared" si="20"/>
        <v>OKE-szczoteczka odbojowa samoprzylepna 6,7x5mm szara</v>
      </c>
      <c r="C685" s="185">
        <f t="shared" si="21"/>
        <v>3.2654200000000002</v>
      </c>
      <c r="D685" s="407" t="s">
        <v>6769</v>
      </c>
      <c r="E685" s="407" t="s">
        <v>6770</v>
      </c>
      <c r="F685" s="407" t="s">
        <v>6771</v>
      </c>
      <c r="G685" s="407" t="s">
        <v>6772</v>
      </c>
      <c r="H685" s="460">
        <v>19.57723</v>
      </c>
      <c r="I685" s="460">
        <v>0.76044</v>
      </c>
      <c r="J685" s="460">
        <v>3.2654200000000002</v>
      </c>
      <c r="K685" s="460" t="e">
        <v>#N/A</v>
      </c>
      <c r="L685" s="459" t="s">
        <v>539</v>
      </c>
      <c r="M685" s="309" t="s">
        <v>570</v>
      </c>
      <c r="N685" s="182"/>
      <c r="O685">
        <v>0.62546000000000002</v>
      </c>
      <c r="P685" t="s">
        <v>9322</v>
      </c>
    </row>
    <row r="686" spans="1:16" ht="14.4" x14ac:dyDescent="0.3">
      <c r="A686" s="310">
        <v>89292</v>
      </c>
      <c r="B686" t="e">
        <f t="shared" si="20"/>
        <v>#N/A</v>
      </c>
      <c r="C686" s="185" t="e">
        <f t="shared" si="21"/>
        <v>#N/A</v>
      </c>
      <c r="D686" s="407" t="e">
        <v>#N/A</v>
      </c>
      <c r="E686" s="407" t="e">
        <v>#N/A</v>
      </c>
      <c r="F686" s="407" t="e">
        <v>#N/A</v>
      </c>
      <c r="G686" s="407" t="e">
        <v>#N/A</v>
      </c>
      <c r="H686" s="460" t="e">
        <v>#N/A</v>
      </c>
      <c r="I686" s="460" t="e">
        <v>#N/A</v>
      </c>
      <c r="J686" s="460" t="e">
        <v>#N/A</v>
      </c>
      <c r="K686" s="460" t="e">
        <v>#N/A</v>
      </c>
      <c r="L686" s="459" t="e">
        <v>#N/A</v>
      </c>
      <c r="M686" s="309" t="s">
        <v>570</v>
      </c>
      <c r="N686" s="182"/>
      <c r="O686" t="e">
        <v>#N/A</v>
      </c>
      <c r="P686" t="e">
        <v>#N/A</v>
      </c>
    </row>
    <row r="687" spans="1:16" ht="14.4" x14ac:dyDescent="0.3">
      <c r="A687" s="310">
        <v>89294</v>
      </c>
      <c r="B687" t="e">
        <f t="shared" si="20"/>
        <v>#N/A</v>
      </c>
      <c r="C687" s="185" t="e">
        <f t="shared" si="21"/>
        <v>#N/A</v>
      </c>
      <c r="D687" s="407" t="e">
        <v>#N/A</v>
      </c>
      <c r="E687" s="407" t="e">
        <v>#N/A</v>
      </c>
      <c r="F687" s="407" t="e">
        <v>#N/A</v>
      </c>
      <c r="G687" s="407" t="e">
        <v>#N/A</v>
      </c>
      <c r="H687" s="460" t="e">
        <v>#N/A</v>
      </c>
      <c r="I687" s="460" t="e">
        <v>#N/A</v>
      </c>
      <c r="J687" s="460" t="e">
        <v>#N/A</v>
      </c>
      <c r="K687" s="460" t="e">
        <v>#N/A</v>
      </c>
      <c r="L687" s="459" t="e">
        <v>#N/A</v>
      </c>
      <c r="M687" s="309" t="s">
        <v>570</v>
      </c>
      <c r="N687" s="182"/>
      <c r="O687" t="e">
        <v>#N/A</v>
      </c>
      <c r="P687" t="e">
        <v>#N/A</v>
      </c>
    </row>
    <row r="688" spans="1:16" ht="14.4" x14ac:dyDescent="0.3">
      <c r="A688" s="310">
        <v>362252</v>
      </c>
      <c r="B688" t="str">
        <f t="shared" si="20"/>
        <v>SEVROLL 2x wózek dolny WD18V bez pozycjonera ze sprężyną</v>
      </c>
      <c r="C688" s="185">
        <f t="shared" si="21"/>
        <v>24.316800000000001</v>
      </c>
      <c r="D688" s="407" t="s">
        <v>3439</v>
      </c>
      <c r="E688" s="407" t="s">
        <v>5097</v>
      </c>
      <c r="F688" s="407" t="s">
        <v>5098</v>
      </c>
      <c r="G688" s="407" t="s">
        <v>5099</v>
      </c>
      <c r="H688" s="460">
        <v>154.36919</v>
      </c>
      <c r="I688" s="460">
        <v>5.2305400000000004</v>
      </c>
      <c r="J688" s="460">
        <v>24.316800000000001</v>
      </c>
      <c r="K688" s="460">
        <v>2060.5293299999998</v>
      </c>
      <c r="L688" s="459" t="s">
        <v>538</v>
      </c>
      <c r="M688" s="309" t="s">
        <v>572</v>
      </c>
      <c r="N688" s="182"/>
      <c r="O688">
        <v>4.4219999999999997</v>
      </c>
      <c r="P688" t="s">
        <v>9323</v>
      </c>
    </row>
    <row r="689" spans="1:16" ht="14.4" x14ac:dyDescent="0.3">
      <c r="A689" s="310">
        <v>89117</v>
      </c>
      <c r="B689" t="str">
        <f t="shared" si="20"/>
        <v>SEVROLL Cleft tor dolny 1,7m jasny brąz</v>
      </c>
      <c r="C689" s="185" t="e">
        <f t="shared" si="21"/>
        <v>#N/A</v>
      </c>
      <c r="D689" s="407" t="s">
        <v>2642</v>
      </c>
      <c r="E689" s="407" t="s">
        <v>5100</v>
      </c>
      <c r="F689" s="407" t="s">
        <v>1065</v>
      </c>
      <c r="G689" s="407" t="s">
        <v>5101</v>
      </c>
      <c r="H689" s="460" t="e">
        <v>#N/A</v>
      </c>
      <c r="I689" s="460" t="e">
        <v>#N/A</v>
      </c>
      <c r="J689" s="460" t="e">
        <v>#N/A</v>
      </c>
      <c r="K689" s="460" t="e">
        <v>#N/A</v>
      </c>
      <c r="L689" s="459" t="e">
        <v>#N/A</v>
      </c>
      <c r="M689" s="309" t="s">
        <v>571</v>
      </c>
      <c r="N689" s="182"/>
      <c r="O689">
        <v>5.9748299999999999</v>
      </c>
      <c r="P689" t="s">
        <v>9324</v>
      </c>
    </row>
    <row r="690" spans="1:16" ht="14.4" x14ac:dyDescent="0.3">
      <c r="A690" s="310">
        <v>89118</v>
      </c>
      <c r="B690" t="str">
        <f t="shared" si="20"/>
        <v>SEVROLL Cleft tor dolny 1,7m srebrny</v>
      </c>
      <c r="C690" s="185" t="e">
        <f t="shared" si="21"/>
        <v>#N/A</v>
      </c>
      <c r="D690" s="407" t="s">
        <v>2643</v>
      </c>
      <c r="E690" s="407" t="s">
        <v>5102</v>
      </c>
      <c r="F690" s="407" t="s">
        <v>1064</v>
      </c>
      <c r="G690" s="407" t="s">
        <v>5103</v>
      </c>
      <c r="H690" s="460" t="e">
        <v>#N/A</v>
      </c>
      <c r="I690" s="460" t="e">
        <v>#N/A</v>
      </c>
      <c r="J690" s="460" t="e">
        <v>#N/A</v>
      </c>
      <c r="K690" s="460" t="e">
        <v>#N/A</v>
      </c>
      <c r="L690" s="459" t="e">
        <v>#N/A</v>
      </c>
      <c r="M690" s="309" t="s">
        <v>571</v>
      </c>
      <c r="N690" s="182"/>
      <c r="O690">
        <v>5.9748299999999999</v>
      </c>
      <c r="P690" t="s">
        <v>9325</v>
      </c>
    </row>
    <row r="691" spans="1:16" ht="14.4" x14ac:dyDescent="0.3">
      <c r="A691" s="310">
        <v>89116</v>
      </c>
      <c r="B691" t="str">
        <f t="shared" si="20"/>
        <v>SEVROLL Cleft tor dolny 1,7m złoty</v>
      </c>
      <c r="C691" s="185" t="e">
        <f t="shared" si="21"/>
        <v>#N/A</v>
      </c>
      <c r="D691" s="407" t="s">
        <v>2641</v>
      </c>
      <c r="E691" s="407" t="s">
        <v>5104</v>
      </c>
      <c r="F691" s="407" t="s">
        <v>5105</v>
      </c>
      <c r="G691" s="407" t="s">
        <v>5106</v>
      </c>
      <c r="H691" s="460" t="e">
        <v>#N/A</v>
      </c>
      <c r="I691" s="460" t="e">
        <v>#N/A</v>
      </c>
      <c r="J691" s="460" t="e">
        <v>#N/A</v>
      </c>
      <c r="K691" s="460" t="e">
        <v>#N/A</v>
      </c>
      <c r="L691" s="459" t="e">
        <v>#N/A</v>
      </c>
      <c r="M691" s="309" t="s">
        <v>571</v>
      </c>
      <c r="N691" s="182"/>
      <c r="O691" t="e">
        <v>#N/A</v>
      </c>
      <c r="P691" t="e">
        <v>#N/A</v>
      </c>
    </row>
    <row r="692" spans="1:16" ht="14.4" x14ac:dyDescent="0.3">
      <c r="A692" s="310">
        <v>89120</v>
      </c>
      <c r="B692" t="e">
        <f t="shared" si="20"/>
        <v>#N/A</v>
      </c>
      <c r="C692" s="185" t="e">
        <f t="shared" si="21"/>
        <v>#N/A</v>
      </c>
      <c r="D692" s="407" t="e">
        <v>#N/A</v>
      </c>
      <c r="E692" s="407" t="e">
        <v>#N/A</v>
      </c>
      <c r="F692" s="407" t="e">
        <v>#N/A</v>
      </c>
      <c r="G692" s="407" t="e">
        <v>#N/A</v>
      </c>
      <c r="H692" s="460" t="e">
        <v>#N/A</v>
      </c>
      <c r="I692" s="460" t="e">
        <v>#N/A</v>
      </c>
      <c r="J692" s="460" t="e">
        <v>#N/A</v>
      </c>
      <c r="K692" s="460" t="e">
        <v>#N/A</v>
      </c>
      <c r="L692" s="459" t="e">
        <v>#N/A</v>
      </c>
      <c r="M692" s="309" t="s">
        <v>571</v>
      </c>
      <c r="N692" s="182"/>
      <c r="O692" t="e">
        <v>#N/A</v>
      </c>
      <c r="P692" t="e">
        <v>#N/A</v>
      </c>
    </row>
    <row r="693" spans="1:16" ht="14.4" x14ac:dyDescent="0.3">
      <c r="A693" s="310">
        <v>89121</v>
      </c>
      <c r="B693" t="e">
        <f t="shared" si="20"/>
        <v>#N/A</v>
      </c>
      <c r="C693" s="185" t="e">
        <f t="shared" si="21"/>
        <v>#N/A</v>
      </c>
      <c r="D693" s="407" t="e">
        <v>#N/A</v>
      </c>
      <c r="E693" s="407" t="e">
        <v>#N/A</v>
      </c>
      <c r="F693" s="407" t="e">
        <v>#N/A</v>
      </c>
      <c r="G693" s="407" t="e">
        <v>#N/A</v>
      </c>
      <c r="H693" s="460" t="e">
        <v>#N/A</v>
      </c>
      <c r="I693" s="460" t="e">
        <v>#N/A</v>
      </c>
      <c r="J693" s="460" t="e">
        <v>#N/A</v>
      </c>
      <c r="K693" s="460" t="e">
        <v>#N/A</v>
      </c>
      <c r="L693" s="459" t="e">
        <v>#N/A</v>
      </c>
      <c r="M693" s="309" t="s">
        <v>571</v>
      </c>
      <c r="N693" s="182"/>
      <c r="O693" t="e">
        <v>#N/A</v>
      </c>
      <c r="P693" t="e">
        <v>#N/A</v>
      </c>
    </row>
    <row r="694" spans="1:16" ht="14.4" x14ac:dyDescent="0.3">
      <c r="A694" s="310">
        <v>89123</v>
      </c>
      <c r="B694" t="e">
        <f t="shared" si="20"/>
        <v>#N/A</v>
      </c>
      <c r="C694" s="185" t="e">
        <f t="shared" si="21"/>
        <v>#N/A</v>
      </c>
      <c r="D694" s="407" t="e">
        <v>#N/A</v>
      </c>
      <c r="E694" s="407" t="e">
        <v>#N/A</v>
      </c>
      <c r="F694" s="407" t="e">
        <v>#N/A</v>
      </c>
      <c r="G694" s="407" t="e">
        <v>#N/A</v>
      </c>
      <c r="H694" s="460" t="e">
        <v>#N/A</v>
      </c>
      <c r="I694" s="460" t="e">
        <v>#N/A</v>
      </c>
      <c r="J694" s="460" t="e">
        <v>#N/A</v>
      </c>
      <c r="K694" s="460" t="e">
        <v>#N/A</v>
      </c>
      <c r="L694" s="459" t="e">
        <v>#N/A</v>
      </c>
      <c r="M694" s="309" t="s">
        <v>571</v>
      </c>
      <c r="N694" s="182"/>
      <c r="O694" t="e">
        <v>#N/A</v>
      </c>
      <c r="P694" t="e">
        <v>#N/A</v>
      </c>
    </row>
    <row r="695" spans="1:16" ht="14.4" x14ac:dyDescent="0.3">
      <c r="A695" s="310">
        <v>89124</v>
      </c>
      <c r="B695" t="e">
        <f t="shared" si="20"/>
        <v>#N/A</v>
      </c>
      <c r="C695" s="185" t="e">
        <f t="shared" si="21"/>
        <v>#N/A</v>
      </c>
      <c r="D695" s="407" t="e">
        <v>#N/A</v>
      </c>
      <c r="E695" s="407" t="e">
        <v>#N/A</v>
      </c>
      <c r="F695" s="407" t="e">
        <v>#N/A</v>
      </c>
      <c r="G695" s="407" t="e">
        <v>#N/A</v>
      </c>
      <c r="H695" s="460" t="e">
        <v>#N/A</v>
      </c>
      <c r="I695" s="460" t="e">
        <v>#N/A</v>
      </c>
      <c r="J695" s="460" t="e">
        <v>#N/A</v>
      </c>
      <c r="K695" s="460" t="e">
        <v>#N/A</v>
      </c>
      <c r="L695" s="459" t="e">
        <v>#N/A</v>
      </c>
      <c r="M695" s="309" t="s">
        <v>571</v>
      </c>
      <c r="N695" s="182"/>
      <c r="O695" t="e">
        <v>#N/A</v>
      </c>
      <c r="P695" t="e">
        <v>#N/A</v>
      </c>
    </row>
    <row r="696" spans="1:16" ht="14.4" x14ac:dyDescent="0.3">
      <c r="A696" s="310">
        <v>89122</v>
      </c>
      <c r="B696" t="str">
        <f t="shared" si="20"/>
        <v>SEVROLL Cleft tor dolny 3m złoty</v>
      </c>
      <c r="C696" s="185" t="e">
        <f t="shared" si="21"/>
        <v>#N/A</v>
      </c>
      <c r="D696" s="407" t="s">
        <v>2644</v>
      </c>
      <c r="E696" s="407" t="s">
        <v>5107</v>
      </c>
      <c r="F696" s="407" t="s">
        <v>1063</v>
      </c>
      <c r="G696" s="407" t="s">
        <v>5108</v>
      </c>
      <c r="H696" s="460" t="e">
        <v>#N/A</v>
      </c>
      <c r="I696" s="460" t="e">
        <v>#N/A</v>
      </c>
      <c r="J696" s="460" t="e">
        <v>#N/A</v>
      </c>
      <c r="K696" s="460" t="e">
        <v>#N/A</v>
      </c>
      <c r="L696" s="459" t="e">
        <v>#N/A</v>
      </c>
      <c r="M696" s="309" t="s">
        <v>571</v>
      </c>
      <c r="N696" s="182"/>
      <c r="O696" t="e">
        <v>#N/A</v>
      </c>
      <c r="P696" t="e">
        <v>#N/A</v>
      </c>
    </row>
    <row r="697" spans="1:16" ht="14.4" x14ac:dyDescent="0.3">
      <c r="A697" s="310">
        <v>89126</v>
      </c>
      <c r="B697" t="e">
        <f t="shared" si="20"/>
        <v>#N/A</v>
      </c>
      <c r="C697" s="185" t="e">
        <f t="shared" si="21"/>
        <v>#N/A</v>
      </c>
      <c r="D697" s="407" t="e">
        <v>#N/A</v>
      </c>
      <c r="E697" s="407" t="e">
        <v>#N/A</v>
      </c>
      <c r="F697" s="407" t="e">
        <v>#N/A</v>
      </c>
      <c r="G697" s="407" t="e">
        <v>#N/A</v>
      </c>
      <c r="H697" s="460" t="e">
        <v>#N/A</v>
      </c>
      <c r="I697" s="460" t="e">
        <v>#N/A</v>
      </c>
      <c r="J697" s="460" t="e">
        <v>#N/A</v>
      </c>
      <c r="K697" s="460" t="e">
        <v>#N/A</v>
      </c>
      <c r="L697" s="459" t="e">
        <v>#N/A</v>
      </c>
      <c r="M697" s="309" t="s">
        <v>571</v>
      </c>
      <c r="N697" s="182"/>
      <c r="O697" t="e">
        <v>#N/A</v>
      </c>
      <c r="P697" t="e">
        <v>#N/A</v>
      </c>
    </row>
    <row r="698" spans="1:16" ht="14.4" x14ac:dyDescent="0.3">
      <c r="A698" s="310">
        <v>89127</v>
      </c>
      <c r="B698" t="e">
        <f t="shared" si="20"/>
        <v>#N/A</v>
      </c>
      <c r="C698" s="185" t="e">
        <f t="shared" si="21"/>
        <v>#N/A</v>
      </c>
      <c r="D698" s="407" t="e">
        <v>#N/A</v>
      </c>
      <c r="E698" s="407" t="e">
        <v>#N/A</v>
      </c>
      <c r="F698" s="407" t="e">
        <v>#N/A</v>
      </c>
      <c r="G698" s="407" t="e">
        <v>#N/A</v>
      </c>
      <c r="H698" s="460" t="e">
        <v>#N/A</v>
      </c>
      <c r="I698" s="460" t="e">
        <v>#N/A</v>
      </c>
      <c r="J698" s="460" t="e">
        <v>#N/A</v>
      </c>
      <c r="K698" s="460" t="e">
        <v>#N/A</v>
      </c>
      <c r="L698" s="459" t="e">
        <v>#N/A</v>
      </c>
      <c r="M698" s="309" t="s">
        <v>571</v>
      </c>
      <c r="N698" s="182"/>
      <c r="O698" t="e">
        <v>#N/A</v>
      </c>
      <c r="P698" t="e">
        <v>#N/A</v>
      </c>
    </row>
    <row r="699" spans="1:16" ht="14.4" x14ac:dyDescent="0.3">
      <c r="A699" s="310">
        <v>89125</v>
      </c>
      <c r="B699" t="str">
        <f t="shared" si="20"/>
        <v>SEVROLL Cleft tor dolny 4,05m złoty</v>
      </c>
      <c r="C699" s="185" t="e">
        <f t="shared" si="21"/>
        <v>#N/A</v>
      </c>
      <c r="D699" s="407" t="s">
        <v>2645</v>
      </c>
      <c r="E699" s="407" t="s">
        <v>5109</v>
      </c>
      <c r="F699" s="407" t="s">
        <v>1062</v>
      </c>
      <c r="G699" s="407" t="s">
        <v>5110</v>
      </c>
      <c r="H699" s="460" t="e">
        <v>#N/A</v>
      </c>
      <c r="I699" s="460" t="e">
        <v>#N/A</v>
      </c>
      <c r="J699" s="460" t="e">
        <v>#N/A</v>
      </c>
      <c r="K699" s="460" t="e">
        <v>#N/A</v>
      </c>
      <c r="L699" s="459" t="e">
        <v>#N/A</v>
      </c>
      <c r="M699" s="309" t="s">
        <v>571</v>
      </c>
      <c r="N699" s="182"/>
      <c r="O699" t="e">
        <v>#N/A</v>
      </c>
      <c r="P699" t="e">
        <v>#N/A</v>
      </c>
    </row>
    <row r="700" spans="1:16" ht="14.4" x14ac:dyDescent="0.3">
      <c r="A700" s="310">
        <v>135115</v>
      </c>
      <c r="B700" t="str">
        <f t="shared" si="20"/>
        <v>SEVROLL Cleft tor dolny 6m srebrny</v>
      </c>
      <c r="C700" s="185" t="e">
        <f t="shared" si="21"/>
        <v>#N/A</v>
      </c>
      <c r="D700" s="407" t="s">
        <v>2846</v>
      </c>
      <c r="E700" s="407" t="s">
        <v>5111</v>
      </c>
      <c r="F700" s="407" t="s">
        <v>1061</v>
      </c>
      <c r="G700" s="407" t="s">
        <v>5112</v>
      </c>
      <c r="H700" s="460" t="e">
        <v>#N/A</v>
      </c>
      <c r="I700" s="460" t="e">
        <v>#N/A</v>
      </c>
      <c r="J700" s="460" t="e">
        <v>#N/A</v>
      </c>
      <c r="K700" s="460" t="e">
        <v>#N/A</v>
      </c>
      <c r="L700" s="459" t="e">
        <v>#N/A</v>
      </c>
      <c r="M700" s="309" t="s">
        <v>571</v>
      </c>
      <c r="N700" s="182"/>
      <c r="O700">
        <v>0</v>
      </c>
      <c r="P700" t="s">
        <v>9326</v>
      </c>
    </row>
    <row r="701" spans="1:16" ht="14.4" x14ac:dyDescent="0.3">
      <c r="A701" s="310">
        <v>89284</v>
      </c>
      <c r="B701" t="str">
        <f t="shared" si="20"/>
        <v>SEVROLL szczotka odbojowa z klejem 4,8x4 mm, szara</v>
      </c>
      <c r="C701" s="185">
        <f t="shared" si="21"/>
        <v>0.76500000000000001</v>
      </c>
      <c r="D701" s="407" t="s">
        <v>2690</v>
      </c>
      <c r="E701" s="407" t="s">
        <v>5113</v>
      </c>
      <c r="F701" s="407" t="s">
        <v>1258</v>
      </c>
      <c r="G701" s="407" t="s">
        <v>5114</v>
      </c>
      <c r="H701" s="460">
        <v>5.7114900000000004</v>
      </c>
      <c r="I701" s="460">
        <v>0.18564</v>
      </c>
      <c r="J701" s="460">
        <v>0.76500000000000001</v>
      </c>
      <c r="K701" s="460">
        <v>81.360140000000001</v>
      </c>
      <c r="L701" s="459" t="s">
        <v>538</v>
      </c>
      <c r="M701" s="309" t="s">
        <v>570</v>
      </c>
      <c r="N701" s="182"/>
      <c r="O701">
        <v>0.10365000000000001</v>
      </c>
      <c r="P701" t="s">
        <v>9327</v>
      </c>
    </row>
    <row r="702" spans="1:16" ht="14.4" x14ac:dyDescent="0.3">
      <c r="A702" s="310">
        <v>210545</v>
      </c>
      <c r="B702" t="str">
        <f t="shared" si="20"/>
        <v>SEV-Szczotka odbojowa z klejem 4,8x4mm, szara</v>
      </c>
      <c r="C702" s="185" t="e">
        <f t="shared" si="21"/>
        <v>#N/A</v>
      </c>
      <c r="D702" s="407" t="s">
        <v>2690</v>
      </c>
      <c r="E702" s="407" t="s">
        <v>5113</v>
      </c>
      <c r="F702" s="407" t="s">
        <v>5115</v>
      </c>
      <c r="G702" s="407" t="s">
        <v>5116</v>
      </c>
      <c r="H702" s="460" t="e">
        <v>#N/A</v>
      </c>
      <c r="I702" s="460" t="e">
        <v>#N/A</v>
      </c>
      <c r="J702" s="460" t="e">
        <v>#N/A</v>
      </c>
      <c r="K702" s="460" t="e">
        <v>#N/A</v>
      </c>
      <c r="L702" s="459" t="e">
        <v>#N/A</v>
      </c>
      <c r="M702" s="309" t="s">
        <v>570</v>
      </c>
      <c r="N702" s="182"/>
      <c r="O702" t="e">
        <v>#N/A</v>
      </c>
      <c r="P702" t="e">
        <v>#N/A</v>
      </c>
    </row>
    <row r="703" spans="1:16" ht="14.4" x14ac:dyDescent="0.3">
      <c r="A703" s="310">
        <v>308639</v>
      </c>
      <c r="B703" t="str">
        <f t="shared" si="20"/>
        <v>SEVROLL szczotka przeciwkurzowa z klejem 6,7x13mm szara</v>
      </c>
      <c r="C703" s="185">
        <f t="shared" si="21"/>
        <v>1.2647999999999999</v>
      </c>
      <c r="D703" s="407" t="s">
        <v>1191</v>
      </c>
      <c r="E703" s="407" t="s">
        <v>5117</v>
      </c>
      <c r="F703" s="407" t="s">
        <v>1192</v>
      </c>
      <c r="G703" s="407" t="s">
        <v>5118</v>
      </c>
      <c r="H703" s="460">
        <v>10.475239999999999</v>
      </c>
      <c r="I703" s="460">
        <v>0.34048</v>
      </c>
      <c r="J703" s="460">
        <v>1.2647999999999999</v>
      </c>
      <c r="K703" s="460">
        <v>149.22027</v>
      </c>
      <c r="L703" s="459" t="s">
        <v>538</v>
      </c>
      <c r="M703" s="309" t="s">
        <v>570</v>
      </c>
      <c r="N703" s="182"/>
      <c r="O703">
        <v>0.19009999999999999</v>
      </c>
      <c r="P703" t="s">
        <v>9328</v>
      </c>
    </row>
    <row r="704" spans="1:16" ht="14.4" x14ac:dyDescent="0.3">
      <c r="A704" s="310">
        <v>89131</v>
      </c>
      <c r="B704" t="str">
        <f t="shared" si="20"/>
        <v>SEVROLL szczotka odbojowa z klejem 6,7x4 mm, szara</v>
      </c>
      <c r="C704" s="185">
        <f t="shared" si="21"/>
        <v>1.0506</v>
      </c>
      <c r="D704" s="407" t="s">
        <v>1180</v>
      </c>
      <c r="E704" s="407" t="s">
        <v>5119</v>
      </c>
      <c r="F704" s="407" t="s">
        <v>1193</v>
      </c>
      <c r="G704" s="407" t="s">
        <v>5120</v>
      </c>
      <c r="H704" s="460">
        <v>6.2927099999999996</v>
      </c>
      <c r="I704" s="460">
        <v>0.20458000000000001</v>
      </c>
      <c r="J704" s="460">
        <v>1.0506</v>
      </c>
      <c r="K704" s="460">
        <v>89.639870000000002</v>
      </c>
      <c r="L704" s="459" t="s">
        <v>538</v>
      </c>
      <c r="M704" s="309" t="s">
        <v>570</v>
      </c>
      <c r="N704" s="182"/>
      <c r="O704">
        <v>0.1142</v>
      </c>
      <c r="P704" t="s">
        <v>9329</v>
      </c>
    </row>
    <row r="705" spans="1:16" ht="14.4" x14ac:dyDescent="0.3">
      <c r="A705" s="310">
        <v>361759</v>
      </c>
      <c r="B705" t="str">
        <f t="shared" si="20"/>
        <v>SEVROLL 20143-SV szczotka odbojowa z klejem 6,7x9mm szara</v>
      </c>
      <c r="C705" s="185">
        <f t="shared" si="21"/>
        <v>1.581</v>
      </c>
      <c r="D705" s="407" t="s">
        <v>5121</v>
      </c>
      <c r="E705" s="407" t="s">
        <v>5122</v>
      </c>
      <c r="F705" s="407" t="s">
        <v>5123</v>
      </c>
      <c r="G705" s="407" t="s">
        <v>5124</v>
      </c>
      <c r="H705" s="460">
        <v>11.520099999999999</v>
      </c>
      <c r="I705" s="460">
        <v>0.39034000000000002</v>
      </c>
      <c r="J705" s="460">
        <v>1.581</v>
      </c>
      <c r="K705" s="460">
        <v>153.77086</v>
      </c>
      <c r="L705" s="459" t="s">
        <v>538</v>
      </c>
      <c r="M705" s="309" t="s">
        <v>570</v>
      </c>
      <c r="N705" s="182"/>
      <c r="O705">
        <v>0.374</v>
      </c>
      <c r="P705" t="s">
        <v>9330</v>
      </c>
    </row>
    <row r="706" spans="1:16" ht="14.4" x14ac:dyDescent="0.3">
      <c r="A706" s="310">
        <v>98067</v>
      </c>
      <c r="B706" t="str">
        <f t="shared" si="20"/>
        <v>SEVROLL szczotka odbojowa zasuwana 14,5x4 mm</v>
      </c>
      <c r="C706" s="185">
        <f t="shared" si="21"/>
        <v>1.224</v>
      </c>
      <c r="D706" s="407" t="s">
        <v>2773</v>
      </c>
      <c r="E706" s="407" t="s">
        <v>5125</v>
      </c>
      <c r="F706" s="407" t="s">
        <v>5126</v>
      </c>
      <c r="G706" s="407" t="s">
        <v>5127</v>
      </c>
      <c r="H706" s="460">
        <v>6.8234399999999997</v>
      </c>
      <c r="I706" s="460">
        <v>0.2218</v>
      </c>
      <c r="J706" s="460">
        <v>1.224</v>
      </c>
      <c r="K706" s="460">
        <v>97.2</v>
      </c>
      <c r="L706" s="459" t="s">
        <v>538</v>
      </c>
      <c r="M706" s="309" t="s">
        <v>570</v>
      </c>
      <c r="N706" s="182"/>
      <c r="O706">
        <v>0.12383</v>
      </c>
      <c r="P706" t="s">
        <v>9331</v>
      </c>
    </row>
    <row r="707" spans="1:16" ht="14.4" x14ac:dyDescent="0.3">
      <c r="A707" s="310">
        <v>245792</v>
      </c>
      <c r="B707" t="str">
        <f t="shared" si="20"/>
        <v>SEVROLL szczotka odbojowa bez kleju 14,5x4 mm, 50 m</v>
      </c>
      <c r="C707" s="185">
        <f t="shared" si="21"/>
        <v>68.401200000000003</v>
      </c>
      <c r="D707" s="407" t="s">
        <v>3182</v>
      </c>
      <c r="E707" s="407" t="s">
        <v>5128</v>
      </c>
      <c r="F707" s="407" t="s">
        <v>5129</v>
      </c>
      <c r="G707" s="407" t="s">
        <v>5130</v>
      </c>
      <c r="H707" s="460">
        <v>454.65951999999999</v>
      </c>
      <c r="I707" s="460">
        <v>15.405379999999999</v>
      </c>
      <c r="J707" s="460">
        <v>68.401200000000003</v>
      </c>
      <c r="K707" s="460">
        <v>6068.8232900000003</v>
      </c>
      <c r="L707" s="459" t="s">
        <v>539</v>
      </c>
      <c r="M707" s="309" t="s">
        <v>571</v>
      </c>
      <c r="N707" s="182"/>
      <c r="O707">
        <v>15.246</v>
      </c>
      <c r="P707" t="s">
        <v>9332</v>
      </c>
    </row>
    <row r="708" spans="1:16" ht="14.4" x14ac:dyDescent="0.3">
      <c r="A708" s="310">
        <v>229433</v>
      </c>
      <c r="B708" t="str">
        <f t="shared" ref="B708:B771" si="22">IF($A$2=1,D708,IF($A$2=2,F708,IF($A$2=3,G708,IF($A$2=4,E708,IF($A$2&gt;4,P708,"zadat jazyk")))))</f>
        <v>SEVROLL szczotka odbojowa bez kleju 4,8x4mm</v>
      </c>
      <c r="C708" s="185">
        <f t="shared" ref="C708:C771" si="23">IF($A$2=1,H708,IF($A$2=2,I708,IF($A$2=3,J708,IF($A$2=4,K708,IF($A$2&gt;4,O708,"zadat jazyk")))))</f>
        <v>0.35</v>
      </c>
      <c r="D708" s="407" t="s">
        <v>3152</v>
      </c>
      <c r="E708" s="407" t="s">
        <v>5131</v>
      </c>
      <c r="F708" s="407" t="s">
        <v>5132</v>
      </c>
      <c r="G708" s="407" t="s">
        <v>5133</v>
      </c>
      <c r="H708" s="460">
        <v>3.45</v>
      </c>
      <c r="I708" s="460">
        <v>0.13</v>
      </c>
      <c r="J708" s="460">
        <v>0.35</v>
      </c>
      <c r="K708" s="460">
        <v>35.639870000000002</v>
      </c>
      <c r="L708" s="459" t="s">
        <v>538</v>
      </c>
      <c r="M708" s="309" t="s">
        <v>570</v>
      </c>
      <c r="N708" s="182"/>
      <c r="O708">
        <v>4.5400000000000003E-2</v>
      </c>
      <c r="P708" t="s">
        <v>9333</v>
      </c>
    </row>
    <row r="709" spans="1:16" ht="14.4" x14ac:dyDescent="0.3">
      <c r="A709" s="310">
        <v>305137</v>
      </c>
      <c r="B709" t="str">
        <f t="shared" si="22"/>
        <v>SEVROLL szczotka odbojowa bez kleju 4,8x4mm biała</v>
      </c>
      <c r="C709" s="185">
        <f t="shared" si="23"/>
        <v>0.59363999999999995</v>
      </c>
      <c r="D709" s="407" t="s">
        <v>3290</v>
      </c>
      <c r="E709" s="407" t="s">
        <v>5134</v>
      </c>
      <c r="F709" s="407" t="s">
        <v>5135</v>
      </c>
      <c r="G709" s="407" t="s">
        <v>5136</v>
      </c>
      <c r="H709" s="460">
        <v>4.6080500000000004</v>
      </c>
      <c r="I709" s="460">
        <v>0.15629999999999999</v>
      </c>
      <c r="J709" s="460">
        <v>0.59363999999999995</v>
      </c>
      <c r="K709" s="460">
        <v>61.50817</v>
      </c>
      <c r="L709" s="459" t="s">
        <v>538</v>
      </c>
      <c r="M709" s="309" t="s">
        <v>570</v>
      </c>
      <c r="N709" s="182"/>
      <c r="O709">
        <v>0.15576000000000001</v>
      </c>
      <c r="P709" t="s">
        <v>9334</v>
      </c>
    </row>
    <row r="710" spans="1:16" ht="14.4" x14ac:dyDescent="0.3">
      <c r="A710" s="310">
        <v>196947</v>
      </c>
      <c r="B710" t="str">
        <f t="shared" si="22"/>
        <v>SEVROLL szczotka odbojowa bez kleju 4,8x6mm</v>
      </c>
      <c r="C710" s="185">
        <f t="shared" si="23"/>
        <v>0.54059999999999997</v>
      </c>
      <c r="D710" s="407" t="s">
        <v>2943</v>
      </c>
      <c r="E710" s="407" t="s">
        <v>5137</v>
      </c>
      <c r="F710" s="407" t="s">
        <v>5138</v>
      </c>
      <c r="G710" s="407" t="s">
        <v>5139</v>
      </c>
      <c r="H710" s="460">
        <v>4.0809699999999998</v>
      </c>
      <c r="I710" s="460">
        <v>0.13933000000000001</v>
      </c>
      <c r="J710" s="460">
        <v>0.54059999999999997</v>
      </c>
      <c r="K710" s="460">
        <v>54.202759999999998</v>
      </c>
      <c r="L710" s="459" t="s">
        <v>538</v>
      </c>
      <c r="M710" s="309" t="s">
        <v>570</v>
      </c>
      <c r="N710" s="182"/>
      <c r="O710">
        <v>0.13200000000000001</v>
      </c>
      <c r="P710" t="s">
        <v>9335</v>
      </c>
    </row>
    <row r="711" spans="1:16" ht="14.4" x14ac:dyDescent="0.3">
      <c r="A711" s="310">
        <v>305348</v>
      </c>
      <c r="B711" t="str">
        <f t="shared" si="22"/>
        <v>SEVROLL szczotka przeciw kurzowa bez kleju 4,8x9 mm, szara</v>
      </c>
      <c r="C711" s="185">
        <f t="shared" si="23"/>
        <v>0.89759999999999995</v>
      </c>
      <c r="D711" s="407" t="s">
        <v>3291</v>
      </c>
      <c r="E711" s="407" t="s">
        <v>5140</v>
      </c>
      <c r="F711" s="407" t="s">
        <v>3291</v>
      </c>
      <c r="G711" s="407" t="s">
        <v>5141</v>
      </c>
      <c r="H711" s="460">
        <v>6.9120600000000003</v>
      </c>
      <c r="I711" s="460">
        <v>0.23419999999999999</v>
      </c>
      <c r="J711" s="460">
        <v>0.89759999999999995</v>
      </c>
      <c r="K711" s="460">
        <v>92.262690000000006</v>
      </c>
      <c r="L711" s="459" t="s">
        <v>538</v>
      </c>
      <c r="M711" s="309" t="s">
        <v>570</v>
      </c>
      <c r="N711" s="182"/>
      <c r="O711">
        <v>0.22</v>
      </c>
      <c r="P711" t="s">
        <v>9336</v>
      </c>
    </row>
    <row r="712" spans="1:16" ht="14.4" x14ac:dyDescent="0.3">
      <c r="A712" s="310">
        <v>306523</v>
      </c>
      <c r="B712" t="str">
        <f t="shared" si="22"/>
        <v>SEVROLL szczotka odbojowa bez kleju 14x4mm biała</v>
      </c>
      <c r="C712" s="185">
        <f t="shared" si="23"/>
        <v>1.43</v>
      </c>
      <c r="D712" s="407" t="s">
        <v>3293</v>
      </c>
      <c r="E712" s="407" t="s">
        <v>5142</v>
      </c>
      <c r="F712" s="407" t="s">
        <v>5143</v>
      </c>
      <c r="G712" s="407" t="s">
        <v>5144</v>
      </c>
      <c r="H712" s="460">
        <v>11.520099999999999</v>
      </c>
      <c r="I712" s="460">
        <v>0.39034000000000002</v>
      </c>
      <c r="J712" s="460">
        <v>1.43</v>
      </c>
      <c r="K712" s="460">
        <v>149.05521999999999</v>
      </c>
      <c r="L712" s="459" t="s">
        <v>538</v>
      </c>
      <c r="M712" s="309" t="s">
        <v>570</v>
      </c>
      <c r="N712" s="182"/>
      <c r="O712">
        <v>0.37444</v>
      </c>
      <c r="P712" t="s">
        <v>9337</v>
      </c>
    </row>
    <row r="713" spans="1:16" ht="14.4" x14ac:dyDescent="0.3">
      <c r="A713" s="310">
        <v>276744</v>
      </c>
      <c r="B713" t="str">
        <f t="shared" si="22"/>
        <v>SEVROLL Elegant II tor dolny 1,7 m, biały połysk</v>
      </c>
      <c r="C713" s="185">
        <f t="shared" si="23"/>
        <v>40.698</v>
      </c>
      <c r="D713" s="407" t="s">
        <v>3218</v>
      </c>
      <c r="E713" s="407" t="s">
        <v>5145</v>
      </c>
      <c r="F713" s="407" t="s">
        <v>5146</v>
      </c>
      <c r="G713" s="407" t="s">
        <v>5147</v>
      </c>
      <c r="H713" s="460">
        <v>301.80291999999997</v>
      </c>
      <c r="I713" s="460">
        <v>10.851419999999999</v>
      </c>
      <c r="J713" s="460">
        <v>40.698</v>
      </c>
      <c r="K713" s="460">
        <v>4176.5579900000002</v>
      </c>
      <c r="L713" s="459" t="s">
        <v>538</v>
      </c>
      <c r="M713" s="309" t="s">
        <v>571</v>
      </c>
      <c r="N713" s="182"/>
      <c r="O713">
        <v>10.714</v>
      </c>
      <c r="P713" t="s">
        <v>9338</v>
      </c>
    </row>
    <row r="714" spans="1:16" ht="14.4" x14ac:dyDescent="0.3">
      <c r="A714" s="310">
        <v>205090</v>
      </c>
      <c r="B714" t="str">
        <f t="shared" si="22"/>
        <v>SEVROLL Elegant II tor dolny 1,7 m czarny szczotkowany</v>
      </c>
      <c r="C714" s="185">
        <f t="shared" si="23"/>
        <v>55.386000000000003</v>
      </c>
      <c r="D714" s="407" t="s">
        <v>2960</v>
      </c>
      <c r="E714" s="407" t="s">
        <v>5148</v>
      </c>
      <c r="F714" s="407" t="s">
        <v>5149</v>
      </c>
      <c r="G714" s="407" t="s">
        <v>5150</v>
      </c>
      <c r="H714" s="460">
        <v>432.07754999999997</v>
      </c>
      <c r="I714" s="460">
        <v>15.535489999999999</v>
      </c>
      <c r="J714" s="460">
        <v>55.386000000000003</v>
      </c>
      <c r="K714" s="460">
        <v>5979.3887400000003</v>
      </c>
      <c r="L714" s="459" t="s">
        <v>538</v>
      </c>
      <c r="M714" s="309" t="s">
        <v>571</v>
      </c>
      <c r="N714" s="182"/>
      <c r="O714">
        <v>13.816000000000001</v>
      </c>
      <c r="P714" t="s">
        <v>9339</v>
      </c>
    </row>
    <row r="715" spans="1:16" ht="14.4" x14ac:dyDescent="0.3">
      <c r="A715" s="310">
        <v>318666</v>
      </c>
      <c r="B715" t="str">
        <f t="shared" si="22"/>
        <v>SEVROLL Elegant II tor dolny 1,7 m, jasny brąz</v>
      </c>
      <c r="C715" s="185">
        <f t="shared" si="23"/>
        <v>39.086399999999998</v>
      </c>
      <c r="D715" s="407" t="s">
        <v>3339</v>
      </c>
      <c r="E715" s="407" t="s">
        <v>5151</v>
      </c>
      <c r="F715" s="407" t="s">
        <v>5152</v>
      </c>
      <c r="G715" s="407" t="s">
        <v>5153</v>
      </c>
      <c r="H715" s="460">
        <v>289.49919</v>
      </c>
      <c r="I715" s="460">
        <v>10.39603</v>
      </c>
      <c r="J715" s="460">
        <v>39.086399999999998</v>
      </c>
      <c r="K715" s="460">
        <v>4006.2905700000001</v>
      </c>
      <c r="L715" s="459" t="s">
        <v>538</v>
      </c>
      <c r="M715" s="309" t="s">
        <v>571</v>
      </c>
      <c r="N715" s="182"/>
      <c r="O715">
        <v>9.8559999999999999</v>
      </c>
      <c r="P715" t="s">
        <v>9340</v>
      </c>
    </row>
    <row r="716" spans="1:16" ht="14.4" x14ac:dyDescent="0.3">
      <c r="A716" s="310">
        <v>120868</v>
      </c>
      <c r="B716" t="str">
        <f t="shared" si="22"/>
        <v>SEVROLL 04333-Y Elegant II tor dolny 1,7 m, jasny brąz szczotkowany</v>
      </c>
      <c r="C716" s="185">
        <f t="shared" si="23"/>
        <v>55.386000000000003</v>
      </c>
      <c r="D716" s="407" t="s">
        <v>2825</v>
      </c>
      <c r="E716" s="407" t="s">
        <v>5154</v>
      </c>
      <c r="F716" s="407" t="s">
        <v>5155</v>
      </c>
      <c r="G716" s="407" t="s">
        <v>5156</v>
      </c>
      <c r="H716" s="460">
        <v>432.07754999999997</v>
      </c>
      <c r="I716" s="460">
        <v>15.535489999999999</v>
      </c>
      <c r="J716" s="460">
        <v>55.386000000000003</v>
      </c>
      <c r="K716" s="460">
        <v>5979.3887400000003</v>
      </c>
      <c r="L716" s="459" t="s">
        <v>538</v>
      </c>
      <c r="M716" s="309" t="s">
        <v>571</v>
      </c>
      <c r="N716" s="182"/>
      <c r="O716">
        <v>13.816000000000001</v>
      </c>
      <c r="P716" t="s">
        <v>9341</v>
      </c>
    </row>
    <row r="717" spans="1:16" ht="14.4" x14ac:dyDescent="0.3">
      <c r="A717" s="310">
        <v>205089</v>
      </c>
      <c r="B717" t="str">
        <f t="shared" si="22"/>
        <v>SEVROLL Elegant II tor dolny 1,7m koniak szczotkowany</v>
      </c>
      <c r="C717" s="185">
        <f t="shared" si="23"/>
        <v>55.386000000000003</v>
      </c>
      <c r="D717" s="407" t="s">
        <v>2959</v>
      </c>
      <c r="E717" s="407" t="s">
        <v>5157</v>
      </c>
      <c r="F717" s="407" t="s">
        <v>5158</v>
      </c>
      <c r="G717" s="407" t="s">
        <v>5159</v>
      </c>
      <c r="H717" s="460">
        <v>432.07754999999997</v>
      </c>
      <c r="I717" s="460">
        <v>15.535489999999999</v>
      </c>
      <c r="J717" s="460">
        <v>55.386000000000003</v>
      </c>
      <c r="K717" s="460">
        <v>5979.3887400000003</v>
      </c>
      <c r="L717" s="459" t="s">
        <v>539</v>
      </c>
      <c r="M717" s="309" t="s">
        <v>571</v>
      </c>
      <c r="N717" s="182"/>
      <c r="O717">
        <v>13.816000000000001</v>
      </c>
      <c r="P717" t="s">
        <v>9342</v>
      </c>
    </row>
    <row r="718" spans="1:16" ht="14.4" x14ac:dyDescent="0.3">
      <c r="A718" s="310">
        <v>84385</v>
      </c>
      <c r="B718" t="str">
        <f t="shared" si="22"/>
        <v>SEVROLL Elegant II tor dolny 1,7m srebrny</v>
      </c>
      <c r="C718" s="185">
        <f t="shared" si="23"/>
        <v>31.293600000000001</v>
      </c>
      <c r="D718" s="407" t="s">
        <v>2738</v>
      </c>
      <c r="E718" s="407" t="s">
        <v>5160</v>
      </c>
      <c r="F718" s="407" t="s">
        <v>5161</v>
      </c>
      <c r="G718" s="407" t="s">
        <v>2378</v>
      </c>
      <c r="H718" s="460">
        <v>231.59934999999999</v>
      </c>
      <c r="I718" s="460">
        <v>8.3272300000000001</v>
      </c>
      <c r="J718" s="460">
        <v>31.293600000000001</v>
      </c>
      <c r="K718" s="460">
        <v>3205.0324500000002</v>
      </c>
      <c r="L718" s="459" t="s">
        <v>538</v>
      </c>
      <c r="M718" s="309" t="s">
        <v>571</v>
      </c>
      <c r="N718" s="182"/>
      <c r="O718">
        <v>8.25</v>
      </c>
      <c r="P718" t="s">
        <v>9343</v>
      </c>
    </row>
    <row r="719" spans="1:16" ht="14.4" x14ac:dyDescent="0.3">
      <c r="A719" s="310">
        <v>84383</v>
      </c>
      <c r="B719" t="str">
        <f t="shared" si="22"/>
        <v>SEVROLL Elegant II tor dolny 1,7m złoty</v>
      </c>
      <c r="C719" s="185">
        <f t="shared" si="23"/>
        <v>39.086399999999998</v>
      </c>
      <c r="D719" s="407" t="s">
        <v>2737</v>
      </c>
      <c r="E719" s="407" t="s">
        <v>5162</v>
      </c>
      <c r="F719" s="407" t="s">
        <v>5163</v>
      </c>
      <c r="G719" s="407" t="s">
        <v>5164</v>
      </c>
      <c r="H719" s="460">
        <v>289.49919</v>
      </c>
      <c r="I719" s="460">
        <v>10.409039999999999</v>
      </c>
      <c r="J719" s="460">
        <v>39.086399999999998</v>
      </c>
      <c r="K719" s="460">
        <v>4006.2905700000001</v>
      </c>
      <c r="L719" s="459" t="s">
        <v>539</v>
      </c>
      <c r="M719" s="309" t="s">
        <v>571</v>
      </c>
      <c r="N719" s="182"/>
      <c r="O719">
        <v>9.8559999999999999</v>
      </c>
      <c r="P719" t="s">
        <v>9344</v>
      </c>
    </row>
    <row r="720" spans="1:16" ht="14.4" x14ac:dyDescent="0.3">
      <c r="A720" s="310">
        <v>276745</v>
      </c>
      <c r="B720" t="str">
        <f t="shared" si="22"/>
        <v>SEVROLL Elegant II tor dolny 2,35 m, biały połysk</v>
      </c>
      <c r="C720" s="185">
        <f t="shared" si="23"/>
        <v>56.242800000000003</v>
      </c>
      <c r="D720" s="407" t="s">
        <v>3219</v>
      </c>
      <c r="E720" s="407" t="s">
        <v>5165</v>
      </c>
      <c r="F720" s="407" t="s">
        <v>5166</v>
      </c>
      <c r="G720" s="407" t="s">
        <v>5167</v>
      </c>
      <c r="H720" s="460">
        <v>414.70758000000001</v>
      </c>
      <c r="I720" s="460">
        <v>14.91095</v>
      </c>
      <c r="J720" s="460">
        <v>56.242800000000003</v>
      </c>
      <c r="K720" s="460">
        <v>5739.01116</v>
      </c>
      <c r="L720" s="459" t="s">
        <v>538</v>
      </c>
      <c r="M720" s="309" t="s">
        <v>571</v>
      </c>
      <c r="N720" s="182"/>
      <c r="O720">
        <v>14.85</v>
      </c>
      <c r="P720" t="s">
        <v>9345</v>
      </c>
    </row>
    <row r="721" spans="1:16" ht="14.4" x14ac:dyDescent="0.3">
      <c r="A721" s="310">
        <v>205079</v>
      </c>
      <c r="B721" t="str">
        <f t="shared" si="22"/>
        <v>SEVROLL Elegant II tor dolny 2,35 m czarny szczotkowany</v>
      </c>
      <c r="C721" s="185">
        <f t="shared" si="23"/>
        <v>76.367400000000004</v>
      </c>
      <c r="D721" s="407" t="s">
        <v>2956</v>
      </c>
      <c r="E721" s="407" t="s">
        <v>5168</v>
      </c>
      <c r="F721" s="407" t="s">
        <v>5169</v>
      </c>
      <c r="G721" s="407" t="s">
        <v>5170</v>
      </c>
      <c r="H721" s="460">
        <v>597.09209999999996</v>
      </c>
      <c r="I721" s="460">
        <v>21.464729999999999</v>
      </c>
      <c r="J721" s="460">
        <v>76.367400000000004</v>
      </c>
      <c r="K721" s="460">
        <v>8262.9742999999999</v>
      </c>
      <c r="L721" s="459" t="s">
        <v>538</v>
      </c>
      <c r="M721" s="309" t="s">
        <v>571</v>
      </c>
      <c r="N721" s="182"/>
      <c r="O721">
        <v>19.14</v>
      </c>
      <c r="P721" t="s">
        <v>9346</v>
      </c>
    </row>
    <row r="722" spans="1:16" ht="14.4" x14ac:dyDescent="0.3">
      <c r="A722" s="310">
        <v>120869</v>
      </c>
      <c r="B722" t="str">
        <f t="shared" si="22"/>
        <v>SEVROLL 04334-Y Elegant II tor dolny 2,35 m, jasny brąz szczotkowany</v>
      </c>
      <c r="C722" s="185">
        <f t="shared" si="23"/>
        <v>76.367400000000004</v>
      </c>
      <c r="D722" s="407" t="s">
        <v>2826</v>
      </c>
      <c r="E722" s="407" t="s">
        <v>5171</v>
      </c>
      <c r="F722" s="407" t="s">
        <v>5172</v>
      </c>
      <c r="G722" s="407" t="s">
        <v>5173</v>
      </c>
      <c r="H722" s="460">
        <v>597.09209999999996</v>
      </c>
      <c r="I722" s="460">
        <v>21.464729999999999</v>
      </c>
      <c r="J722" s="460">
        <v>76.367400000000004</v>
      </c>
      <c r="K722" s="460">
        <v>8262.9742999999999</v>
      </c>
      <c r="L722" s="459" t="s">
        <v>538</v>
      </c>
      <c r="M722" s="309" t="s">
        <v>571</v>
      </c>
      <c r="N722" s="182"/>
      <c r="O722">
        <v>19.14</v>
      </c>
      <c r="P722" t="s">
        <v>9347</v>
      </c>
    </row>
    <row r="723" spans="1:16" ht="14.4" x14ac:dyDescent="0.3">
      <c r="A723" s="310">
        <v>205078</v>
      </c>
      <c r="B723" t="str">
        <f t="shared" si="22"/>
        <v>SEVROLL Elegant II tor dolny 2,35m koniak szczotkowany</v>
      </c>
      <c r="C723" s="185">
        <f t="shared" si="23"/>
        <v>76.367400000000004</v>
      </c>
      <c r="D723" s="407" t="s">
        <v>2955</v>
      </c>
      <c r="E723" s="407" t="s">
        <v>5174</v>
      </c>
      <c r="F723" s="407" t="s">
        <v>5175</v>
      </c>
      <c r="G723" s="407" t="s">
        <v>5176</v>
      </c>
      <c r="H723" s="460">
        <v>597.09209999999996</v>
      </c>
      <c r="I723" s="460">
        <v>21.464729999999999</v>
      </c>
      <c r="J723" s="460">
        <v>76.367400000000004</v>
      </c>
      <c r="K723" s="460">
        <v>8262.9742999999999</v>
      </c>
      <c r="L723" s="459" t="s">
        <v>539</v>
      </c>
      <c r="M723" s="309" t="s">
        <v>571</v>
      </c>
      <c r="N723" s="182"/>
      <c r="O723">
        <v>19.14</v>
      </c>
      <c r="P723" t="s">
        <v>9348</v>
      </c>
    </row>
    <row r="724" spans="1:16" ht="14.4" x14ac:dyDescent="0.3">
      <c r="A724" s="310">
        <v>84388</v>
      </c>
      <c r="B724" t="str">
        <f t="shared" si="22"/>
        <v>SEVROLL Elegant II tor dolny 2,35m srebrny</v>
      </c>
      <c r="C724" s="185">
        <f t="shared" si="23"/>
        <v>43.278599999999997</v>
      </c>
      <c r="D724" s="407" t="s">
        <v>2741</v>
      </c>
      <c r="E724" s="407" t="s">
        <v>5177</v>
      </c>
      <c r="F724" s="407" t="s">
        <v>5178</v>
      </c>
      <c r="G724" s="407" t="s">
        <v>5179</v>
      </c>
      <c r="H724" s="460">
        <v>319.17286000000001</v>
      </c>
      <c r="I724" s="460">
        <v>11.47597</v>
      </c>
      <c r="J724" s="460">
        <v>43.278599999999997</v>
      </c>
      <c r="K724" s="460">
        <v>4416.9351999999999</v>
      </c>
      <c r="L724" s="459" t="s">
        <v>538</v>
      </c>
      <c r="M724" s="309" t="s">
        <v>571</v>
      </c>
      <c r="N724" s="182"/>
      <c r="O724">
        <v>11.352</v>
      </c>
      <c r="P724" t="s">
        <v>9349</v>
      </c>
    </row>
    <row r="725" spans="1:16" ht="14.4" x14ac:dyDescent="0.3">
      <c r="A725" s="310">
        <v>252568</v>
      </c>
      <c r="B725" t="str">
        <f t="shared" si="22"/>
        <v>SEVROLL Elegant II tor dolny 3 m, biały połysk</v>
      </c>
      <c r="C725" s="185">
        <f t="shared" si="23"/>
        <v>71.808000000000007</v>
      </c>
      <c r="D725" s="407" t="s">
        <v>3195</v>
      </c>
      <c r="E725" s="407" t="s">
        <v>5180</v>
      </c>
      <c r="F725" s="407" t="s">
        <v>5181</v>
      </c>
      <c r="G725" s="407" t="s">
        <v>5182</v>
      </c>
      <c r="H725" s="460">
        <v>526.88854000000003</v>
      </c>
      <c r="I725" s="460">
        <v>18.94445</v>
      </c>
      <c r="J725" s="460">
        <v>71.808000000000007</v>
      </c>
      <c r="K725" s="460">
        <v>7291.4487600000002</v>
      </c>
      <c r="L725" s="459" t="s">
        <v>538</v>
      </c>
      <c r="M725" s="309" t="s">
        <v>571</v>
      </c>
      <c r="N725" s="182"/>
      <c r="O725">
        <v>18.876000000000001</v>
      </c>
      <c r="P725" t="s">
        <v>9350</v>
      </c>
    </row>
    <row r="726" spans="1:16" ht="14.4" x14ac:dyDescent="0.3">
      <c r="A726" s="310">
        <v>276743</v>
      </c>
      <c r="B726" t="str">
        <f t="shared" si="22"/>
        <v>SEVROLL Elegant II tor dolny 3 m, biały matowy</v>
      </c>
      <c r="C726" s="185">
        <f t="shared" si="23"/>
        <v>71.808000000000007</v>
      </c>
      <c r="D726" s="407" t="s">
        <v>3217</v>
      </c>
      <c r="E726" s="407" t="s">
        <v>5183</v>
      </c>
      <c r="F726" s="407" t="s">
        <v>5184</v>
      </c>
      <c r="G726" s="407" t="s">
        <v>5185</v>
      </c>
      <c r="H726" s="460">
        <v>526.88854000000003</v>
      </c>
      <c r="I726" s="460">
        <v>18.94445</v>
      </c>
      <c r="J726" s="460">
        <v>71.808000000000007</v>
      </c>
      <c r="K726" s="460">
        <v>7291.4487600000002</v>
      </c>
      <c r="L726" s="459" t="s">
        <v>538</v>
      </c>
      <c r="M726" s="309" t="s">
        <v>571</v>
      </c>
      <c r="N726" s="182"/>
      <c r="O726">
        <v>18.876000000000001</v>
      </c>
      <c r="P726" t="s">
        <v>9351</v>
      </c>
    </row>
    <row r="727" spans="1:16" ht="14.4" x14ac:dyDescent="0.3">
      <c r="A727" s="310">
        <v>205186</v>
      </c>
      <c r="B727" t="str">
        <f t="shared" si="22"/>
        <v>SEVROLL Elegant II tor dolny 3 m czarny szczotkowany</v>
      </c>
      <c r="C727" s="185">
        <f t="shared" si="23"/>
        <v>97.675200000000004</v>
      </c>
      <c r="D727" s="407" t="s">
        <v>2984</v>
      </c>
      <c r="E727" s="407" t="s">
        <v>5186</v>
      </c>
      <c r="F727" s="407" t="s">
        <v>5187</v>
      </c>
      <c r="G727" s="407" t="s">
        <v>5188</v>
      </c>
      <c r="H727" s="460">
        <v>762.10661000000005</v>
      </c>
      <c r="I727" s="460">
        <v>27.401800000000001</v>
      </c>
      <c r="J727" s="460">
        <v>97.675200000000004</v>
      </c>
      <c r="K727" s="460">
        <v>10546.55984</v>
      </c>
      <c r="L727" s="459" t="s">
        <v>538</v>
      </c>
      <c r="M727" s="309" t="s">
        <v>571</v>
      </c>
      <c r="N727" s="182"/>
      <c r="O727">
        <v>24.42</v>
      </c>
      <c r="P727" t="s">
        <v>9352</v>
      </c>
    </row>
    <row r="728" spans="1:16" ht="14.4" x14ac:dyDescent="0.3">
      <c r="A728" s="310">
        <v>120870</v>
      </c>
      <c r="B728" t="str">
        <f t="shared" si="22"/>
        <v>SEVROLL 04335-Y Elegant II tor dolny 3 m, jasny brąz szczotkowany</v>
      </c>
      <c r="C728" s="185">
        <f t="shared" si="23"/>
        <v>97.675200000000004</v>
      </c>
      <c r="D728" s="407" t="s">
        <v>2827</v>
      </c>
      <c r="E728" s="407" t="s">
        <v>5189</v>
      </c>
      <c r="F728" s="407" t="s">
        <v>5190</v>
      </c>
      <c r="G728" s="407" t="s">
        <v>5191</v>
      </c>
      <c r="H728" s="460">
        <v>762.10661000000005</v>
      </c>
      <c r="I728" s="460">
        <v>27.401800000000001</v>
      </c>
      <c r="J728" s="460">
        <v>97.675200000000004</v>
      </c>
      <c r="K728" s="460">
        <v>10546.55984</v>
      </c>
      <c r="L728" s="459" t="s">
        <v>538</v>
      </c>
      <c r="M728" s="309" t="s">
        <v>571</v>
      </c>
      <c r="N728" s="182"/>
      <c r="O728">
        <v>24.42</v>
      </c>
      <c r="P728" t="s">
        <v>9353</v>
      </c>
    </row>
    <row r="729" spans="1:16" ht="14.4" x14ac:dyDescent="0.3">
      <c r="A729" s="310">
        <v>205098</v>
      </c>
      <c r="B729" t="str">
        <f t="shared" si="22"/>
        <v>SEVROLL Elegant II tor dolny 3m koniak szczotkowany</v>
      </c>
      <c r="C729" s="185">
        <f t="shared" si="23"/>
        <v>97.675200000000004</v>
      </c>
      <c r="D729" s="407" t="s">
        <v>2961</v>
      </c>
      <c r="E729" s="407" t="s">
        <v>5192</v>
      </c>
      <c r="F729" s="407" t="s">
        <v>5193</v>
      </c>
      <c r="G729" s="407" t="s">
        <v>5194</v>
      </c>
      <c r="H729" s="460">
        <v>762.10661000000005</v>
      </c>
      <c r="I729" s="460">
        <v>27.401800000000001</v>
      </c>
      <c r="J729" s="460">
        <v>97.675200000000004</v>
      </c>
      <c r="K729" s="460">
        <v>10546.55984</v>
      </c>
      <c r="L729" s="459" t="s">
        <v>539</v>
      </c>
      <c r="M729" s="309" t="s">
        <v>571</v>
      </c>
      <c r="N729" s="182"/>
      <c r="O729">
        <v>24.42</v>
      </c>
      <c r="P729" t="s">
        <v>9354</v>
      </c>
    </row>
    <row r="730" spans="1:16" ht="14.4" x14ac:dyDescent="0.3">
      <c r="A730" s="310">
        <v>84391</v>
      </c>
      <c r="B730" t="str">
        <f t="shared" si="22"/>
        <v>SEVROLL Elegant II tor dolny 3m srebrny</v>
      </c>
      <c r="C730" s="185">
        <f t="shared" si="23"/>
        <v>55.212600000000002</v>
      </c>
      <c r="D730" s="407" t="s">
        <v>2744</v>
      </c>
      <c r="E730" s="407" t="s">
        <v>5195</v>
      </c>
      <c r="F730" s="407" t="s">
        <v>5196</v>
      </c>
      <c r="G730" s="407" t="s">
        <v>5197</v>
      </c>
      <c r="H730" s="460">
        <v>405.29887000000002</v>
      </c>
      <c r="I730" s="460">
        <v>14.46857</v>
      </c>
      <c r="J730" s="460">
        <v>55.212600000000002</v>
      </c>
      <c r="K730" s="460">
        <v>5608.8068000000003</v>
      </c>
      <c r="L730" s="459" t="s">
        <v>538</v>
      </c>
      <c r="M730" s="309" t="s">
        <v>571</v>
      </c>
      <c r="N730" s="182"/>
      <c r="O730">
        <v>14.41</v>
      </c>
      <c r="P730" t="s">
        <v>9355</v>
      </c>
    </row>
    <row r="731" spans="1:16" ht="14.4" x14ac:dyDescent="0.3">
      <c r="A731" s="310">
        <v>276746</v>
      </c>
      <c r="B731" t="str">
        <f t="shared" si="22"/>
        <v>SEVROLL Elegant II tor dolny 4,05 m, biały połysk</v>
      </c>
      <c r="C731" s="185">
        <f t="shared" si="23"/>
        <v>96.930599999999998</v>
      </c>
      <c r="D731" s="407" t="s">
        <v>3220</v>
      </c>
      <c r="E731" s="407" t="s">
        <v>5198</v>
      </c>
      <c r="F731" s="407" t="s">
        <v>5199</v>
      </c>
      <c r="G731" s="407" t="s">
        <v>5200</v>
      </c>
      <c r="H731" s="460">
        <v>713.61551999999995</v>
      </c>
      <c r="I731" s="460">
        <v>25.658280000000001</v>
      </c>
      <c r="J731" s="460">
        <v>96.930599999999998</v>
      </c>
      <c r="K731" s="460">
        <v>9875.5060699999995</v>
      </c>
      <c r="L731" s="459" t="s">
        <v>538</v>
      </c>
      <c r="M731" s="309" t="s">
        <v>571</v>
      </c>
      <c r="N731" s="182"/>
      <c r="O731">
        <v>25.564</v>
      </c>
      <c r="P731" t="s">
        <v>9356</v>
      </c>
    </row>
    <row r="732" spans="1:16" ht="14.4" x14ac:dyDescent="0.3">
      <c r="A732" s="310">
        <v>205088</v>
      </c>
      <c r="B732" t="str">
        <f t="shared" si="22"/>
        <v>SEVROLL Elegant II tor dolny 4,05 m czarny szczotkowany</v>
      </c>
      <c r="C732" s="185">
        <f t="shared" si="23"/>
        <v>131.8554</v>
      </c>
      <c r="D732" s="407" t="s">
        <v>2958</v>
      </c>
      <c r="E732" s="407" t="s">
        <v>5201</v>
      </c>
      <c r="F732" s="407" t="s">
        <v>5202</v>
      </c>
      <c r="G732" s="407" t="s">
        <v>5203</v>
      </c>
      <c r="H732" s="460">
        <v>1029.1696199999999</v>
      </c>
      <c r="I732" s="460">
        <v>37.00414</v>
      </c>
      <c r="J732" s="460">
        <v>131.8554</v>
      </c>
      <c r="K732" s="460">
        <v>14242.36305</v>
      </c>
      <c r="L732" s="459" t="s">
        <v>538</v>
      </c>
      <c r="M732" s="309" t="s">
        <v>571</v>
      </c>
      <c r="N732" s="182"/>
      <c r="O732">
        <v>32.933999999999997</v>
      </c>
      <c r="P732" t="s">
        <v>9357</v>
      </c>
    </row>
    <row r="733" spans="1:16" ht="14.4" x14ac:dyDescent="0.3">
      <c r="A733" s="310">
        <v>120871</v>
      </c>
      <c r="B733" t="str">
        <f t="shared" si="22"/>
        <v>SEVROLL 04336-Y Elegant II tor dolny 4,05 m, jasny brąz szczotkowany</v>
      </c>
      <c r="C733" s="185">
        <f t="shared" si="23"/>
        <v>131.8554</v>
      </c>
      <c r="D733" s="407" t="s">
        <v>2828</v>
      </c>
      <c r="E733" s="407" t="s">
        <v>5204</v>
      </c>
      <c r="F733" s="407" t="s">
        <v>5205</v>
      </c>
      <c r="G733" s="407" t="s">
        <v>5206</v>
      </c>
      <c r="H733" s="460">
        <v>1029.1696199999999</v>
      </c>
      <c r="I733" s="460">
        <v>37.00414</v>
      </c>
      <c r="J733" s="460">
        <v>131.8554</v>
      </c>
      <c r="K733" s="460">
        <v>14242.36305</v>
      </c>
      <c r="L733" s="459" t="s">
        <v>539</v>
      </c>
      <c r="M733" s="309" t="s">
        <v>571</v>
      </c>
      <c r="N733" s="182"/>
      <c r="O733">
        <v>32.933999999999997</v>
      </c>
      <c r="P733" t="s">
        <v>9358</v>
      </c>
    </row>
    <row r="734" spans="1:16" ht="14.4" x14ac:dyDescent="0.3">
      <c r="A734" s="310">
        <v>205087</v>
      </c>
      <c r="B734" t="str">
        <f t="shared" si="22"/>
        <v>SEVROLL Elegant II tor dolny 4,05m koniak szczotkowany</v>
      </c>
      <c r="C734" s="185">
        <f t="shared" si="23"/>
        <v>131.8554</v>
      </c>
      <c r="D734" s="407" t="s">
        <v>2957</v>
      </c>
      <c r="E734" s="407" t="s">
        <v>5207</v>
      </c>
      <c r="F734" s="407" t="s">
        <v>5208</v>
      </c>
      <c r="G734" s="407" t="s">
        <v>5209</v>
      </c>
      <c r="H734" s="460">
        <v>1029.1696199999999</v>
      </c>
      <c r="I734" s="460">
        <v>37.00414</v>
      </c>
      <c r="J734" s="460">
        <v>131.8554</v>
      </c>
      <c r="K734" s="460">
        <v>14242.36305</v>
      </c>
      <c r="L734" s="459" t="s">
        <v>539</v>
      </c>
      <c r="M734" s="309" t="s">
        <v>571</v>
      </c>
      <c r="N734" s="182"/>
      <c r="O734">
        <v>32.933999999999997</v>
      </c>
      <c r="P734" t="s">
        <v>9359</v>
      </c>
    </row>
    <row r="735" spans="1:16" ht="14.4" x14ac:dyDescent="0.3">
      <c r="A735" s="310">
        <v>84394</v>
      </c>
      <c r="B735" t="str">
        <f t="shared" si="22"/>
        <v>SEVROLL Elegant II tor dolny 4,05m srebrny</v>
      </c>
      <c r="C735" s="185">
        <f t="shared" si="23"/>
        <v>74.572199999999995</v>
      </c>
      <c r="D735" s="407" t="s">
        <v>2747</v>
      </c>
      <c r="E735" s="407" t="s">
        <v>5210</v>
      </c>
      <c r="F735" s="407" t="s">
        <v>5211</v>
      </c>
      <c r="G735" s="407" t="s">
        <v>5212</v>
      </c>
      <c r="H735" s="460">
        <v>549.32471999999996</v>
      </c>
      <c r="I735" s="460">
        <v>19.751149999999999</v>
      </c>
      <c r="J735" s="460">
        <v>74.572199999999995</v>
      </c>
      <c r="K735" s="460">
        <v>7601.9364999999998</v>
      </c>
      <c r="L735" s="459" t="s">
        <v>538</v>
      </c>
      <c r="M735" s="309" t="s">
        <v>571</v>
      </c>
      <c r="N735" s="182"/>
      <c r="O735">
        <v>19.513999999999999</v>
      </c>
      <c r="P735" t="s">
        <v>9360</v>
      </c>
    </row>
    <row r="736" spans="1:16" ht="14.4" x14ac:dyDescent="0.3">
      <c r="A736" s="310">
        <v>225369</v>
      </c>
      <c r="B736" t="str">
        <f t="shared" si="22"/>
        <v>SEVROLL Elegant II tor dolny 6m czarny szczotkowany</v>
      </c>
      <c r="C736" s="185">
        <f t="shared" si="23"/>
        <v>0</v>
      </c>
      <c r="D736" s="407" t="s">
        <v>3130</v>
      </c>
      <c r="E736" s="407" t="s">
        <v>5213</v>
      </c>
      <c r="F736" s="407" t="s">
        <v>5214</v>
      </c>
      <c r="G736" s="407" t="s">
        <v>5215</v>
      </c>
      <c r="H736" s="460">
        <v>1524.21326</v>
      </c>
      <c r="I736" s="460">
        <v>54.803600000000003</v>
      </c>
      <c r="J736" s="460">
        <v>0</v>
      </c>
      <c r="K736" s="460">
        <v>21093.11968</v>
      </c>
      <c r="L736" s="459" t="s">
        <v>538</v>
      </c>
      <c r="M736" s="309" t="s">
        <v>571</v>
      </c>
      <c r="N736" s="182"/>
      <c r="O736">
        <v>48.817999999999998</v>
      </c>
      <c r="P736" t="s">
        <v>9361</v>
      </c>
    </row>
    <row r="737" spans="1:16" ht="14.4" x14ac:dyDescent="0.3">
      <c r="A737" s="310">
        <v>225367</v>
      </c>
      <c r="B737" t="str">
        <f t="shared" si="22"/>
        <v>SEVROLL Elegant II tor dolny 6m jasny brąz szczotkowany</v>
      </c>
      <c r="C737" s="185">
        <f t="shared" si="23"/>
        <v>0</v>
      </c>
      <c r="D737" s="407" t="s">
        <v>3128</v>
      </c>
      <c r="E737" s="407" t="s">
        <v>5216</v>
      </c>
      <c r="F737" s="407" t="s">
        <v>5217</v>
      </c>
      <c r="G737" s="407" t="s">
        <v>5218</v>
      </c>
      <c r="H737" s="460">
        <v>1524.21326</v>
      </c>
      <c r="I737" s="460">
        <v>54.803600000000003</v>
      </c>
      <c r="J737" s="460">
        <v>0</v>
      </c>
      <c r="K737" s="460">
        <v>21093.11968</v>
      </c>
      <c r="L737" s="459" t="s">
        <v>539</v>
      </c>
      <c r="M737" s="309" t="s">
        <v>571</v>
      </c>
      <c r="N737" s="182"/>
      <c r="O737">
        <v>48.817999999999998</v>
      </c>
      <c r="P737" t="s">
        <v>9362</v>
      </c>
    </row>
    <row r="738" spans="1:16" ht="14.4" x14ac:dyDescent="0.3">
      <c r="A738" s="310">
        <v>225368</v>
      </c>
      <c r="B738" t="str">
        <f t="shared" si="22"/>
        <v>SEVROLL Elegant II tor dolny 6m koniak szczotkowany</v>
      </c>
      <c r="C738" s="185" t="e">
        <f t="shared" si="23"/>
        <v>#N/A</v>
      </c>
      <c r="D738" s="407" t="s">
        <v>3129</v>
      </c>
      <c r="E738" s="407" t="s">
        <v>5219</v>
      </c>
      <c r="F738" s="407" t="s">
        <v>5220</v>
      </c>
      <c r="G738" s="407" t="s">
        <v>5221</v>
      </c>
      <c r="H738" s="460" t="e">
        <v>#N/A</v>
      </c>
      <c r="I738" s="460" t="e">
        <v>#N/A</v>
      </c>
      <c r="J738" s="460" t="e">
        <v>#N/A</v>
      </c>
      <c r="K738" s="460" t="e">
        <v>#N/A</v>
      </c>
      <c r="L738" s="459" t="e">
        <v>#N/A</v>
      </c>
      <c r="M738" s="309" t="s">
        <v>571</v>
      </c>
      <c r="N738" s="182"/>
      <c r="O738">
        <v>46.485999999999997</v>
      </c>
      <c r="P738" t="s">
        <v>9363</v>
      </c>
    </row>
    <row r="739" spans="1:16" ht="14.4" x14ac:dyDescent="0.3">
      <c r="A739" s="310">
        <v>350687</v>
      </c>
      <c r="B739" t="str">
        <f t="shared" si="22"/>
        <v>SEVROLL Elegant II tor dolny 6m, srebrny</v>
      </c>
      <c r="C739" s="185">
        <f t="shared" si="23"/>
        <v>0</v>
      </c>
      <c r="D739" s="407" t="s">
        <v>3427</v>
      </c>
      <c r="E739" s="407" t="s">
        <v>5222</v>
      </c>
      <c r="F739" s="407" t="s">
        <v>5223</v>
      </c>
      <c r="G739" s="407" t="s">
        <v>5224</v>
      </c>
      <c r="H739" s="460">
        <v>811.32147999999995</v>
      </c>
      <c r="I739" s="460">
        <v>29.171330000000001</v>
      </c>
      <c r="J739" s="460">
        <v>0</v>
      </c>
      <c r="K739" s="460">
        <v>11227.629139999999</v>
      </c>
      <c r="L739" s="459" t="s">
        <v>538</v>
      </c>
      <c r="M739" s="309" t="s">
        <v>571</v>
      </c>
      <c r="N739" s="182"/>
      <c r="O739">
        <v>28.841999999999999</v>
      </c>
      <c r="P739" t="s">
        <v>9364</v>
      </c>
    </row>
    <row r="740" spans="1:16" ht="14.4" x14ac:dyDescent="0.3">
      <c r="A740" s="310">
        <v>308688</v>
      </c>
      <c r="B740" t="e">
        <f t="shared" si="22"/>
        <v>#N/A</v>
      </c>
      <c r="C740" s="185" t="e">
        <f t="shared" si="23"/>
        <v>#N/A</v>
      </c>
      <c r="D740" s="407" t="e">
        <v>#N/A</v>
      </c>
      <c r="E740" s="407" t="e">
        <v>#N/A</v>
      </c>
      <c r="F740" s="407" t="e">
        <v>#N/A</v>
      </c>
      <c r="G740" s="407" t="e">
        <v>#N/A</v>
      </c>
      <c r="H740" s="460" t="e">
        <v>#N/A</v>
      </c>
      <c r="I740" s="460" t="e">
        <v>#N/A</v>
      </c>
      <c r="J740" s="460" t="e">
        <v>#N/A</v>
      </c>
      <c r="K740" s="460" t="e">
        <v>#N/A</v>
      </c>
      <c r="L740" s="459" t="e">
        <v>#N/A</v>
      </c>
      <c r="M740" s="309" t="s">
        <v>571</v>
      </c>
      <c r="N740" s="182"/>
      <c r="O740" t="e">
        <v>#N/A</v>
      </c>
      <c r="P740" t="e">
        <v>#N/A</v>
      </c>
    </row>
    <row r="741" spans="1:16" ht="14.4" x14ac:dyDescent="0.3">
      <c r="A741" s="310">
        <v>223550</v>
      </c>
      <c r="B741" t="str">
        <f t="shared" si="22"/>
        <v>SEVROLL Fala rączka 10mm 2,70m jasny brąz</v>
      </c>
      <c r="C741" s="185">
        <f t="shared" si="23"/>
        <v>52.309190000000001</v>
      </c>
      <c r="D741" s="407" t="s">
        <v>3070</v>
      </c>
      <c r="E741" s="407" t="s">
        <v>5225</v>
      </c>
      <c r="F741" s="407" t="s">
        <v>1168</v>
      </c>
      <c r="G741" s="407" t="s">
        <v>5226</v>
      </c>
      <c r="H741" s="460">
        <v>389.47012999999998</v>
      </c>
      <c r="I741" s="460">
        <v>14.15629</v>
      </c>
      <c r="J741" s="460">
        <v>52.309190000000001</v>
      </c>
      <c r="K741" s="460">
        <v>5534.0228800000004</v>
      </c>
      <c r="L741" s="459" t="s">
        <v>695</v>
      </c>
      <c r="M741" s="309" t="s">
        <v>571</v>
      </c>
      <c r="N741" s="182"/>
      <c r="O741">
        <v>11.968</v>
      </c>
      <c r="P741" t="s">
        <v>9365</v>
      </c>
    </row>
    <row r="742" spans="1:16" ht="14.4" x14ac:dyDescent="0.3">
      <c r="A742" s="310">
        <v>215233</v>
      </c>
      <c r="B742" t="str">
        <f t="shared" si="22"/>
        <v>SEVROLL Fala rączka 10mm 2,70m srebrny</v>
      </c>
      <c r="C742" s="185">
        <f t="shared" si="23"/>
        <v>45.41854</v>
      </c>
      <c r="D742" s="407" t="s">
        <v>3008</v>
      </c>
      <c r="E742" s="407" t="s">
        <v>5227</v>
      </c>
      <c r="F742" s="407" t="s">
        <v>1253</v>
      </c>
      <c r="G742" s="407" t="s">
        <v>5228</v>
      </c>
      <c r="H742" s="460">
        <v>328.61543</v>
      </c>
      <c r="I742" s="460">
        <v>11.944369999999999</v>
      </c>
      <c r="J742" s="460">
        <v>45.41854</v>
      </c>
      <c r="K742" s="460">
        <v>4669.3318200000003</v>
      </c>
      <c r="L742" s="459" t="s">
        <v>538</v>
      </c>
      <c r="M742" s="309" t="s">
        <v>571</v>
      </c>
      <c r="N742" s="182"/>
      <c r="O742">
        <v>10.625999999999999</v>
      </c>
      <c r="P742" t="s">
        <v>9366</v>
      </c>
    </row>
    <row r="743" spans="1:16" ht="14.4" x14ac:dyDescent="0.3">
      <c r="A743" s="310">
        <v>135706</v>
      </c>
      <c r="B743" t="str">
        <f t="shared" si="22"/>
        <v>SEVROLL Faworyt II rączka 2,7m jasny brąz</v>
      </c>
      <c r="C743" s="185">
        <f t="shared" si="23"/>
        <v>55.480780000000003</v>
      </c>
      <c r="D743" s="407" t="s">
        <v>2874</v>
      </c>
      <c r="E743" s="407" t="s">
        <v>5229</v>
      </c>
      <c r="F743" s="407" t="s">
        <v>2874</v>
      </c>
      <c r="G743" s="407" t="s">
        <v>5230</v>
      </c>
      <c r="H743" s="460">
        <v>448.72375</v>
      </c>
      <c r="I743" s="460">
        <v>16.13401</v>
      </c>
      <c r="J743" s="460">
        <v>55.480780000000003</v>
      </c>
      <c r="K743" s="460">
        <v>6209.7503900000002</v>
      </c>
      <c r="L743" s="459" t="s">
        <v>538</v>
      </c>
      <c r="M743" s="309" t="s">
        <v>571</v>
      </c>
      <c r="N743" s="182"/>
      <c r="O743">
        <v>13.64</v>
      </c>
      <c r="P743" t="s">
        <v>9367</v>
      </c>
    </row>
    <row r="744" spans="1:16" ht="14.4" x14ac:dyDescent="0.3">
      <c r="A744" s="310">
        <v>179196</v>
      </c>
      <c r="B744" t="str">
        <f t="shared" si="22"/>
        <v>SEVROLL Faworyt II rączka 2,7m srebrny</v>
      </c>
      <c r="C744" s="185">
        <f t="shared" si="23"/>
        <v>46.195799999999998</v>
      </c>
      <c r="D744" s="407" t="s">
        <v>2904</v>
      </c>
      <c r="E744" s="407" t="s">
        <v>5231</v>
      </c>
      <c r="F744" s="407" t="s">
        <v>5232</v>
      </c>
      <c r="G744" s="407" t="s">
        <v>5233</v>
      </c>
      <c r="H744" s="460">
        <v>350.29401000000001</v>
      </c>
      <c r="I744" s="460">
        <v>12.594939999999999</v>
      </c>
      <c r="J744" s="460">
        <v>46.195799999999998</v>
      </c>
      <c r="K744" s="460">
        <v>4847.6117400000003</v>
      </c>
      <c r="L744" s="459" t="s">
        <v>538</v>
      </c>
      <c r="M744" s="309" t="s">
        <v>571</v>
      </c>
      <c r="N744" s="182"/>
      <c r="O744">
        <v>12.385999999999999</v>
      </c>
      <c r="P744" t="s">
        <v>9368</v>
      </c>
    </row>
    <row r="745" spans="1:16" ht="14.4" x14ac:dyDescent="0.3">
      <c r="A745" s="310">
        <v>98050</v>
      </c>
      <c r="B745" t="e">
        <f t="shared" si="22"/>
        <v>#N/A</v>
      </c>
      <c r="C745" s="185" t="e">
        <f t="shared" si="23"/>
        <v>#N/A</v>
      </c>
      <c r="D745" s="407" t="e">
        <v>#N/A</v>
      </c>
      <c r="E745" s="407" t="e">
        <v>#N/A</v>
      </c>
      <c r="F745" s="407" t="e">
        <v>#N/A</v>
      </c>
      <c r="G745" s="407" t="e">
        <v>#N/A</v>
      </c>
      <c r="H745" s="460" t="e">
        <v>#N/A</v>
      </c>
      <c r="I745" s="460" t="e">
        <v>#N/A</v>
      </c>
      <c r="J745" s="460" t="e">
        <v>#N/A</v>
      </c>
      <c r="K745" s="460" t="e">
        <v>#N/A</v>
      </c>
      <c r="L745" s="459" t="e">
        <v>#N/A</v>
      </c>
      <c r="M745" s="309" t="s">
        <v>571</v>
      </c>
      <c r="N745" s="182"/>
      <c r="O745" t="e">
        <v>#N/A</v>
      </c>
      <c r="P745" t="e">
        <v>#N/A</v>
      </c>
    </row>
    <row r="746" spans="1:16" ht="14.4" x14ac:dyDescent="0.3">
      <c r="A746" s="310">
        <v>89102</v>
      </c>
      <c r="B746" t="e">
        <f t="shared" si="22"/>
        <v>#N/A</v>
      </c>
      <c r="C746" s="185" t="e">
        <f t="shared" si="23"/>
        <v>#N/A</v>
      </c>
      <c r="D746" s="407" t="e">
        <v>#N/A</v>
      </c>
      <c r="E746" s="407" t="e">
        <v>#N/A</v>
      </c>
      <c r="F746" s="407" t="e">
        <v>#N/A</v>
      </c>
      <c r="G746" s="407" t="e">
        <v>#N/A</v>
      </c>
      <c r="H746" s="460" t="e">
        <v>#N/A</v>
      </c>
      <c r="I746" s="460" t="e">
        <v>#N/A</v>
      </c>
      <c r="J746" s="460" t="e">
        <v>#N/A</v>
      </c>
      <c r="K746" s="460" t="e">
        <v>#N/A</v>
      </c>
      <c r="L746" s="459" t="e">
        <v>#N/A</v>
      </c>
      <c r="M746" s="309" t="s">
        <v>571</v>
      </c>
      <c r="N746" s="182"/>
      <c r="O746" t="e">
        <v>#N/A</v>
      </c>
      <c r="P746" t="e">
        <v>#N/A</v>
      </c>
    </row>
    <row r="747" spans="1:16" ht="14.4" x14ac:dyDescent="0.3">
      <c r="A747" s="310">
        <v>228023</v>
      </c>
      <c r="B747" t="str">
        <f t="shared" si="22"/>
        <v>SEVROLL Focus wózek górny 18mm 2szt</v>
      </c>
      <c r="C747" s="185">
        <f t="shared" si="23"/>
        <v>13.907170000000001</v>
      </c>
      <c r="D747" s="407" t="s">
        <v>3146</v>
      </c>
      <c r="E747" s="407" t="s">
        <v>5234</v>
      </c>
      <c r="F747" s="407" t="s">
        <v>5235</v>
      </c>
      <c r="G747" s="407" t="s">
        <v>5236</v>
      </c>
      <c r="H747" s="460">
        <v>115.9689</v>
      </c>
      <c r="I747" s="460">
        <v>3.9346299999999998</v>
      </c>
      <c r="J747" s="460">
        <v>13.907170000000001</v>
      </c>
      <c r="K747" s="460">
        <v>1547.9598100000001</v>
      </c>
      <c r="L747" s="459" t="s">
        <v>538</v>
      </c>
      <c r="M747" s="309" t="s">
        <v>572</v>
      </c>
      <c r="N747" s="182"/>
      <c r="O747">
        <v>3.6960000000000002</v>
      </c>
      <c r="P747" t="s">
        <v>9369</v>
      </c>
    </row>
    <row r="748" spans="1:16" ht="14.4" x14ac:dyDescent="0.3">
      <c r="A748" s="310">
        <v>284597</v>
      </c>
      <c r="B748" t="str">
        <f t="shared" si="22"/>
        <v>SEVROLL Focus II 16 mm rączka 2,7 m, złota</v>
      </c>
      <c r="C748" s="185">
        <f t="shared" si="23"/>
        <v>36.509929999999997</v>
      </c>
      <c r="D748" s="407" t="s">
        <v>3257</v>
      </c>
      <c r="E748" s="407" t="s">
        <v>5237</v>
      </c>
      <c r="F748" s="407" t="s">
        <v>1167</v>
      </c>
      <c r="G748" s="407" t="s">
        <v>5238</v>
      </c>
      <c r="H748" s="460">
        <v>295.28917999999999</v>
      </c>
      <c r="I748" s="460">
        <v>10.61722</v>
      </c>
      <c r="J748" s="460">
        <v>36.509929999999997</v>
      </c>
      <c r="K748" s="460">
        <v>4086.4163100000001</v>
      </c>
      <c r="L748" s="459" t="s">
        <v>539</v>
      </c>
      <c r="M748" s="309" t="s">
        <v>571</v>
      </c>
      <c r="N748" s="182"/>
      <c r="O748">
        <v>8.9760000000000009</v>
      </c>
      <c r="P748" t="s">
        <v>9370</v>
      </c>
    </row>
    <row r="749" spans="1:16" ht="14.4" x14ac:dyDescent="0.3">
      <c r="A749" s="310">
        <v>265065</v>
      </c>
      <c r="B749" t="str">
        <f t="shared" si="22"/>
        <v>SEVROLL Fox II rączka 2,7m biały połysk</v>
      </c>
      <c r="C749" s="185">
        <f t="shared" si="23"/>
        <v>80.416799999999995</v>
      </c>
      <c r="D749" s="407" t="s">
        <v>3202</v>
      </c>
      <c r="E749" s="407" t="s">
        <v>5239</v>
      </c>
      <c r="F749" s="407" t="s">
        <v>5240</v>
      </c>
      <c r="G749" s="407" t="s">
        <v>5241</v>
      </c>
      <c r="H749" s="460">
        <v>600.71082000000001</v>
      </c>
      <c r="I749" s="460">
        <v>21.598759999999999</v>
      </c>
      <c r="J749" s="460">
        <v>80.416799999999995</v>
      </c>
      <c r="K749" s="460">
        <v>8313.0529399999996</v>
      </c>
      <c r="L749" s="459" t="s">
        <v>538</v>
      </c>
      <c r="M749" s="309" t="s">
        <v>571</v>
      </c>
      <c r="N749" s="182"/>
      <c r="O749">
        <v>20.283999999999999</v>
      </c>
      <c r="P749" t="s">
        <v>9371</v>
      </c>
    </row>
    <row r="750" spans="1:16" ht="14.4" x14ac:dyDescent="0.3">
      <c r="A750" s="310">
        <v>205077</v>
      </c>
      <c r="B750" t="str">
        <f t="shared" si="22"/>
        <v>SEVROLL Fox II rączka 2,7m czarny szczotkowany</v>
      </c>
      <c r="C750" s="185">
        <f t="shared" si="23"/>
        <v>90.198599999999999</v>
      </c>
      <c r="D750" s="407" t="s">
        <v>2954</v>
      </c>
      <c r="E750" s="407" t="s">
        <v>5242</v>
      </c>
      <c r="F750" s="407" t="s">
        <v>5243</v>
      </c>
      <c r="G750" s="407" t="s">
        <v>5244</v>
      </c>
      <c r="H750" s="460">
        <v>699.86431000000005</v>
      </c>
      <c r="I750" s="460">
        <v>25.169070000000001</v>
      </c>
      <c r="J750" s="460">
        <v>90.198599999999999</v>
      </c>
      <c r="K750" s="460">
        <v>9685.2075299999997</v>
      </c>
      <c r="L750" s="459" t="s">
        <v>538</v>
      </c>
      <c r="M750" s="309" t="s">
        <v>571</v>
      </c>
      <c r="N750" s="182"/>
      <c r="O750">
        <v>23.122</v>
      </c>
      <c r="P750" t="s">
        <v>9372</v>
      </c>
    </row>
    <row r="751" spans="1:16" ht="14.4" x14ac:dyDescent="0.3">
      <c r="A751" s="310">
        <v>96429</v>
      </c>
      <c r="B751" t="str">
        <f t="shared" si="22"/>
        <v>SEVROLL Fox II rączka 2,7 m, oliwka szczotkowana</v>
      </c>
      <c r="C751" s="185">
        <f t="shared" si="23"/>
        <v>90.198599999999999</v>
      </c>
      <c r="D751" s="407" t="s">
        <v>2782</v>
      </c>
      <c r="E751" s="407" t="s">
        <v>5245</v>
      </c>
      <c r="F751" s="407" t="s">
        <v>2782</v>
      </c>
      <c r="G751" s="407" t="s">
        <v>5246</v>
      </c>
      <c r="H751" s="460">
        <v>699.86431000000005</v>
      </c>
      <c r="I751" s="460">
        <v>25.16385</v>
      </c>
      <c r="J751" s="460">
        <v>90.198599999999999</v>
      </c>
      <c r="K751" s="460">
        <v>9685.2075299999997</v>
      </c>
      <c r="L751" s="459" t="s">
        <v>538</v>
      </c>
      <c r="M751" s="309" t="s">
        <v>571</v>
      </c>
      <c r="N751" s="182"/>
      <c r="O751">
        <v>23.122</v>
      </c>
      <c r="P751" t="s">
        <v>9373</v>
      </c>
    </row>
    <row r="752" spans="1:16" ht="14.4" x14ac:dyDescent="0.3">
      <c r="A752" s="310">
        <v>276751</v>
      </c>
      <c r="B752" t="str">
        <f t="shared" si="22"/>
        <v>SEVROLL Gemini tor górny 1,7 m, biały połysk</v>
      </c>
      <c r="C752" s="185">
        <f t="shared" si="23"/>
        <v>74.653800000000004</v>
      </c>
      <c r="D752" s="407" t="s">
        <v>3222</v>
      </c>
      <c r="E752" s="407" t="s">
        <v>5247</v>
      </c>
      <c r="F752" s="407" t="s">
        <v>5248</v>
      </c>
      <c r="G752" s="407" t="s">
        <v>5249</v>
      </c>
      <c r="H752" s="460">
        <v>511.68982999999997</v>
      </c>
      <c r="I752" s="460">
        <v>18.39798</v>
      </c>
      <c r="J752" s="460">
        <v>74.653800000000004</v>
      </c>
      <c r="K752" s="460">
        <v>7081.1186600000001</v>
      </c>
      <c r="L752" s="459" t="s">
        <v>538</v>
      </c>
      <c r="M752" s="309" t="s">
        <v>571</v>
      </c>
      <c r="N752" s="182"/>
      <c r="O752">
        <v>19.492000000000001</v>
      </c>
      <c r="P752" t="s">
        <v>9374</v>
      </c>
    </row>
    <row r="753" spans="1:16" ht="14.4" x14ac:dyDescent="0.3">
      <c r="A753" s="310">
        <v>205163</v>
      </c>
      <c r="B753" t="str">
        <f t="shared" si="22"/>
        <v>SEVROLL Gemini tor górny 1,7 m czarny szczotkowany</v>
      </c>
      <c r="C753" s="185">
        <f t="shared" si="23"/>
        <v>84.170400000000001</v>
      </c>
      <c r="D753" s="407" t="s">
        <v>2971</v>
      </c>
      <c r="E753" s="407" t="s">
        <v>5250</v>
      </c>
      <c r="F753" s="407" t="s">
        <v>1166</v>
      </c>
      <c r="G753" s="407" t="s">
        <v>5251</v>
      </c>
      <c r="H753" s="460">
        <v>676.70438000000001</v>
      </c>
      <c r="I753" s="460">
        <v>24.331130000000002</v>
      </c>
      <c r="J753" s="460">
        <v>84.170400000000001</v>
      </c>
      <c r="K753" s="460">
        <v>9364.7042000000001</v>
      </c>
      <c r="L753" s="459" t="s">
        <v>538</v>
      </c>
      <c r="M753" s="309" t="s">
        <v>571</v>
      </c>
      <c r="N753" s="182"/>
      <c r="O753">
        <v>22.594000000000001</v>
      </c>
      <c r="P753" t="s">
        <v>9375</v>
      </c>
    </row>
    <row r="754" spans="1:16" ht="14.4" x14ac:dyDescent="0.3">
      <c r="A754" s="310">
        <v>119459</v>
      </c>
      <c r="B754" t="str">
        <f t="shared" si="22"/>
        <v>SEVROLL 02501-Y Gemini tor górny 1,7 m, jasny brąz szczotkowany</v>
      </c>
      <c r="C754" s="185">
        <f t="shared" si="23"/>
        <v>84.170400000000001</v>
      </c>
      <c r="D754" s="407" t="s">
        <v>2820</v>
      </c>
      <c r="E754" s="407" t="s">
        <v>5252</v>
      </c>
      <c r="F754" s="407" t="s">
        <v>5253</v>
      </c>
      <c r="G754" s="407" t="s">
        <v>5254</v>
      </c>
      <c r="H754" s="460">
        <v>676.70438000000001</v>
      </c>
      <c r="I754" s="460">
        <v>24.331130000000002</v>
      </c>
      <c r="J754" s="460">
        <v>84.170400000000001</v>
      </c>
      <c r="K754" s="460">
        <v>9364.7042000000001</v>
      </c>
      <c r="L754" s="459" t="s">
        <v>538</v>
      </c>
      <c r="M754" s="309" t="s">
        <v>571</v>
      </c>
      <c r="N754" s="182"/>
      <c r="O754">
        <v>22.594000000000001</v>
      </c>
      <c r="P754" t="s">
        <v>9376</v>
      </c>
    </row>
    <row r="755" spans="1:16" ht="14.4" x14ac:dyDescent="0.3">
      <c r="A755" s="310">
        <v>205162</v>
      </c>
      <c r="B755" t="str">
        <f t="shared" si="22"/>
        <v>SEVROLL Gemini tor górny 1,7m koniak szczotkowany</v>
      </c>
      <c r="C755" s="185">
        <f t="shared" si="23"/>
        <v>84.170400000000001</v>
      </c>
      <c r="D755" s="407" t="s">
        <v>2970</v>
      </c>
      <c r="E755" s="407" t="s">
        <v>5255</v>
      </c>
      <c r="F755" s="407" t="s">
        <v>5256</v>
      </c>
      <c r="G755" s="407" t="s">
        <v>5257</v>
      </c>
      <c r="H755" s="460">
        <v>676.70438000000001</v>
      </c>
      <c r="I755" s="460">
        <v>24.331130000000002</v>
      </c>
      <c r="J755" s="460">
        <v>84.170400000000001</v>
      </c>
      <c r="K755" s="460">
        <v>9364.7042000000001</v>
      </c>
      <c r="L755" s="459" t="s">
        <v>539</v>
      </c>
      <c r="M755" s="309" t="s">
        <v>571</v>
      </c>
      <c r="N755" s="182"/>
      <c r="O755">
        <v>22.594000000000001</v>
      </c>
      <c r="P755" t="s">
        <v>9377</v>
      </c>
    </row>
    <row r="756" spans="1:16" ht="14.4" x14ac:dyDescent="0.3">
      <c r="A756" s="310">
        <v>267882</v>
      </c>
      <c r="B756" t="str">
        <f t="shared" si="22"/>
        <v>SEVROLL 04060 Gemini tor górny 2,35 m, biały połysk</v>
      </c>
      <c r="C756" s="185">
        <f t="shared" si="23"/>
        <v>103.20359999999999</v>
      </c>
      <c r="D756" s="407" t="s">
        <v>3205</v>
      </c>
      <c r="E756" s="407" t="s">
        <v>5258</v>
      </c>
      <c r="F756" s="407" t="s">
        <v>5259</v>
      </c>
      <c r="G756" s="407" t="s">
        <v>5260</v>
      </c>
      <c r="H756" s="460">
        <v>707.82552999999996</v>
      </c>
      <c r="I756" s="460">
        <v>25.450099999999999</v>
      </c>
      <c r="J756" s="460">
        <v>103.20359999999999</v>
      </c>
      <c r="K756" s="460">
        <v>9795.3803599999992</v>
      </c>
      <c r="L756" s="459" t="s">
        <v>538</v>
      </c>
      <c r="M756" s="309" t="s">
        <v>571</v>
      </c>
      <c r="N756" s="182"/>
      <c r="O756">
        <v>26.928000000000001</v>
      </c>
      <c r="P756" t="s">
        <v>9378</v>
      </c>
    </row>
    <row r="757" spans="1:16" ht="14.4" x14ac:dyDescent="0.3">
      <c r="A757" s="310">
        <v>205165</v>
      </c>
      <c r="B757" t="str">
        <f t="shared" si="22"/>
        <v>SEVROLL Gemini tor górny 2,35 m czarny szczotkowany</v>
      </c>
      <c r="C757" s="185">
        <f t="shared" si="23"/>
        <v>116.5962</v>
      </c>
      <c r="D757" s="407" t="s">
        <v>2973</v>
      </c>
      <c r="E757" s="407" t="s">
        <v>5261</v>
      </c>
      <c r="F757" s="407" t="s">
        <v>1250</v>
      </c>
      <c r="G757" s="407" t="s">
        <v>5262</v>
      </c>
      <c r="H757" s="460">
        <v>935.08237999999994</v>
      </c>
      <c r="I757" s="460">
        <v>33.621200000000002</v>
      </c>
      <c r="J757" s="460">
        <v>116.5962</v>
      </c>
      <c r="K757" s="460">
        <v>12940.31861</v>
      </c>
      <c r="L757" s="459" t="s">
        <v>538</v>
      </c>
      <c r="M757" s="309" t="s">
        <v>571</v>
      </c>
      <c r="N757" s="182"/>
      <c r="O757">
        <v>31.306000000000001</v>
      </c>
      <c r="P757" t="s">
        <v>9379</v>
      </c>
    </row>
    <row r="758" spans="1:16" ht="14.4" x14ac:dyDescent="0.3">
      <c r="A758" s="310">
        <v>120864</v>
      </c>
      <c r="B758" t="str">
        <f t="shared" si="22"/>
        <v>SEVROLL 02498-Y Gemini tor górny 2,35 m, jasny brąz szczotkowany</v>
      </c>
      <c r="C758" s="185">
        <f t="shared" si="23"/>
        <v>116.5962</v>
      </c>
      <c r="D758" s="407" t="s">
        <v>2822</v>
      </c>
      <c r="E758" s="407" t="s">
        <v>5263</v>
      </c>
      <c r="F758" s="407" t="s">
        <v>5264</v>
      </c>
      <c r="G758" s="407" t="s">
        <v>5265</v>
      </c>
      <c r="H758" s="460">
        <v>935.08237999999994</v>
      </c>
      <c r="I758" s="460">
        <v>33.621200000000002</v>
      </c>
      <c r="J758" s="460">
        <v>116.5962</v>
      </c>
      <c r="K758" s="460">
        <v>12940.31861</v>
      </c>
      <c r="L758" s="459" t="s">
        <v>538</v>
      </c>
      <c r="M758" s="309" t="s">
        <v>571</v>
      </c>
      <c r="N758" s="182"/>
      <c r="O758">
        <v>31.306000000000001</v>
      </c>
      <c r="P758" t="s">
        <v>9380</v>
      </c>
    </row>
    <row r="759" spans="1:16" ht="14.4" x14ac:dyDescent="0.3">
      <c r="A759" s="310">
        <v>205164</v>
      </c>
      <c r="B759" t="str">
        <f t="shared" si="22"/>
        <v>SEVROLL Gemini tor górny 2,35m koniak szczotkowany</v>
      </c>
      <c r="C759" s="185">
        <f t="shared" si="23"/>
        <v>116.5962</v>
      </c>
      <c r="D759" s="407" t="s">
        <v>2972</v>
      </c>
      <c r="E759" s="407" t="s">
        <v>5266</v>
      </c>
      <c r="F759" s="407" t="s">
        <v>5267</v>
      </c>
      <c r="G759" s="407" t="s">
        <v>5268</v>
      </c>
      <c r="H759" s="460">
        <v>935.08237999999994</v>
      </c>
      <c r="I759" s="460">
        <v>33.621200000000002</v>
      </c>
      <c r="J759" s="460">
        <v>116.5962</v>
      </c>
      <c r="K759" s="460">
        <v>12940.31861</v>
      </c>
      <c r="L759" s="459" t="s">
        <v>539</v>
      </c>
      <c r="M759" s="309" t="s">
        <v>571</v>
      </c>
      <c r="N759" s="182"/>
      <c r="O759">
        <v>31.306000000000001</v>
      </c>
      <c r="P759" t="s">
        <v>9381</v>
      </c>
    </row>
    <row r="760" spans="1:16" ht="14.4" x14ac:dyDescent="0.3">
      <c r="A760" s="310">
        <v>252566</v>
      </c>
      <c r="B760" t="str">
        <f t="shared" si="22"/>
        <v>SEVROLL Gemini tor górny 3 m, biały połysk</v>
      </c>
      <c r="C760" s="185">
        <f t="shared" si="23"/>
        <v>131.79419999999999</v>
      </c>
      <c r="D760" s="407" t="s">
        <v>3193</v>
      </c>
      <c r="E760" s="407" t="s">
        <v>5269</v>
      </c>
      <c r="F760" s="407" t="s">
        <v>5270</v>
      </c>
      <c r="G760" s="407" t="s">
        <v>5271</v>
      </c>
      <c r="H760" s="460">
        <v>903.23748000000001</v>
      </c>
      <c r="I760" s="460">
        <v>32.476199999999999</v>
      </c>
      <c r="J760" s="460">
        <v>131.79419999999999</v>
      </c>
      <c r="K760" s="460">
        <v>12499.626490000001</v>
      </c>
      <c r="L760" s="459" t="s">
        <v>538</v>
      </c>
      <c r="M760" s="309" t="s">
        <v>571</v>
      </c>
      <c r="N760" s="182"/>
      <c r="O760">
        <v>34.341999999999999</v>
      </c>
      <c r="P760" t="s">
        <v>9382</v>
      </c>
    </row>
    <row r="761" spans="1:16" ht="14.4" x14ac:dyDescent="0.3">
      <c r="A761" s="310">
        <v>205167</v>
      </c>
      <c r="B761" t="str">
        <f t="shared" si="22"/>
        <v>SEVROLL Gemini tor górny 3 m czarny szczotkowany</v>
      </c>
      <c r="C761" s="185">
        <f t="shared" si="23"/>
        <v>148.83840000000001</v>
      </c>
      <c r="D761" s="407" t="s">
        <v>2975</v>
      </c>
      <c r="E761" s="407" t="s">
        <v>5272</v>
      </c>
      <c r="F761" s="407" t="s">
        <v>1249</v>
      </c>
      <c r="G761" s="407" t="s">
        <v>5273</v>
      </c>
      <c r="H761" s="460">
        <v>1193.4604200000001</v>
      </c>
      <c r="I761" s="460">
        <v>42.911270000000002</v>
      </c>
      <c r="J761" s="460">
        <v>148.83840000000001</v>
      </c>
      <c r="K761" s="460">
        <v>16515.93302</v>
      </c>
      <c r="L761" s="459" t="s">
        <v>538</v>
      </c>
      <c r="M761" s="309" t="s">
        <v>571</v>
      </c>
      <c r="N761" s="182"/>
      <c r="O761">
        <v>39.951999999999998</v>
      </c>
      <c r="P761" t="s">
        <v>9383</v>
      </c>
    </row>
    <row r="762" spans="1:16" ht="14.4" x14ac:dyDescent="0.3">
      <c r="A762" s="310">
        <v>120865</v>
      </c>
      <c r="B762" t="str">
        <f t="shared" si="22"/>
        <v>SEVROLL 02499-Y Gemini tor górny 3 m, jasny brąz szczotkowany</v>
      </c>
      <c r="C762" s="185">
        <f t="shared" si="23"/>
        <v>148.83840000000001</v>
      </c>
      <c r="D762" s="407" t="s">
        <v>2823</v>
      </c>
      <c r="E762" s="407" t="s">
        <v>5274</v>
      </c>
      <c r="F762" s="407" t="s">
        <v>5275</v>
      </c>
      <c r="G762" s="407" t="s">
        <v>5276</v>
      </c>
      <c r="H762" s="460">
        <v>1193.4604200000001</v>
      </c>
      <c r="I762" s="460">
        <v>42.911270000000002</v>
      </c>
      <c r="J762" s="460">
        <v>148.83840000000001</v>
      </c>
      <c r="K762" s="460">
        <v>16515.93302</v>
      </c>
      <c r="L762" s="459" t="s">
        <v>538</v>
      </c>
      <c r="M762" s="309" t="s">
        <v>571</v>
      </c>
      <c r="N762" s="182"/>
      <c r="O762">
        <v>39.951999999999998</v>
      </c>
      <c r="P762" t="s">
        <v>9384</v>
      </c>
    </row>
    <row r="763" spans="1:16" ht="14.4" x14ac:dyDescent="0.3">
      <c r="A763" s="310">
        <v>205166</v>
      </c>
      <c r="B763" t="str">
        <f t="shared" si="22"/>
        <v>SEVROLL Gemini tor górny 3m koniak szczotkowany</v>
      </c>
      <c r="C763" s="185">
        <f t="shared" si="23"/>
        <v>148.83840000000001</v>
      </c>
      <c r="D763" s="407" t="s">
        <v>2974</v>
      </c>
      <c r="E763" s="407" t="s">
        <v>5277</v>
      </c>
      <c r="F763" s="407" t="s">
        <v>5278</v>
      </c>
      <c r="G763" s="407" t="s">
        <v>5279</v>
      </c>
      <c r="H763" s="460">
        <v>1193.4604200000001</v>
      </c>
      <c r="I763" s="460">
        <v>42.911270000000002</v>
      </c>
      <c r="J763" s="460">
        <v>148.83840000000001</v>
      </c>
      <c r="K763" s="460">
        <v>16515.93302</v>
      </c>
      <c r="L763" s="459" t="s">
        <v>539</v>
      </c>
      <c r="M763" s="309" t="s">
        <v>571</v>
      </c>
      <c r="N763" s="182"/>
      <c r="O763">
        <v>39.951999999999998</v>
      </c>
      <c r="P763" t="s">
        <v>9385</v>
      </c>
    </row>
    <row r="764" spans="1:16" ht="14.4" x14ac:dyDescent="0.3">
      <c r="A764" s="310">
        <v>276749</v>
      </c>
      <c r="B764" t="str">
        <f t="shared" si="22"/>
        <v>SEVROLL Gemini tor górny 4,05 m, biały połysk</v>
      </c>
      <c r="C764" s="185">
        <f t="shared" si="23"/>
        <v>177.9186</v>
      </c>
      <c r="D764" s="407" t="s">
        <v>3221</v>
      </c>
      <c r="E764" s="407" t="s">
        <v>5280</v>
      </c>
      <c r="F764" s="407" t="s">
        <v>5281</v>
      </c>
      <c r="G764" s="407" t="s">
        <v>5282</v>
      </c>
      <c r="H764" s="460">
        <v>1219.5153600000001</v>
      </c>
      <c r="I764" s="460">
        <v>43.848080000000003</v>
      </c>
      <c r="J764" s="460">
        <v>177.9186</v>
      </c>
      <c r="K764" s="460">
        <v>16876.499019999999</v>
      </c>
      <c r="L764" s="459" t="s">
        <v>538</v>
      </c>
      <c r="M764" s="309" t="s">
        <v>571</v>
      </c>
      <c r="N764" s="182"/>
      <c r="O764">
        <v>46.353999999999999</v>
      </c>
      <c r="P764" t="s">
        <v>9386</v>
      </c>
    </row>
    <row r="765" spans="1:16" ht="14.4" x14ac:dyDescent="0.3">
      <c r="A765" s="310">
        <v>205169</v>
      </c>
      <c r="B765" t="str">
        <f t="shared" si="22"/>
        <v>SEVROLL Gemini tor górny 4,05 m czarny szczotkowany</v>
      </c>
      <c r="C765" s="185">
        <f t="shared" si="23"/>
        <v>200.9196</v>
      </c>
      <c r="D765" s="407" t="s">
        <v>2977</v>
      </c>
      <c r="E765" s="407" t="s">
        <v>5283</v>
      </c>
      <c r="F765" s="407" t="s">
        <v>1248</v>
      </c>
      <c r="G765" s="407" t="s">
        <v>5284</v>
      </c>
      <c r="H765" s="460">
        <v>1611.0630100000001</v>
      </c>
      <c r="I765" s="460">
        <v>57.926310000000001</v>
      </c>
      <c r="J765" s="460">
        <v>200.9196</v>
      </c>
      <c r="K765" s="460">
        <v>22295.006850000002</v>
      </c>
      <c r="L765" s="459" t="s">
        <v>538</v>
      </c>
      <c r="M765" s="309" t="s">
        <v>571</v>
      </c>
      <c r="N765" s="182"/>
      <c r="O765">
        <v>53.944000000000003</v>
      </c>
      <c r="P765" t="s">
        <v>9387</v>
      </c>
    </row>
    <row r="766" spans="1:16" ht="14.4" x14ac:dyDescent="0.3">
      <c r="A766" s="310">
        <v>120867</v>
      </c>
      <c r="B766" t="str">
        <f t="shared" si="22"/>
        <v>SEVROLL 02500-Y Gemini tor górny 4,05 m, jasny brąz szczotkowany</v>
      </c>
      <c r="C766" s="185">
        <f t="shared" si="23"/>
        <v>200.9196</v>
      </c>
      <c r="D766" s="407" t="s">
        <v>2824</v>
      </c>
      <c r="E766" s="407" t="s">
        <v>5285</v>
      </c>
      <c r="F766" s="407" t="s">
        <v>5286</v>
      </c>
      <c r="G766" s="407" t="s">
        <v>5287</v>
      </c>
      <c r="H766" s="460">
        <v>1611.0630100000001</v>
      </c>
      <c r="I766" s="460">
        <v>57.926310000000001</v>
      </c>
      <c r="J766" s="460">
        <v>200.9196</v>
      </c>
      <c r="K766" s="460">
        <v>22295.006850000002</v>
      </c>
      <c r="L766" s="459" t="s">
        <v>539</v>
      </c>
      <c r="M766" s="309" t="s">
        <v>571</v>
      </c>
      <c r="N766" s="182"/>
      <c r="O766">
        <v>53.944000000000003</v>
      </c>
      <c r="P766" t="s">
        <v>9388</v>
      </c>
    </row>
    <row r="767" spans="1:16" ht="14.4" x14ac:dyDescent="0.3">
      <c r="A767" s="310">
        <v>205168</v>
      </c>
      <c r="B767" t="str">
        <f t="shared" si="22"/>
        <v>SEVROLL Gemini tor górny 4,05m koniak szczotkowany</v>
      </c>
      <c r="C767" s="185">
        <f t="shared" si="23"/>
        <v>200.9196</v>
      </c>
      <c r="D767" s="407" t="s">
        <v>2976</v>
      </c>
      <c r="E767" s="407" t="s">
        <v>5288</v>
      </c>
      <c r="F767" s="407" t="s">
        <v>5289</v>
      </c>
      <c r="G767" s="407" t="s">
        <v>5290</v>
      </c>
      <c r="H767" s="460">
        <v>1611.0630100000001</v>
      </c>
      <c r="I767" s="460">
        <v>57.926310000000001</v>
      </c>
      <c r="J767" s="460">
        <v>200.9196</v>
      </c>
      <c r="K767" s="460">
        <v>22295.006850000002</v>
      </c>
      <c r="L767" s="459" t="s">
        <v>539</v>
      </c>
      <c r="M767" s="309" t="s">
        <v>571</v>
      </c>
      <c r="N767" s="182"/>
      <c r="O767">
        <v>53.944000000000003</v>
      </c>
      <c r="P767" t="s">
        <v>9389</v>
      </c>
    </row>
    <row r="768" spans="1:16" ht="14.4" x14ac:dyDescent="0.3">
      <c r="A768" s="310">
        <v>311586</v>
      </c>
      <c r="B768" t="str">
        <f t="shared" si="22"/>
        <v>SEVROLL Gemini tor górny 6m biały połysk</v>
      </c>
      <c r="C768" s="185">
        <f t="shared" si="23"/>
        <v>0</v>
      </c>
      <c r="D768" s="407" t="s">
        <v>3324</v>
      </c>
      <c r="E768" s="407" t="s">
        <v>5291</v>
      </c>
      <c r="F768" s="407" t="s">
        <v>5292</v>
      </c>
      <c r="G768" s="407" t="s">
        <v>5293</v>
      </c>
      <c r="H768" s="460">
        <v>1806.47497</v>
      </c>
      <c r="I768" s="460">
        <v>64.95241</v>
      </c>
      <c r="J768" s="460">
        <v>0</v>
      </c>
      <c r="K768" s="460">
        <v>24999.252980000001</v>
      </c>
      <c r="L768" s="459" t="s">
        <v>539</v>
      </c>
      <c r="M768" s="309" t="s">
        <v>571</v>
      </c>
      <c r="N768" s="182"/>
      <c r="O768">
        <v>68.706000000000003</v>
      </c>
      <c r="P768" t="s">
        <v>9390</v>
      </c>
    </row>
    <row r="769" spans="1:16" ht="14.4" x14ac:dyDescent="0.3">
      <c r="A769" s="310">
        <v>225372</v>
      </c>
      <c r="B769" t="str">
        <f t="shared" si="22"/>
        <v>SEVROLL Gemini tor górny 6m czarny szczotkowany</v>
      </c>
      <c r="C769" s="185">
        <f t="shared" si="23"/>
        <v>0</v>
      </c>
      <c r="D769" s="407" t="s">
        <v>3133</v>
      </c>
      <c r="E769" s="407" t="s">
        <v>5294</v>
      </c>
      <c r="F769" s="407" t="s">
        <v>1165</v>
      </c>
      <c r="G769" s="407" t="s">
        <v>5295</v>
      </c>
      <c r="H769" s="460">
        <v>2386.1970999999999</v>
      </c>
      <c r="I769" s="460">
        <v>85.796509999999998</v>
      </c>
      <c r="J769" s="460">
        <v>0</v>
      </c>
      <c r="K769" s="460">
        <v>33021.850079999997</v>
      </c>
      <c r="L769" s="459" t="s">
        <v>538</v>
      </c>
      <c r="M769" s="309" t="s">
        <v>571</v>
      </c>
      <c r="N769" s="182"/>
      <c r="O769">
        <v>79.903999999999996</v>
      </c>
      <c r="P769" t="s">
        <v>9391</v>
      </c>
    </row>
    <row r="770" spans="1:16" ht="14.4" x14ac:dyDescent="0.3">
      <c r="A770" s="310">
        <v>225370</v>
      </c>
      <c r="B770" t="str">
        <f t="shared" si="22"/>
        <v>SEVROLL Gemini tor górny 6m jasny brąz szczotkowany</v>
      </c>
      <c r="C770" s="185">
        <f t="shared" si="23"/>
        <v>0</v>
      </c>
      <c r="D770" s="407" t="s">
        <v>3131</v>
      </c>
      <c r="E770" s="407" t="s">
        <v>5296</v>
      </c>
      <c r="F770" s="407" t="s">
        <v>1164</v>
      </c>
      <c r="G770" s="407" t="s">
        <v>5297</v>
      </c>
      <c r="H770" s="460">
        <v>2386.1970999999999</v>
      </c>
      <c r="I770" s="460">
        <v>85.796509999999998</v>
      </c>
      <c r="J770" s="460">
        <v>0</v>
      </c>
      <c r="K770" s="460">
        <v>33021.850079999997</v>
      </c>
      <c r="L770" s="459" t="s">
        <v>539</v>
      </c>
      <c r="M770" s="309" t="s">
        <v>571</v>
      </c>
      <c r="N770" s="182"/>
      <c r="O770">
        <v>79.903999999999996</v>
      </c>
      <c r="P770" t="s">
        <v>9392</v>
      </c>
    </row>
    <row r="771" spans="1:16" ht="14.4" x14ac:dyDescent="0.3">
      <c r="A771" s="310">
        <v>225371</v>
      </c>
      <c r="B771" t="str">
        <f t="shared" si="22"/>
        <v>SEVROLL Gemini tor górny 6m koniak szczotkowany</v>
      </c>
      <c r="C771" s="185" t="e">
        <f t="shared" si="23"/>
        <v>#N/A</v>
      </c>
      <c r="D771" s="407" t="s">
        <v>3132</v>
      </c>
      <c r="E771" s="407" t="s">
        <v>5298</v>
      </c>
      <c r="F771" s="407" t="s">
        <v>1163</v>
      </c>
      <c r="G771" s="407" t="s">
        <v>5299</v>
      </c>
      <c r="H771" s="460" t="e">
        <v>#N/A</v>
      </c>
      <c r="I771" s="460" t="e">
        <v>#N/A</v>
      </c>
      <c r="J771" s="460" t="e">
        <v>#N/A</v>
      </c>
      <c r="K771" s="460" t="e">
        <v>#N/A</v>
      </c>
      <c r="L771" s="459" t="e">
        <v>#N/A</v>
      </c>
      <c r="M771" s="309" t="s">
        <v>571</v>
      </c>
      <c r="N771" s="182"/>
      <c r="O771">
        <v>79.903999999999996</v>
      </c>
      <c r="P771" t="s">
        <v>9393</v>
      </c>
    </row>
    <row r="772" spans="1:16" ht="14.4" x14ac:dyDescent="0.3">
      <c r="A772" s="310">
        <v>98070</v>
      </c>
      <c r="B772" t="str">
        <f t="shared" ref="B772:B835" si="24">IF($A$2=1,D772,IF($A$2=2,F772,IF($A$2=3,G772,IF($A$2=4,E772,IF($A$2&gt;4,P772,"zadat jazyk")))))</f>
        <v>SEVROLL Gemini-2 rączka 2,7m srebrny</v>
      </c>
      <c r="C772" s="185">
        <f t="shared" ref="C772:C835" si="25">IF($A$2=1,H772,IF($A$2=2,I772,IF($A$2=3,J772,IF($A$2=4,K772,IF($A$2&gt;4,O772,"zadat jazyk")))))</f>
        <v>78.988799999999998</v>
      </c>
      <c r="D772" s="407" t="s">
        <v>2774</v>
      </c>
      <c r="E772" s="407" t="s">
        <v>5300</v>
      </c>
      <c r="F772" s="407" t="s">
        <v>1245</v>
      </c>
      <c r="G772" s="407" t="s">
        <v>5301</v>
      </c>
      <c r="H772" s="460">
        <v>525.44104000000004</v>
      </c>
      <c r="I772" s="460">
        <v>18.892410000000002</v>
      </c>
      <c r="J772" s="460">
        <v>78.988799999999998</v>
      </c>
      <c r="K772" s="460">
        <v>7271.4172099999996</v>
      </c>
      <c r="L772" s="459" t="s">
        <v>538</v>
      </c>
      <c r="M772" s="309" t="s">
        <v>571</v>
      </c>
      <c r="N772" s="182"/>
      <c r="O772">
        <v>18.611999999999998</v>
      </c>
      <c r="P772" t="s">
        <v>9394</v>
      </c>
    </row>
    <row r="773" spans="1:16" ht="14.4" x14ac:dyDescent="0.3">
      <c r="A773" s="310">
        <v>276737</v>
      </c>
      <c r="B773" t="str">
        <f t="shared" si="24"/>
        <v>SEVROLL listwa pozioma górna 1,7m biały połysk</v>
      </c>
      <c r="C773" s="185">
        <f t="shared" si="25"/>
        <v>59.986199999999997</v>
      </c>
      <c r="D773" s="407" t="s">
        <v>3213</v>
      </c>
      <c r="E773" s="407" t="s">
        <v>5302</v>
      </c>
      <c r="F773" s="407" t="s">
        <v>5303</v>
      </c>
      <c r="G773" s="407" t="s">
        <v>5304</v>
      </c>
      <c r="H773" s="460">
        <v>291.67043000000001</v>
      </c>
      <c r="I773" s="460">
        <v>10.487109999999999</v>
      </c>
      <c r="J773" s="460">
        <v>59.986199999999997</v>
      </c>
      <c r="K773" s="460">
        <v>4036.3376800000001</v>
      </c>
      <c r="L773" s="459" t="s">
        <v>538</v>
      </c>
      <c r="M773" s="309" t="s">
        <v>571</v>
      </c>
      <c r="N773" s="182"/>
      <c r="O773">
        <v>11.33</v>
      </c>
      <c r="P773" t="s">
        <v>9395</v>
      </c>
    </row>
    <row r="774" spans="1:16" ht="14.4" x14ac:dyDescent="0.3">
      <c r="A774" s="310">
        <v>205105</v>
      </c>
      <c r="B774" t="str">
        <f t="shared" si="24"/>
        <v>SEVROLL listwa pozioma górna 1,7 m czarny szczotkowany</v>
      </c>
      <c r="C774" s="185">
        <f t="shared" si="25"/>
        <v>63.382800000000003</v>
      </c>
      <c r="D774" s="407" t="s">
        <v>2963</v>
      </c>
      <c r="E774" s="407" t="s">
        <v>5305</v>
      </c>
      <c r="F774" s="407" t="s">
        <v>5306</v>
      </c>
      <c r="G774" s="407" t="s">
        <v>5307</v>
      </c>
      <c r="H774" s="460">
        <v>364.76897000000002</v>
      </c>
      <c r="I774" s="460">
        <v>13.11539</v>
      </c>
      <c r="J774" s="460">
        <v>63.382800000000003</v>
      </c>
      <c r="K774" s="460">
        <v>5047.9262699999999</v>
      </c>
      <c r="L774" s="459" t="s">
        <v>538</v>
      </c>
      <c r="M774" s="309" t="s">
        <v>571</v>
      </c>
      <c r="N774" s="182"/>
      <c r="O774">
        <v>11.682</v>
      </c>
      <c r="P774" t="s">
        <v>9396</v>
      </c>
    </row>
    <row r="775" spans="1:16" ht="14.4" x14ac:dyDescent="0.3">
      <c r="A775" s="310">
        <v>89231</v>
      </c>
      <c r="B775" t="str">
        <f t="shared" si="24"/>
        <v>SEVROLL listwa pozioma górna 1,7m jasny brąz</v>
      </c>
      <c r="C775" s="185">
        <f t="shared" si="25"/>
        <v>50.755200000000002</v>
      </c>
      <c r="D775" s="407" t="s">
        <v>2664</v>
      </c>
      <c r="E775" s="407" t="s">
        <v>5308</v>
      </c>
      <c r="F775" s="407" t="s">
        <v>5309</v>
      </c>
      <c r="G775" s="407" t="s">
        <v>5310</v>
      </c>
      <c r="H775" s="460">
        <v>267.78674999999998</v>
      </c>
      <c r="I775" s="460">
        <v>9.6283600000000007</v>
      </c>
      <c r="J775" s="460">
        <v>50.755200000000002</v>
      </c>
      <c r="K775" s="460">
        <v>3705.8187600000001</v>
      </c>
      <c r="L775" s="459" t="s">
        <v>538</v>
      </c>
      <c r="M775" s="309" t="s">
        <v>571</v>
      </c>
      <c r="N775" s="182"/>
      <c r="O775">
        <v>8.14</v>
      </c>
      <c r="P775" t="s">
        <v>9397</v>
      </c>
    </row>
    <row r="776" spans="1:16" ht="14.4" x14ac:dyDescent="0.3">
      <c r="A776" s="310">
        <v>119414</v>
      </c>
      <c r="B776" t="str">
        <f t="shared" si="24"/>
        <v>SEVROLL 03042-Y górna listwa prowadząca 1,7m jasny brąz szczotkowany</v>
      </c>
      <c r="C776" s="185">
        <f t="shared" si="25"/>
        <v>63.382800000000003</v>
      </c>
      <c r="D776" s="407" t="s">
        <v>2814</v>
      </c>
      <c r="E776" s="407" t="s">
        <v>5311</v>
      </c>
      <c r="F776" s="407" t="s">
        <v>1242</v>
      </c>
      <c r="G776" s="407" t="s">
        <v>5312</v>
      </c>
      <c r="H776" s="460">
        <v>364.76897000000002</v>
      </c>
      <c r="I776" s="460">
        <v>13.11539</v>
      </c>
      <c r="J776" s="460">
        <v>63.382800000000003</v>
      </c>
      <c r="K776" s="460">
        <v>5047.9262699999999</v>
      </c>
      <c r="L776" s="459" t="s">
        <v>539</v>
      </c>
      <c r="M776" s="309" t="s">
        <v>571</v>
      </c>
      <c r="N776" s="182"/>
      <c r="O776">
        <v>11.682</v>
      </c>
      <c r="P776" t="s">
        <v>9398</v>
      </c>
    </row>
    <row r="777" spans="1:16" ht="14.4" x14ac:dyDescent="0.3">
      <c r="A777" s="310">
        <v>205103</v>
      </c>
      <c r="B777" t="str">
        <f t="shared" si="24"/>
        <v>SEVROLL listwa pozioma górna 1,7 m oliwka ciemna szczotkowana</v>
      </c>
      <c r="C777" s="185">
        <f t="shared" si="25"/>
        <v>63.382800000000003</v>
      </c>
      <c r="D777" s="407" t="s">
        <v>2962</v>
      </c>
      <c r="E777" s="407" t="s">
        <v>5313</v>
      </c>
      <c r="F777" s="407" t="s">
        <v>5314</v>
      </c>
      <c r="G777" s="407" t="s">
        <v>5315</v>
      </c>
      <c r="H777" s="460">
        <v>364.76897000000002</v>
      </c>
      <c r="I777" s="460">
        <v>13.11539</v>
      </c>
      <c r="J777" s="460">
        <v>63.382800000000003</v>
      </c>
      <c r="K777" s="460">
        <v>5047.9262699999999</v>
      </c>
      <c r="L777" s="459" t="s">
        <v>539</v>
      </c>
      <c r="M777" s="309" t="s">
        <v>571</v>
      </c>
      <c r="N777" s="182"/>
      <c r="O777">
        <v>11.682</v>
      </c>
      <c r="P777" t="s">
        <v>9399</v>
      </c>
    </row>
    <row r="778" spans="1:16" ht="14.4" x14ac:dyDescent="0.3">
      <c r="A778" s="310">
        <v>89230</v>
      </c>
      <c r="B778" t="str">
        <f t="shared" si="24"/>
        <v>SEVROLL listwa pozioma górna 1,7m srebrny</v>
      </c>
      <c r="C778" s="185">
        <f t="shared" si="25"/>
        <v>46.144799999999996</v>
      </c>
      <c r="D778" s="407" t="s">
        <v>2663</v>
      </c>
      <c r="E778" s="407" t="s">
        <v>5316</v>
      </c>
      <c r="F778" s="407" t="s">
        <v>5317</v>
      </c>
      <c r="G778" s="407" t="s">
        <v>5318</v>
      </c>
      <c r="H778" s="460">
        <v>224.36187000000001</v>
      </c>
      <c r="I778" s="460">
        <v>8.0670099999999998</v>
      </c>
      <c r="J778" s="460">
        <v>46.144799999999996</v>
      </c>
      <c r="K778" s="460">
        <v>3104.87518</v>
      </c>
      <c r="L778" s="459" t="s">
        <v>538</v>
      </c>
      <c r="M778" s="309" t="s">
        <v>571</v>
      </c>
      <c r="N778" s="182"/>
      <c r="O778">
        <v>7.766</v>
      </c>
      <c r="P778" t="s">
        <v>9400</v>
      </c>
    </row>
    <row r="779" spans="1:16" ht="14.4" x14ac:dyDescent="0.3">
      <c r="A779" s="310">
        <v>267944</v>
      </c>
      <c r="B779" t="str">
        <f t="shared" si="24"/>
        <v>SEVROLL listwa pozioma górna 2,35m biały połysk</v>
      </c>
      <c r="C779" s="185">
        <f t="shared" si="25"/>
        <v>82.936199999999999</v>
      </c>
      <c r="D779" s="407" t="s">
        <v>3206</v>
      </c>
      <c r="E779" s="407" t="s">
        <v>5319</v>
      </c>
      <c r="F779" s="407" t="s">
        <v>5320</v>
      </c>
      <c r="G779" s="407" t="s">
        <v>5321</v>
      </c>
      <c r="H779" s="460">
        <v>403.85138000000001</v>
      </c>
      <c r="I779" s="460">
        <v>14.52061</v>
      </c>
      <c r="J779" s="460">
        <v>82.936199999999999</v>
      </c>
      <c r="K779" s="460">
        <v>5588.7752499999997</v>
      </c>
      <c r="L779" s="459" t="s">
        <v>538</v>
      </c>
      <c r="M779" s="309" t="s">
        <v>571</v>
      </c>
      <c r="N779" s="182"/>
      <c r="O779">
        <v>15.641999999999999</v>
      </c>
      <c r="P779" t="s">
        <v>9401</v>
      </c>
    </row>
    <row r="780" spans="1:16" ht="14.4" x14ac:dyDescent="0.3">
      <c r="A780" s="310">
        <v>205157</v>
      </c>
      <c r="B780" t="str">
        <f t="shared" si="24"/>
        <v>SEVROLL listwa pozioma górna 2,35m czarny szczotkowany</v>
      </c>
      <c r="C780" s="185">
        <f t="shared" si="25"/>
        <v>87.638400000000004</v>
      </c>
      <c r="D780" s="407" t="s">
        <v>2965</v>
      </c>
      <c r="E780" s="407" t="s">
        <v>5322</v>
      </c>
      <c r="F780" s="407" t="s">
        <v>1241</v>
      </c>
      <c r="G780" s="407" t="s">
        <v>5323</v>
      </c>
      <c r="H780" s="460">
        <v>505.89983999999998</v>
      </c>
      <c r="I780" s="460">
        <v>18.189800000000002</v>
      </c>
      <c r="J780" s="460">
        <v>87.638400000000004</v>
      </c>
      <c r="K780" s="460">
        <v>7000.9929199999997</v>
      </c>
      <c r="L780" s="459" t="s">
        <v>538</v>
      </c>
      <c r="M780" s="309" t="s">
        <v>571</v>
      </c>
      <c r="N780" s="182"/>
      <c r="O780">
        <v>16.192</v>
      </c>
      <c r="P780" t="s">
        <v>9402</v>
      </c>
    </row>
    <row r="781" spans="1:16" ht="14.4" x14ac:dyDescent="0.3">
      <c r="A781" s="310">
        <v>89233</v>
      </c>
      <c r="B781" t="str">
        <f t="shared" si="24"/>
        <v>SEVROLL listwa pozioma górna 2,35m jasny brąz</v>
      </c>
      <c r="C781" s="185">
        <f t="shared" si="25"/>
        <v>70.186199999999999</v>
      </c>
      <c r="D781" s="407" t="s">
        <v>2666</v>
      </c>
      <c r="E781" s="407" t="s">
        <v>5324</v>
      </c>
      <c r="F781" s="407" t="s">
        <v>5325</v>
      </c>
      <c r="G781" s="407" t="s">
        <v>5326</v>
      </c>
      <c r="H781" s="460">
        <v>371.28271000000001</v>
      </c>
      <c r="I781" s="460">
        <v>13.349589999999999</v>
      </c>
      <c r="J781" s="460">
        <v>70.186199999999999</v>
      </c>
      <c r="K781" s="460">
        <v>5138.0675700000002</v>
      </c>
      <c r="L781" s="459" t="s">
        <v>538</v>
      </c>
      <c r="M781" s="309" t="s">
        <v>571</v>
      </c>
      <c r="N781" s="182"/>
      <c r="O781">
        <v>11.286</v>
      </c>
      <c r="P781" t="s">
        <v>9403</v>
      </c>
    </row>
    <row r="782" spans="1:16" ht="14.4" x14ac:dyDescent="0.3">
      <c r="A782" s="310">
        <v>119415</v>
      </c>
      <c r="B782" t="str">
        <f t="shared" si="24"/>
        <v>SEVROLL 03043-Y górna listwa prowadząca 2,35m  jasny brąz szczotkowany</v>
      </c>
      <c r="C782" s="185">
        <f t="shared" si="25"/>
        <v>87.638400000000004</v>
      </c>
      <c r="D782" s="407" t="s">
        <v>2815</v>
      </c>
      <c r="E782" s="407" t="s">
        <v>5327</v>
      </c>
      <c r="F782" s="407" t="s">
        <v>1240</v>
      </c>
      <c r="G782" s="407" t="s">
        <v>5328</v>
      </c>
      <c r="H782" s="460">
        <v>505.89983999999998</v>
      </c>
      <c r="I782" s="460">
        <v>18.189800000000002</v>
      </c>
      <c r="J782" s="460">
        <v>87.638400000000004</v>
      </c>
      <c r="K782" s="460">
        <v>7000.9929199999997</v>
      </c>
      <c r="L782" s="459" t="s">
        <v>538</v>
      </c>
      <c r="M782" s="309" t="s">
        <v>571</v>
      </c>
      <c r="N782" s="182"/>
      <c r="O782">
        <v>16.192</v>
      </c>
      <c r="P782" t="s">
        <v>9404</v>
      </c>
    </row>
    <row r="783" spans="1:16" ht="14.4" x14ac:dyDescent="0.3">
      <c r="A783" s="310">
        <v>205156</v>
      </c>
      <c r="B783" t="str">
        <f t="shared" si="24"/>
        <v>SEVROLL listwa pozioma górna 2,35 m oliwka ciemna szczotkowana</v>
      </c>
      <c r="C783" s="185">
        <f t="shared" si="25"/>
        <v>87.638400000000004</v>
      </c>
      <c r="D783" s="407" t="s">
        <v>2964</v>
      </c>
      <c r="E783" s="407" t="s">
        <v>5329</v>
      </c>
      <c r="F783" s="407" t="s">
        <v>5330</v>
      </c>
      <c r="G783" s="407" t="s">
        <v>5331</v>
      </c>
      <c r="H783" s="460">
        <v>505.89983999999998</v>
      </c>
      <c r="I783" s="460">
        <v>18.189800000000002</v>
      </c>
      <c r="J783" s="460">
        <v>87.638400000000004</v>
      </c>
      <c r="K783" s="460">
        <v>7000.9929199999997</v>
      </c>
      <c r="L783" s="459" t="s">
        <v>539</v>
      </c>
      <c r="M783" s="309" t="s">
        <v>571</v>
      </c>
      <c r="N783" s="182"/>
      <c r="O783">
        <v>16.192</v>
      </c>
      <c r="P783" t="s">
        <v>9405</v>
      </c>
    </row>
    <row r="784" spans="1:16" ht="14.4" x14ac:dyDescent="0.3">
      <c r="A784" s="310">
        <v>89232</v>
      </c>
      <c r="B784" t="str">
        <f t="shared" si="24"/>
        <v>SEVROLL listwa pozioma górna 2,35m srebrny</v>
      </c>
      <c r="C784" s="185">
        <f t="shared" si="25"/>
        <v>63.801000000000002</v>
      </c>
      <c r="D784" s="407" t="s">
        <v>2665</v>
      </c>
      <c r="E784" s="407" t="s">
        <v>5332</v>
      </c>
      <c r="F784" s="407" t="s">
        <v>5333</v>
      </c>
      <c r="G784" s="407" t="s">
        <v>5334</v>
      </c>
      <c r="H784" s="460">
        <v>310.48788999999999</v>
      </c>
      <c r="I784" s="460">
        <v>11.1637</v>
      </c>
      <c r="J784" s="460">
        <v>63.801000000000002</v>
      </c>
      <c r="K784" s="460">
        <v>4296.7467900000001</v>
      </c>
      <c r="L784" s="459" t="s">
        <v>538</v>
      </c>
      <c r="M784" s="309" t="s">
        <v>571</v>
      </c>
      <c r="N784" s="182"/>
      <c r="O784">
        <v>10.802</v>
      </c>
      <c r="P784" t="s">
        <v>9406</v>
      </c>
    </row>
    <row r="785" spans="1:16" ht="14.4" x14ac:dyDescent="0.3">
      <c r="A785" s="310">
        <v>89252</v>
      </c>
      <c r="B785" t="str">
        <f t="shared" si="24"/>
        <v>SEVROLL listwa pozioma górna 2,35m złoty</v>
      </c>
      <c r="C785" s="185">
        <f t="shared" si="25"/>
        <v>70.186199999999999</v>
      </c>
      <c r="D785" s="407" t="s">
        <v>2678</v>
      </c>
      <c r="E785" s="407" t="s">
        <v>5335</v>
      </c>
      <c r="F785" s="407" t="s">
        <v>5336</v>
      </c>
      <c r="G785" s="407" t="s">
        <v>5337</v>
      </c>
      <c r="H785" s="460">
        <v>371.28271000000001</v>
      </c>
      <c r="I785" s="460">
        <v>13.349589999999999</v>
      </c>
      <c r="J785" s="460">
        <v>70.186199999999999</v>
      </c>
      <c r="K785" s="460">
        <v>5138.0675700000002</v>
      </c>
      <c r="L785" s="459" t="s">
        <v>539</v>
      </c>
      <c r="M785" s="309" t="s">
        <v>571</v>
      </c>
      <c r="N785" s="182"/>
      <c r="O785">
        <v>11.286</v>
      </c>
      <c r="P785" t="s">
        <v>9407</v>
      </c>
    </row>
    <row r="786" spans="1:16" ht="14.4" x14ac:dyDescent="0.3">
      <c r="A786" s="310">
        <v>265066</v>
      </c>
      <c r="B786" t="str">
        <f t="shared" si="24"/>
        <v>SEVROLL listwa pozioma górna 3m biały połysk</v>
      </c>
      <c r="C786" s="185">
        <f t="shared" si="25"/>
        <v>105.8454</v>
      </c>
      <c r="D786" s="407" t="s">
        <v>3203</v>
      </c>
      <c r="E786" s="407" t="s">
        <v>5338</v>
      </c>
      <c r="F786" s="407" t="s">
        <v>5339</v>
      </c>
      <c r="G786" s="407" t="s">
        <v>5340</v>
      </c>
      <c r="H786" s="460">
        <v>515.30856000000006</v>
      </c>
      <c r="I786" s="460">
        <v>18.528089999999999</v>
      </c>
      <c r="J786" s="460">
        <v>105.8454</v>
      </c>
      <c r="K786" s="460">
        <v>7131.1972999999998</v>
      </c>
      <c r="L786" s="459" t="s">
        <v>538</v>
      </c>
      <c r="M786" s="309" t="s">
        <v>571</v>
      </c>
      <c r="N786" s="182"/>
      <c r="O786">
        <v>19.931999999999999</v>
      </c>
      <c r="P786" t="s">
        <v>9408</v>
      </c>
    </row>
    <row r="787" spans="1:16" ht="14.4" x14ac:dyDescent="0.3">
      <c r="A787" s="310">
        <v>205159</v>
      </c>
      <c r="B787" t="str">
        <f t="shared" si="24"/>
        <v>SEVROLL listwa pozioma górna 3m czarny szczotkowany</v>
      </c>
      <c r="C787" s="185">
        <f t="shared" si="25"/>
        <v>111.41459999999999</v>
      </c>
      <c r="D787" s="407" t="s">
        <v>2967</v>
      </c>
      <c r="E787" s="407" t="s">
        <v>5341</v>
      </c>
      <c r="F787" s="407" t="s">
        <v>1239</v>
      </c>
      <c r="G787" s="407" t="s">
        <v>5342</v>
      </c>
      <c r="H787" s="460">
        <v>644.85945000000004</v>
      </c>
      <c r="I787" s="460">
        <v>23.186140000000002</v>
      </c>
      <c r="J787" s="460">
        <v>111.41459999999999</v>
      </c>
      <c r="K787" s="460">
        <v>8924.0120800000004</v>
      </c>
      <c r="L787" s="459" t="s">
        <v>538</v>
      </c>
      <c r="M787" s="309" t="s">
        <v>571</v>
      </c>
      <c r="N787" s="182"/>
      <c r="O787">
        <v>20.635999999999999</v>
      </c>
      <c r="P787" t="s">
        <v>9409</v>
      </c>
    </row>
    <row r="788" spans="1:16" ht="14.4" x14ac:dyDescent="0.3">
      <c r="A788" s="310">
        <v>89235</v>
      </c>
      <c r="B788" t="str">
        <f t="shared" si="24"/>
        <v>SEVROLL listwa pozioma górna 3m jasny brąz</v>
      </c>
      <c r="C788" s="185">
        <f t="shared" si="25"/>
        <v>89.566199999999995</v>
      </c>
      <c r="D788" s="407" t="s">
        <v>2668</v>
      </c>
      <c r="E788" s="407" t="s">
        <v>5343</v>
      </c>
      <c r="F788" s="407" t="s">
        <v>5344</v>
      </c>
      <c r="G788" s="407" t="s">
        <v>5345</v>
      </c>
      <c r="H788" s="460">
        <v>474.05493999999999</v>
      </c>
      <c r="I788" s="460">
        <v>17.044799999999999</v>
      </c>
      <c r="J788" s="460">
        <v>89.566199999999995</v>
      </c>
      <c r="K788" s="460">
        <v>6560.3008</v>
      </c>
      <c r="L788" s="459" t="s">
        <v>538</v>
      </c>
      <c r="M788" s="309" t="s">
        <v>571</v>
      </c>
      <c r="N788" s="182"/>
      <c r="O788">
        <v>14.41</v>
      </c>
      <c r="P788" t="s">
        <v>9410</v>
      </c>
    </row>
    <row r="789" spans="1:16" ht="14.4" x14ac:dyDescent="0.3">
      <c r="A789" s="310">
        <v>119416</v>
      </c>
      <c r="B789" t="str">
        <f t="shared" si="24"/>
        <v>SEVROLL 03044-Y górna listwa prowadząca 3m  jasny brąz szczotkowany</v>
      </c>
      <c r="C789" s="185">
        <f t="shared" si="25"/>
        <v>111.41459999999999</v>
      </c>
      <c r="D789" s="407" t="s">
        <v>2816</v>
      </c>
      <c r="E789" s="407" t="s">
        <v>5346</v>
      </c>
      <c r="F789" s="407" t="s">
        <v>1238</v>
      </c>
      <c r="G789" s="407" t="s">
        <v>5347</v>
      </c>
      <c r="H789" s="460">
        <v>644.85945000000004</v>
      </c>
      <c r="I789" s="460">
        <v>23.186140000000002</v>
      </c>
      <c r="J789" s="460">
        <v>111.41459999999999</v>
      </c>
      <c r="K789" s="460">
        <v>8924.0120800000004</v>
      </c>
      <c r="L789" s="459" t="s">
        <v>538</v>
      </c>
      <c r="M789" s="309" t="s">
        <v>571</v>
      </c>
      <c r="N789" s="182"/>
      <c r="O789">
        <v>20.635999999999999</v>
      </c>
      <c r="P789" t="s">
        <v>9411</v>
      </c>
    </row>
    <row r="790" spans="1:16" ht="14.4" x14ac:dyDescent="0.3">
      <c r="A790" s="310">
        <v>205158</v>
      </c>
      <c r="B790" t="str">
        <f t="shared" si="24"/>
        <v>SEVROLL listwa pozioma górna 3 m oliwka ciemna szczotkowana</v>
      </c>
      <c r="C790" s="185">
        <f t="shared" si="25"/>
        <v>111.41459999999999</v>
      </c>
      <c r="D790" s="407" t="s">
        <v>2966</v>
      </c>
      <c r="E790" s="407" t="s">
        <v>5348</v>
      </c>
      <c r="F790" s="407" t="s">
        <v>5349</v>
      </c>
      <c r="G790" s="407" t="s">
        <v>5350</v>
      </c>
      <c r="H790" s="460">
        <v>644.85945000000004</v>
      </c>
      <c r="I790" s="460">
        <v>23.186140000000002</v>
      </c>
      <c r="J790" s="460">
        <v>111.41459999999999</v>
      </c>
      <c r="K790" s="460">
        <v>8924.0120800000004</v>
      </c>
      <c r="L790" s="459" t="s">
        <v>539</v>
      </c>
      <c r="M790" s="309" t="s">
        <v>571</v>
      </c>
      <c r="N790" s="182"/>
      <c r="O790">
        <v>20.635999999999999</v>
      </c>
      <c r="P790" t="s">
        <v>9412</v>
      </c>
    </row>
    <row r="791" spans="1:16" ht="14.4" x14ac:dyDescent="0.3">
      <c r="A791" s="310">
        <v>89234</v>
      </c>
      <c r="B791" t="str">
        <f t="shared" si="24"/>
        <v>SEVROLL listwa pozioma górna 3m srebrny</v>
      </c>
      <c r="C791" s="185">
        <f t="shared" si="25"/>
        <v>81.426599999999993</v>
      </c>
      <c r="D791" s="407" t="s">
        <v>2667</v>
      </c>
      <c r="E791" s="407" t="s">
        <v>5351</v>
      </c>
      <c r="F791" s="407" t="s">
        <v>5352</v>
      </c>
      <c r="G791" s="407" t="s">
        <v>5353</v>
      </c>
      <c r="H791" s="460">
        <v>396.6139</v>
      </c>
      <c r="I791" s="460">
        <v>14.26038</v>
      </c>
      <c r="J791" s="460">
        <v>81.426599999999993</v>
      </c>
      <c r="K791" s="460">
        <v>5488.6179899999997</v>
      </c>
      <c r="L791" s="459" t="s">
        <v>538</v>
      </c>
      <c r="M791" s="309" t="s">
        <v>571</v>
      </c>
      <c r="N791" s="182"/>
      <c r="O791">
        <v>13.772</v>
      </c>
      <c r="P791" t="s">
        <v>9413</v>
      </c>
    </row>
    <row r="792" spans="1:16" ht="14.4" x14ac:dyDescent="0.3">
      <c r="A792" s="310">
        <v>89253</v>
      </c>
      <c r="B792" t="str">
        <f t="shared" si="24"/>
        <v>SEVROLL listwa pozioma górna 3m złoty</v>
      </c>
      <c r="C792" s="185">
        <f t="shared" si="25"/>
        <v>89.566199999999995</v>
      </c>
      <c r="D792" s="407" t="s">
        <v>2679</v>
      </c>
      <c r="E792" s="407" t="s">
        <v>5354</v>
      </c>
      <c r="F792" s="407" t="s">
        <v>5355</v>
      </c>
      <c r="G792" s="407" t="s">
        <v>5356</v>
      </c>
      <c r="H792" s="460">
        <v>474.05493999999999</v>
      </c>
      <c r="I792" s="460">
        <v>17.044799999999999</v>
      </c>
      <c r="J792" s="460">
        <v>89.566199999999995</v>
      </c>
      <c r="K792" s="460">
        <v>6560.3008</v>
      </c>
      <c r="L792" s="459" t="s">
        <v>539</v>
      </c>
      <c r="M792" s="309" t="s">
        <v>571</v>
      </c>
      <c r="N792" s="182"/>
      <c r="O792">
        <v>14.41</v>
      </c>
      <c r="P792" t="s">
        <v>9414</v>
      </c>
    </row>
    <row r="793" spans="1:16" ht="14.4" x14ac:dyDescent="0.3">
      <c r="A793" s="310">
        <v>224149</v>
      </c>
      <c r="B793" t="str">
        <f t="shared" si="24"/>
        <v>SEVROLL tor górny Simple/Blue 1,5 m (do płyty laminowanej 10 mm) oliwka</v>
      </c>
      <c r="C793" s="185" t="e">
        <f t="shared" si="25"/>
        <v>#N/A</v>
      </c>
      <c r="D793" s="407" t="s">
        <v>3115</v>
      </c>
      <c r="E793" s="407" t="s">
        <v>5357</v>
      </c>
      <c r="F793" s="407" t="s">
        <v>5358</v>
      </c>
      <c r="G793" s="407" t="s">
        <v>5359</v>
      </c>
      <c r="H793" s="460" t="e">
        <v>#N/A</v>
      </c>
      <c r="I793" s="460" t="e">
        <v>#N/A</v>
      </c>
      <c r="J793" s="460" t="e">
        <v>#N/A</v>
      </c>
      <c r="K793" s="460" t="e">
        <v>#N/A</v>
      </c>
      <c r="L793" s="459" t="e">
        <v>#N/A</v>
      </c>
      <c r="M793" s="309" t="s">
        <v>571</v>
      </c>
      <c r="N793" s="182"/>
      <c r="O793" t="e">
        <v>#N/A</v>
      </c>
      <c r="P793" t="e">
        <v>#N/A</v>
      </c>
    </row>
    <row r="794" spans="1:16" ht="14.4" x14ac:dyDescent="0.3">
      <c r="A794" s="310">
        <v>224151</v>
      </c>
      <c r="B794" t="str">
        <f t="shared" si="24"/>
        <v>SEVROLL tor dolny Simple/Blue 2,5 m (do płyty laminowanej 10 mm) oliwka</v>
      </c>
      <c r="C794" s="185" t="e">
        <f t="shared" si="25"/>
        <v>#N/A</v>
      </c>
      <c r="D794" s="407" t="s">
        <v>3117</v>
      </c>
      <c r="E794" s="407" t="s">
        <v>5360</v>
      </c>
      <c r="F794" s="407" t="s">
        <v>5361</v>
      </c>
      <c r="G794" s="407" t="s">
        <v>5362</v>
      </c>
      <c r="H794" s="460" t="e">
        <v>#N/A</v>
      </c>
      <c r="I794" s="460" t="e">
        <v>#N/A</v>
      </c>
      <c r="J794" s="460" t="e">
        <v>#N/A</v>
      </c>
      <c r="K794" s="460" t="e">
        <v>#N/A</v>
      </c>
      <c r="L794" s="459" t="e">
        <v>#N/A</v>
      </c>
      <c r="M794" s="309" t="s">
        <v>571</v>
      </c>
      <c r="N794" s="182"/>
      <c r="O794" t="e">
        <v>#N/A</v>
      </c>
      <c r="P794" t="e">
        <v>#N/A</v>
      </c>
    </row>
    <row r="795" spans="1:16" ht="14.4" x14ac:dyDescent="0.3">
      <c r="A795" s="310">
        <v>224150</v>
      </c>
      <c r="B795" t="str">
        <f t="shared" si="24"/>
        <v>SEVROLL tor górny Simple/Blue 2 m (do płyty laminowanej 10 mm) oliwka</v>
      </c>
      <c r="C795" s="185" t="e">
        <f t="shared" si="25"/>
        <v>#N/A</v>
      </c>
      <c r="D795" s="407" t="s">
        <v>3116</v>
      </c>
      <c r="E795" s="407" t="s">
        <v>5363</v>
      </c>
      <c r="F795" s="407" t="s">
        <v>5364</v>
      </c>
      <c r="G795" s="407" t="s">
        <v>5365</v>
      </c>
      <c r="H795" s="460" t="e">
        <v>#N/A</v>
      </c>
      <c r="I795" s="460" t="e">
        <v>#N/A</v>
      </c>
      <c r="J795" s="460" t="e">
        <v>#N/A</v>
      </c>
      <c r="K795" s="460" t="e">
        <v>#N/A</v>
      </c>
      <c r="L795" s="459" t="e">
        <v>#N/A</v>
      </c>
      <c r="M795" s="309" t="s">
        <v>571</v>
      </c>
      <c r="N795" s="182"/>
      <c r="O795" t="e">
        <v>#N/A</v>
      </c>
      <c r="P795" t="e">
        <v>#N/A</v>
      </c>
    </row>
    <row r="796" spans="1:16" ht="14.4" x14ac:dyDescent="0.3">
      <c r="A796" s="310">
        <v>223563</v>
      </c>
      <c r="B796" t="str">
        <f t="shared" si="24"/>
        <v>SEVROLL listwa poz. górna Simple/Blue 3m (do płyty laminowanej 10mm) jasny brąz</v>
      </c>
      <c r="C796" s="185">
        <f t="shared" si="25"/>
        <v>52.450780000000002</v>
      </c>
      <c r="D796" s="407" t="s">
        <v>3077</v>
      </c>
      <c r="E796" s="407" t="s">
        <v>5366</v>
      </c>
      <c r="F796" s="407" t="s">
        <v>5367</v>
      </c>
      <c r="G796" s="407" t="s">
        <v>5368</v>
      </c>
      <c r="H796" s="460">
        <v>413.81202999999999</v>
      </c>
      <c r="I796" s="460">
        <v>15.04106</v>
      </c>
      <c r="J796" s="460">
        <v>52.450780000000002</v>
      </c>
      <c r="K796" s="460">
        <v>5879.8990400000002</v>
      </c>
      <c r="L796" s="459" t="s">
        <v>538</v>
      </c>
      <c r="M796" s="309" t="s">
        <v>571</v>
      </c>
      <c r="N796" s="182"/>
      <c r="O796">
        <v>12.606</v>
      </c>
      <c r="P796" t="s">
        <v>9415</v>
      </c>
    </row>
    <row r="797" spans="1:16" ht="14.4" x14ac:dyDescent="0.3">
      <c r="A797" s="310">
        <v>222573</v>
      </c>
      <c r="B797" t="str">
        <f t="shared" si="24"/>
        <v>SEVROLL tor dolny Simple/Blue 3m (do płyty laminowanej 10mm) srebrny</v>
      </c>
      <c r="C797" s="185">
        <f t="shared" si="25"/>
        <v>45.607320000000001</v>
      </c>
      <c r="D797" s="407" t="s">
        <v>3031</v>
      </c>
      <c r="E797" s="407" t="s">
        <v>5369</v>
      </c>
      <c r="F797" s="407" t="s">
        <v>5370</v>
      </c>
      <c r="G797" s="407" t="s">
        <v>5371</v>
      </c>
      <c r="H797" s="460">
        <v>330.76324</v>
      </c>
      <c r="I797" s="460">
        <v>12.02244</v>
      </c>
      <c r="J797" s="460">
        <v>45.607320000000001</v>
      </c>
      <c r="K797" s="460">
        <v>4699.85023</v>
      </c>
      <c r="L797" s="459" t="s">
        <v>538</v>
      </c>
      <c r="M797" s="309" t="s">
        <v>571</v>
      </c>
      <c r="N797" s="182"/>
      <c r="O797">
        <v>11.176</v>
      </c>
      <c r="P797" t="s">
        <v>9416</v>
      </c>
    </row>
    <row r="798" spans="1:16" ht="14.4" x14ac:dyDescent="0.3">
      <c r="A798" s="310">
        <v>224134</v>
      </c>
      <c r="B798" t="e">
        <f t="shared" si="24"/>
        <v>#N/A</v>
      </c>
      <c r="C798" s="185" t="e">
        <f t="shared" si="25"/>
        <v>#N/A</v>
      </c>
      <c r="D798" s="407" t="e">
        <v>#N/A</v>
      </c>
      <c r="E798" s="407" t="e">
        <v>#N/A</v>
      </c>
      <c r="F798" s="407" t="e">
        <v>#N/A</v>
      </c>
      <c r="G798" s="407" t="e">
        <v>#N/A</v>
      </c>
      <c r="H798" s="460" t="e">
        <v>#N/A</v>
      </c>
      <c r="I798" s="460" t="e">
        <v>#N/A</v>
      </c>
      <c r="J798" s="460" t="e">
        <v>#N/A</v>
      </c>
      <c r="K798" s="460" t="e">
        <v>#N/A</v>
      </c>
      <c r="L798" s="459" t="e">
        <v>#N/A</v>
      </c>
      <c r="M798" s="309" t="s">
        <v>571</v>
      </c>
      <c r="N798" s="182"/>
      <c r="O798" t="e">
        <v>#N/A</v>
      </c>
      <c r="P798" t="e">
        <v>#N/A</v>
      </c>
    </row>
    <row r="799" spans="1:16" ht="14.4" x14ac:dyDescent="0.3">
      <c r="A799" s="310">
        <v>224131</v>
      </c>
      <c r="B799" t="str">
        <f t="shared" si="24"/>
        <v>SEVROLL tor dolny Simple/Blue 1,5m (do płyty laminowanej 18mm) srebrny</v>
      </c>
      <c r="C799" s="185">
        <f t="shared" si="25"/>
        <v>24.998290000000001</v>
      </c>
      <c r="D799" s="407" t="s">
        <v>3102</v>
      </c>
      <c r="E799" s="407" t="s">
        <v>5372</v>
      </c>
      <c r="F799" s="407" t="s">
        <v>5373</v>
      </c>
      <c r="G799" s="407" t="s">
        <v>2479</v>
      </c>
      <c r="H799" s="460">
        <v>143.18754999999999</v>
      </c>
      <c r="I799" s="460">
        <v>5.2045199999999996</v>
      </c>
      <c r="J799" s="460">
        <v>24.998290000000001</v>
      </c>
      <c r="K799" s="460">
        <v>2034.56717</v>
      </c>
      <c r="L799" s="459" t="s">
        <v>538</v>
      </c>
      <c r="M799" s="309" t="s">
        <v>571</v>
      </c>
      <c r="N799" s="182"/>
      <c r="O799">
        <v>4.9720000000000004</v>
      </c>
      <c r="P799" t="s">
        <v>9417</v>
      </c>
    </row>
    <row r="800" spans="1:16" ht="14.4" x14ac:dyDescent="0.3">
      <c r="A800" s="310">
        <v>224136</v>
      </c>
      <c r="B800" t="str">
        <f t="shared" si="24"/>
        <v>SEVROLL tor dolny Simple/Blue 2,5 m (do płyty laminowanej 18 mm) oliwka</v>
      </c>
      <c r="C800" s="185" t="e">
        <f t="shared" si="25"/>
        <v>#N/A</v>
      </c>
      <c r="D800" s="407" t="s">
        <v>3106</v>
      </c>
      <c r="E800" s="407" t="s">
        <v>5374</v>
      </c>
      <c r="F800" s="407" t="s">
        <v>5375</v>
      </c>
      <c r="G800" s="407" t="s">
        <v>5376</v>
      </c>
      <c r="H800" s="460" t="e">
        <v>#N/A</v>
      </c>
      <c r="I800" s="460" t="e">
        <v>#N/A</v>
      </c>
      <c r="J800" s="460" t="e">
        <v>#N/A</v>
      </c>
      <c r="K800" s="460" t="e">
        <v>#N/A</v>
      </c>
      <c r="L800" s="459" t="e">
        <v>#N/A</v>
      </c>
      <c r="M800" s="309" t="s">
        <v>571</v>
      </c>
      <c r="N800" s="182"/>
      <c r="O800">
        <v>0</v>
      </c>
      <c r="P800" t="s">
        <v>9418</v>
      </c>
    </row>
    <row r="801" spans="1:16" ht="14.4" x14ac:dyDescent="0.3">
      <c r="A801" s="310">
        <v>224133</v>
      </c>
      <c r="B801" t="str">
        <f t="shared" si="24"/>
        <v>SEVROLL tor górny Simple/Blue 2,5 m (do płyty laminowanej 18 mm) srebrny</v>
      </c>
      <c r="C801" s="185" t="e">
        <f t="shared" si="25"/>
        <v>#N/A</v>
      </c>
      <c r="D801" s="407" t="s">
        <v>3104</v>
      </c>
      <c r="E801" s="407" t="s">
        <v>5377</v>
      </c>
      <c r="F801" s="407" t="s">
        <v>5378</v>
      </c>
      <c r="G801" s="407" t="s">
        <v>5379</v>
      </c>
      <c r="H801" s="460" t="e">
        <v>#N/A</v>
      </c>
      <c r="I801" s="460" t="e">
        <v>#N/A</v>
      </c>
      <c r="J801" s="460" t="e">
        <v>#N/A</v>
      </c>
      <c r="K801" s="460" t="e">
        <v>#N/A</v>
      </c>
      <c r="L801" s="459" t="e">
        <v>#N/A</v>
      </c>
      <c r="M801" s="309" t="s">
        <v>571</v>
      </c>
      <c r="N801" s="182"/>
      <c r="O801">
        <v>8.0739999999999998</v>
      </c>
      <c r="P801" t="s">
        <v>9419</v>
      </c>
    </row>
    <row r="802" spans="1:16" ht="14.4" x14ac:dyDescent="0.3">
      <c r="A802" s="310">
        <v>224135</v>
      </c>
      <c r="B802" t="str">
        <f t="shared" si="24"/>
        <v>SEVROLL listwa poz. górna Simple/Blue 2m (do płyty laminowanej 18mm) jasny brąz</v>
      </c>
      <c r="C802" s="185">
        <f t="shared" si="25"/>
        <v>38.323360000000001</v>
      </c>
      <c r="D802" s="407" t="s">
        <v>3105</v>
      </c>
      <c r="E802" s="407" t="s">
        <v>5380</v>
      </c>
      <c r="F802" s="407" t="s">
        <v>5381</v>
      </c>
      <c r="G802" s="407" t="s">
        <v>5382</v>
      </c>
      <c r="H802" s="460">
        <v>236.25945999999999</v>
      </c>
      <c r="I802" s="460">
        <v>8.5874600000000001</v>
      </c>
      <c r="J802" s="460">
        <v>38.323360000000001</v>
      </c>
      <c r="K802" s="460">
        <v>3357.0358299999998</v>
      </c>
      <c r="L802" s="459" t="s">
        <v>538</v>
      </c>
      <c r="M802" s="309" t="s">
        <v>571</v>
      </c>
      <c r="N802" s="182"/>
      <c r="O802">
        <v>7.37</v>
      </c>
      <c r="P802" t="s">
        <v>9420</v>
      </c>
    </row>
    <row r="803" spans="1:16" ht="14.4" x14ac:dyDescent="0.3">
      <c r="A803" s="310">
        <v>224132</v>
      </c>
      <c r="B803" t="str">
        <f t="shared" si="24"/>
        <v>SEVROLL tor górny Simple/Blue 2m (do płyty laminowanej 18mm) srebrny</v>
      </c>
      <c r="C803" s="185">
        <f t="shared" si="25"/>
        <v>33.336289999999998</v>
      </c>
      <c r="D803" s="407" t="s">
        <v>3103</v>
      </c>
      <c r="E803" s="407" t="s">
        <v>5383</v>
      </c>
      <c r="F803" s="407" t="s">
        <v>5384</v>
      </c>
      <c r="G803" s="407" t="s">
        <v>5385</v>
      </c>
      <c r="H803" s="460">
        <v>190.43944999999999</v>
      </c>
      <c r="I803" s="460">
        <v>6.9220100000000002</v>
      </c>
      <c r="J803" s="460">
        <v>33.336289999999998</v>
      </c>
      <c r="K803" s="460">
        <v>2705.97417</v>
      </c>
      <c r="L803" s="459" t="s">
        <v>538</v>
      </c>
      <c r="M803" s="309" t="s">
        <v>571</v>
      </c>
      <c r="N803" s="182"/>
      <c r="O803">
        <v>6.5339999999999998</v>
      </c>
      <c r="P803" t="s">
        <v>9421</v>
      </c>
    </row>
    <row r="804" spans="1:16" ht="14.4" x14ac:dyDescent="0.3">
      <c r="A804" s="310">
        <v>223561</v>
      </c>
      <c r="B804" t="str">
        <f t="shared" si="24"/>
        <v>SEVROLL listwa poz. górna Simple/Blue 3m (do płyty laminowanej 18mm) jasny brąz</v>
      </c>
      <c r="C804" s="185">
        <f t="shared" si="25"/>
        <v>57.532240000000002</v>
      </c>
      <c r="D804" s="407" t="s">
        <v>3075</v>
      </c>
      <c r="E804" s="407" t="s">
        <v>5386</v>
      </c>
      <c r="F804" s="407" t="s">
        <v>5387</v>
      </c>
      <c r="G804" s="407" t="s">
        <v>5388</v>
      </c>
      <c r="H804" s="460">
        <v>353.67324000000002</v>
      </c>
      <c r="I804" s="460">
        <v>12.85516</v>
      </c>
      <c r="J804" s="460">
        <v>57.532240000000002</v>
      </c>
      <c r="K804" s="460">
        <v>5025.3810700000004</v>
      </c>
      <c r="L804" s="459" t="s">
        <v>538</v>
      </c>
      <c r="M804" s="309" t="s">
        <v>571</v>
      </c>
      <c r="N804" s="182"/>
      <c r="O804">
        <v>10.868</v>
      </c>
      <c r="P804" t="s">
        <v>9422</v>
      </c>
    </row>
    <row r="805" spans="1:16" ht="14.4" x14ac:dyDescent="0.3">
      <c r="A805" s="310">
        <v>222571</v>
      </c>
      <c r="B805" t="str">
        <f t="shared" si="24"/>
        <v>SEVROLL tor dolny Simple/Blue 3m (do płyty laminowanej 18mm) srebrny</v>
      </c>
      <c r="C805" s="185">
        <f t="shared" si="25"/>
        <v>50.028039999999997</v>
      </c>
      <c r="D805" s="407" t="s">
        <v>3029</v>
      </c>
      <c r="E805" s="407" t="s">
        <v>5389</v>
      </c>
      <c r="F805" s="407" t="s">
        <v>5390</v>
      </c>
      <c r="G805" s="407" t="s">
        <v>2381</v>
      </c>
      <c r="H805" s="460">
        <v>285.65917000000002</v>
      </c>
      <c r="I805" s="460">
        <v>10.38302</v>
      </c>
      <c r="J805" s="460">
        <v>50.028039999999997</v>
      </c>
      <c r="K805" s="460">
        <v>4058.9616799999999</v>
      </c>
      <c r="L805" s="459" t="s">
        <v>538</v>
      </c>
      <c r="M805" s="309" t="s">
        <v>571</v>
      </c>
      <c r="N805" s="182"/>
      <c r="O805">
        <v>9.5920000000000005</v>
      </c>
      <c r="P805" t="s">
        <v>9423</v>
      </c>
    </row>
    <row r="806" spans="1:16" ht="14.4" x14ac:dyDescent="0.3">
      <c r="A806" s="310">
        <v>89265</v>
      </c>
      <c r="B806" t="str">
        <f t="shared" si="24"/>
        <v>SEVROLL wózek górny 10mm asymetryczny L+P</v>
      </c>
      <c r="C806" s="185">
        <f t="shared" si="25"/>
        <v>27.305399999999999</v>
      </c>
      <c r="D806" s="407" t="s">
        <v>2749</v>
      </c>
      <c r="E806" s="407" t="s">
        <v>5391</v>
      </c>
      <c r="F806" s="407" t="s">
        <v>5392</v>
      </c>
      <c r="G806" s="407" t="s">
        <v>5393</v>
      </c>
      <c r="H806" s="460">
        <v>165.12128999999999</v>
      </c>
      <c r="I806" s="460">
        <v>5.5948599999999997</v>
      </c>
      <c r="J806" s="460">
        <v>27.305399999999999</v>
      </c>
      <c r="K806" s="460">
        <v>2204.04898</v>
      </c>
      <c r="L806" s="459" t="s">
        <v>538</v>
      </c>
      <c r="M806" s="309" t="s">
        <v>572</v>
      </c>
      <c r="N806" s="182"/>
      <c r="O806">
        <v>5.258</v>
      </c>
      <c r="P806" t="s">
        <v>9424</v>
      </c>
    </row>
    <row r="807" spans="1:16" ht="14.4" x14ac:dyDescent="0.3">
      <c r="A807" s="310">
        <v>349943</v>
      </c>
      <c r="B807" t="str">
        <f t="shared" si="24"/>
        <v>SEVROLL wózek górny Blue 10mm symetryczny L+P</v>
      </c>
      <c r="C807" s="185">
        <f t="shared" si="25"/>
        <v>15.244389999999999</v>
      </c>
      <c r="D807" s="407" t="s">
        <v>3425</v>
      </c>
      <c r="E807" s="407" t="s">
        <v>5394</v>
      </c>
      <c r="F807" s="407" t="s">
        <v>5395</v>
      </c>
      <c r="G807" s="407" t="s">
        <v>5396</v>
      </c>
      <c r="H807" s="460">
        <v>107.52083</v>
      </c>
      <c r="I807" s="460">
        <v>3.64316</v>
      </c>
      <c r="J807" s="460">
        <v>15.244389999999999</v>
      </c>
      <c r="K807" s="460">
        <v>1435.1946800000001</v>
      </c>
      <c r="L807" s="459" t="s">
        <v>538</v>
      </c>
      <c r="M807" s="309" t="s">
        <v>574</v>
      </c>
      <c r="N807" s="182"/>
      <c r="O807">
        <v>3.08</v>
      </c>
      <c r="P807" t="s">
        <v>9425</v>
      </c>
    </row>
    <row r="808" spans="1:16" ht="14.4" x14ac:dyDescent="0.3">
      <c r="A808" s="310">
        <v>228009</v>
      </c>
      <c r="B808" t="str">
        <f t="shared" si="24"/>
        <v>SEVROLL wózek górny Gemini symetryczny 10mm - 2szt</v>
      </c>
      <c r="C808" s="185">
        <f t="shared" si="25"/>
        <v>23.174399999999999</v>
      </c>
      <c r="D808" s="407" t="s">
        <v>3145</v>
      </c>
      <c r="E808" s="407" t="s">
        <v>5397</v>
      </c>
      <c r="F808" s="407" t="s">
        <v>5398</v>
      </c>
      <c r="G808" s="407" t="s">
        <v>5399</v>
      </c>
      <c r="H808" s="460">
        <v>152.83319</v>
      </c>
      <c r="I808" s="460">
        <v>5.1758899999999999</v>
      </c>
      <c r="J808" s="460">
        <v>23.174399999999999</v>
      </c>
      <c r="K808" s="460">
        <v>2040.0269000000001</v>
      </c>
      <c r="L808" s="459" t="s">
        <v>538</v>
      </c>
      <c r="M808" s="309" t="s">
        <v>572</v>
      </c>
      <c r="N808" s="182"/>
      <c r="O808">
        <v>4.8620000000000001</v>
      </c>
      <c r="P808" t="s">
        <v>9426</v>
      </c>
    </row>
    <row r="809" spans="1:16" ht="14.4" x14ac:dyDescent="0.3">
      <c r="A809" s="310">
        <v>216354</v>
      </c>
      <c r="B809" t="str">
        <f t="shared" si="24"/>
        <v>SEVROLL wózek górny Simple (10 mm Fala) asymetryczny L+P</v>
      </c>
      <c r="C809" s="185">
        <f t="shared" si="25"/>
        <v>8.4953299999999992</v>
      </c>
      <c r="D809" s="407" t="s">
        <v>3012</v>
      </c>
      <c r="E809" s="407" t="s">
        <v>5400</v>
      </c>
      <c r="F809" s="407" t="s">
        <v>1058</v>
      </c>
      <c r="G809" s="407" t="s">
        <v>5401</v>
      </c>
      <c r="H809" s="460">
        <v>63.744489999999999</v>
      </c>
      <c r="I809" s="460">
        <v>2.1598799999999998</v>
      </c>
      <c r="J809" s="460">
        <v>8.4953299999999992</v>
      </c>
      <c r="K809" s="460">
        <v>850.86532</v>
      </c>
      <c r="L809" s="459" t="s">
        <v>539</v>
      </c>
      <c r="M809" s="309" t="s">
        <v>574</v>
      </c>
      <c r="N809" s="182"/>
      <c r="O809">
        <v>1.8260000000000001</v>
      </c>
      <c r="P809" t="s">
        <v>9427</v>
      </c>
    </row>
    <row r="810" spans="1:16" ht="14.4" x14ac:dyDescent="0.3">
      <c r="A810" s="310">
        <v>216355</v>
      </c>
      <c r="B810" t="str">
        <f t="shared" si="24"/>
        <v>SEVROLL wózek górny Simple (10 mm Polo) symetryczny L+P</v>
      </c>
      <c r="C810" s="185">
        <f t="shared" si="25"/>
        <v>8.4953299999999992</v>
      </c>
      <c r="D810" s="407" t="s">
        <v>3013</v>
      </c>
      <c r="E810" s="407" t="s">
        <v>5402</v>
      </c>
      <c r="F810" s="407" t="s">
        <v>1057</v>
      </c>
      <c r="G810" s="407" t="s">
        <v>5403</v>
      </c>
      <c r="H810" s="460">
        <v>63.744489999999999</v>
      </c>
      <c r="I810" s="460">
        <v>2.1598799999999998</v>
      </c>
      <c r="J810" s="460">
        <v>8.4953299999999992</v>
      </c>
      <c r="K810" s="460">
        <v>850.86532</v>
      </c>
      <c r="L810" s="459" t="s">
        <v>539</v>
      </c>
      <c r="M810" s="309" t="s">
        <v>574</v>
      </c>
      <c r="N810" s="182"/>
      <c r="O810">
        <v>1.8260000000000001</v>
      </c>
      <c r="P810" t="s">
        <v>9428</v>
      </c>
    </row>
    <row r="811" spans="1:16" ht="14.4" x14ac:dyDescent="0.3">
      <c r="A811" s="310">
        <v>216357</v>
      </c>
      <c r="B811" t="str">
        <f t="shared" si="24"/>
        <v>SEVROLL wózek górny Simple (do płyty laminowanej 18mm) bezramowy L+P</v>
      </c>
      <c r="C811" s="185">
        <f t="shared" si="25"/>
        <v>7.5828699999999998</v>
      </c>
      <c r="D811" s="407" t="s">
        <v>3015</v>
      </c>
      <c r="E811" s="407" t="s">
        <v>5404</v>
      </c>
      <c r="F811" s="407" t="s">
        <v>5405</v>
      </c>
      <c r="G811" s="407" t="s">
        <v>5406</v>
      </c>
      <c r="H811" s="460">
        <v>65.280519999999996</v>
      </c>
      <c r="I811" s="460">
        <v>2.2119200000000001</v>
      </c>
      <c r="J811" s="460">
        <v>7.5828699999999998</v>
      </c>
      <c r="K811" s="460">
        <v>871.36820999999998</v>
      </c>
      <c r="L811" s="459" t="s">
        <v>539</v>
      </c>
      <c r="M811" s="309" t="s">
        <v>574</v>
      </c>
      <c r="N811" s="182"/>
      <c r="O811">
        <v>1.87</v>
      </c>
      <c r="P811" t="s">
        <v>9429</v>
      </c>
    </row>
    <row r="812" spans="1:16" ht="14.4" x14ac:dyDescent="0.3">
      <c r="A812" s="310">
        <v>216356</v>
      </c>
      <c r="B812" t="str">
        <f t="shared" si="24"/>
        <v>SEVROLL wózek górny Simple (do płyty laminowanej 18 mm) ramowy L+P</v>
      </c>
      <c r="C812" s="185">
        <f t="shared" si="25"/>
        <v>8.4953299999999992</v>
      </c>
      <c r="D812" s="407" t="s">
        <v>3014</v>
      </c>
      <c r="E812" s="407" t="s">
        <v>5407</v>
      </c>
      <c r="F812" s="407" t="s">
        <v>1056</v>
      </c>
      <c r="G812" s="407" t="s">
        <v>5408</v>
      </c>
      <c r="H812" s="460">
        <v>63.744489999999999</v>
      </c>
      <c r="I812" s="460">
        <v>2.1598799999999998</v>
      </c>
      <c r="J812" s="460">
        <v>8.4953299999999992</v>
      </c>
      <c r="K812" s="460">
        <v>850.86532</v>
      </c>
      <c r="L812" s="459" t="s">
        <v>539</v>
      </c>
      <c r="M812" s="309" t="s">
        <v>574</v>
      </c>
      <c r="N812" s="182"/>
      <c r="O812">
        <v>1.8260000000000001</v>
      </c>
      <c r="P812" t="s">
        <v>9430</v>
      </c>
    </row>
    <row r="813" spans="1:16" ht="14.4" x14ac:dyDescent="0.3">
      <c r="A813" s="310">
        <v>250125</v>
      </c>
      <c r="B813" t="e">
        <f t="shared" si="24"/>
        <v>#N/A</v>
      </c>
      <c r="C813" s="185" t="e">
        <f t="shared" si="25"/>
        <v>#N/A</v>
      </c>
      <c r="D813" s="407" t="e">
        <v>#N/A</v>
      </c>
      <c r="E813" s="407" t="e">
        <v>#N/A</v>
      </c>
      <c r="F813" s="407" t="e">
        <v>#N/A</v>
      </c>
      <c r="G813" s="407" t="e">
        <v>#N/A</v>
      </c>
      <c r="H813" s="460" t="e">
        <v>#N/A</v>
      </c>
      <c r="I813" s="460" t="e">
        <v>#N/A</v>
      </c>
      <c r="J813" s="460" t="e">
        <v>#N/A</v>
      </c>
      <c r="K813" s="460" t="e">
        <v>#N/A</v>
      </c>
      <c r="L813" s="459" t="e">
        <v>#N/A</v>
      </c>
      <c r="M813" s="309" t="s">
        <v>571</v>
      </c>
      <c r="N813" s="182"/>
      <c r="O813" t="e">
        <v>#N/A</v>
      </c>
      <c r="P813" t="e">
        <v>#N/A</v>
      </c>
    </row>
    <row r="814" spans="1:16" ht="14.4" x14ac:dyDescent="0.3">
      <c r="A814" s="310">
        <v>250126</v>
      </c>
      <c r="B814" t="e">
        <f t="shared" si="24"/>
        <v>#N/A</v>
      </c>
      <c r="C814" s="185" t="e">
        <f t="shared" si="25"/>
        <v>#N/A</v>
      </c>
      <c r="D814" s="407" t="e">
        <v>#N/A</v>
      </c>
      <c r="E814" s="407" t="e">
        <v>#N/A</v>
      </c>
      <c r="F814" s="407" t="e">
        <v>#N/A</v>
      </c>
      <c r="G814" s="407" t="e">
        <v>#N/A</v>
      </c>
      <c r="H814" s="460" t="e">
        <v>#N/A</v>
      </c>
      <c r="I814" s="460" t="e">
        <v>#N/A</v>
      </c>
      <c r="J814" s="460" t="e">
        <v>#N/A</v>
      </c>
      <c r="K814" s="460" t="e">
        <v>#N/A</v>
      </c>
      <c r="L814" s="459" t="e">
        <v>#N/A</v>
      </c>
      <c r="M814" s="309" t="s">
        <v>571</v>
      </c>
      <c r="N814" s="182"/>
      <c r="O814" t="e">
        <v>#N/A</v>
      </c>
      <c r="P814" t="e">
        <v>#N/A</v>
      </c>
    </row>
    <row r="815" spans="1:16" ht="14.4" x14ac:dyDescent="0.3">
      <c r="A815" s="310">
        <v>250132</v>
      </c>
      <c r="B815" t="e">
        <f t="shared" si="24"/>
        <v>#N/A</v>
      </c>
      <c r="C815" s="185" t="e">
        <f t="shared" si="25"/>
        <v>#N/A</v>
      </c>
      <c r="D815" s="407" t="e">
        <v>#N/A</v>
      </c>
      <c r="E815" s="407" t="e">
        <v>#N/A</v>
      </c>
      <c r="F815" s="407" t="e">
        <v>#N/A</v>
      </c>
      <c r="G815" s="407" t="e">
        <v>#N/A</v>
      </c>
      <c r="H815" s="460" t="e">
        <v>#N/A</v>
      </c>
      <c r="I815" s="460" t="e">
        <v>#N/A</v>
      </c>
      <c r="J815" s="460" t="e">
        <v>#N/A</v>
      </c>
      <c r="K815" s="460" t="e">
        <v>#N/A</v>
      </c>
      <c r="L815" s="459" t="e">
        <v>#N/A</v>
      </c>
      <c r="M815" s="309" t="s">
        <v>571</v>
      </c>
      <c r="N815" s="182"/>
      <c r="O815" t="e">
        <v>#N/A</v>
      </c>
      <c r="P815" t="e">
        <v>#N/A</v>
      </c>
    </row>
    <row r="816" spans="1:16" ht="14.4" x14ac:dyDescent="0.3">
      <c r="A816" s="310">
        <v>89173</v>
      </c>
      <c r="B816" t="e">
        <f t="shared" si="24"/>
        <v>#N/A</v>
      </c>
      <c r="C816" s="185" t="e">
        <f t="shared" si="25"/>
        <v>#N/A</v>
      </c>
      <c r="D816" s="407" t="e">
        <v>#N/A</v>
      </c>
      <c r="E816" s="407" t="e">
        <v>#N/A</v>
      </c>
      <c r="F816" s="407" t="e">
        <v>#N/A</v>
      </c>
      <c r="G816" s="407" t="e">
        <v>#N/A</v>
      </c>
      <c r="H816" s="460" t="e">
        <v>#N/A</v>
      </c>
      <c r="I816" s="460" t="e">
        <v>#N/A</v>
      </c>
      <c r="J816" s="460" t="e">
        <v>#N/A</v>
      </c>
      <c r="K816" s="460" t="e">
        <v>#N/A</v>
      </c>
      <c r="L816" s="459" t="e">
        <v>#N/A</v>
      </c>
      <c r="M816" s="309" t="s">
        <v>571</v>
      </c>
      <c r="N816" s="182"/>
      <c r="O816" t="e">
        <v>#N/A</v>
      </c>
      <c r="P816" t="e">
        <v>#N/A</v>
      </c>
    </row>
    <row r="817" spans="1:16" ht="14.4" x14ac:dyDescent="0.3">
      <c r="A817" s="310">
        <v>89174</v>
      </c>
      <c r="B817" t="e">
        <f t="shared" si="24"/>
        <v>#N/A</v>
      </c>
      <c r="C817" s="185" t="e">
        <f t="shared" si="25"/>
        <v>#N/A</v>
      </c>
      <c r="D817" s="407" t="e">
        <v>#N/A</v>
      </c>
      <c r="E817" s="407" t="e">
        <v>#N/A</v>
      </c>
      <c r="F817" s="407" t="e">
        <v>#N/A</v>
      </c>
      <c r="G817" s="407" t="e">
        <v>#N/A</v>
      </c>
      <c r="H817" s="460" t="e">
        <v>#N/A</v>
      </c>
      <c r="I817" s="460" t="e">
        <v>#N/A</v>
      </c>
      <c r="J817" s="460" t="e">
        <v>#N/A</v>
      </c>
      <c r="K817" s="460" t="e">
        <v>#N/A</v>
      </c>
      <c r="L817" s="459" t="e">
        <v>#N/A</v>
      </c>
      <c r="M817" s="309" t="s">
        <v>571</v>
      </c>
      <c r="N817" s="182"/>
      <c r="O817" t="e">
        <v>#N/A</v>
      </c>
      <c r="P817" t="e">
        <v>#N/A</v>
      </c>
    </row>
    <row r="818" spans="1:16" ht="14.4" x14ac:dyDescent="0.3">
      <c r="A818" s="310">
        <v>89172</v>
      </c>
      <c r="B818" t="str">
        <f t="shared" si="24"/>
        <v>SEVROLL zaślepka do toru Cleft 1,7m złoty</v>
      </c>
      <c r="C818" s="185" t="e">
        <f t="shared" si="25"/>
        <v>#N/A</v>
      </c>
      <c r="D818" s="407" t="s">
        <v>1055</v>
      </c>
      <c r="E818" s="407" t="s">
        <v>5409</v>
      </c>
      <c r="F818" s="407" t="s">
        <v>5410</v>
      </c>
      <c r="G818" s="407" t="s">
        <v>5411</v>
      </c>
      <c r="H818" s="460" t="e">
        <v>#N/A</v>
      </c>
      <c r="I818" s="460" t="e">
        <v>#N/A</v>
      </c>
      <c r="J818" s="460" t="e">
        <v>#N/A</v>
      </c>
      <c r="K818" s="460" t="e">
        <v>#N/A</v>
      </c>
      <c r="L818" s="459" t="e">
        <v>#N/A</v>
      </c>
      <c r="M818" s="309" t="s">
        <v>571</v>
      </c>
      <c r="N818" s="182"/>
      <c r="O818" t="e">
        <v>#N/A</v>
      </c>
      <c r="P818" t="e">
        <v>#N/A</v>
      </c>
    </row>
    <row r="819" spans="1:16" ht="14.4" x14ac:dyDescent="0.3">
      <c r="A819" s="310">
        <v>89176</v>
      </c>
      <c r="B819" t="e">
        <f t="shared" si="24"/>
        <v>#N/A</v>
      </c>
      <c r="C819" s="185" t="e">
        <f t="shared" si="25"/>
        <v>#N/A</v>
      </c>
      <c r="D819" s="407" t="e">
        <v>#N/A</v>
      </c>
      <c r="E819" s="407" t="e">
        <v>#N/A</v>
      </c>
      <c r="F819" s="407" t="e">
        <v>#N/A</v>
      </c>
      <c r="G819" s="407" t="e">
        <v>#N/A</v>
      </c>
      <c r="H819" s="460" t="e">
        <v>#N/A</v>
      </c>
      <c r="I819" s="460" t="e">
        <v>#N/A</v>
      </c>
      <c r="J819" s="460" t="e">
        <v>#N/A</v>
      </c>
      <c r="K819" s="460" t="e">
        <v>#N/A</v>
      </c>
      <c r="L819" s="459" t="e">
        <v>#N/A</v>
      </c>
      <c r="M819" s="309" t="s">
        <v>571</v>
      </c>
      <c r="N819" s="182"/>
      <c r="O819" t="e">
        <v>#N/A</v>
      </c>
      <c r="P819" t="e">
        <v>#N/A</v>
      </c>
    </row>
    <row r="820" spans="1:16" ht="14.4" x14ac:dyDescent="0.3">
      <c r="A820" s="310">
        <v>89177</v>
      </c>
      <c r="B820" t="str">
        <f t="shared" si="24"/>
        <v>SEVROLL zaślepka do toru Cleft 2,35m srebrny</v>
      </c>
      <c r="C820" s="185" t="e">
        <f t="shared" si="25"/>
        <v>#N/A</v>
      </c>
      <c r="D820" s="407" t="s">
        <v>1054</v>
      </c>
      <c r="E820" s="407" t="s">
        <v>5412</v>
      </c>
      <c r="F820" s="407" t="s">
        <v>5413</v>
      </c>
      <c r="G820" s="407" t="s">
        <v>5414</v>
      </c>
      <c r="H820" s="460" t="e">
        <v>#N/A</v>
      </c>
      <c r="I820" s="460" t="e">
        <v>#N/A</v>
      </c>
      <c r="J820" s="460" t="e">
        <v>#N/A</v>
      </c>
      <c r="K820" s="460" t="e">
        <v>#N/A</v>
      </c>
      <c r="L820" s="459" t="e">
        <v>#N/A</v>
      </c>
      <c r="M820" s="309" t="s">
        <v>571</v>
      </c>
      <c r="N820" s="182"/>
      <c r="O820">
        <v>3.0784199999999999</v>
      </c>
      <c r="P820" t="s">
        <v>9431</v>
      </c>
    </row>
    <row r="821" spans="1:16" ht="14.4" x14ac:dyDescent="0.3">
      <c r="A821" s="310">
        <v>89175</v>
      </c>
      <c r="B821" t="str">
        <f t="shared" si="24"/>
        <v>SEVROLL zaślepka do toru Cleft 2,35m złoty</v>
      </c>
      <c r="C821" s="185" t="e">
        <f t="shared" si="25"/>
        <v>#N/A</v>
      </c>
      <c r="D821" s="407" t="s">
        <v>1053</v>
      </c>
      <c r="E821" s="407" t="s">
        <v>5415</v>
      </c>
      <c r="F821" s="407" t="s">
        <v>5416</v>
      </c>
      <c r="G821" s="407" t="s">
        <v>5417</v>
      </c>
      <c r="H821" s="460" t="e">
        <v>#N/A</v>
      </c>
      <c r="I821" s="460" t="e">
        <v>#N/A</v>
      </c>
      <c r="J821" s="460" t="e">
        <v>#N/A</v>
      </c>
      <c r="K821" s="460" t="e">
        <v>#N/A</v>
      </c>
      <c r="L821" s="459" t="e">
        <v>#N/A</v>
      </c>
      <c r="M821" s="309" t="s">
        <v>571</v>
      </c>
      <c r="N821" s="182"/>
      <c r="O821" t="e">
        <v>#N/A</v>
      </c>
      <c r="P821" t="e">
        <v>#N/A</v>
      </c>
    </row>
    <row r="822" spans="1:16" ht="14.4" x14ac:dyDescent="0.3">
      <c r="A822" s="310">
        <v>89179</v>
      </c>
      <c r="B822" t="e">
        <f t="shared" si="24"/>
        <v>#N/A</v>
      </c>
      <c r="C822" s="185" t="e">
        <f t="shared" si="25"/>
        <v>#N/A</v>
      </c>
      <c r="D822" s="407" t="e">
        <v>#N/A</v>
      </c>
      <c r="E822" s="407" t="e">
        <v>#N/A</v>
      </c>
      <c r="F822" s="407" t="e">
        <v>#N/A</v>
      </c>
      <c r="G822" s="407" t="e">
        <v>#N/A</v>
      </c>
      <c r="H822" s="460" t="e">
        <v>#N/A</v>
      </c>
      <c r="I822" s="460" t="e">
        <v>#N/A</v>
      </c>
      <c r="J822" s="460" t="e">
        <v>#N/A</v>
      </c>
      <c r="K822" s="460" t="e">
        <v>#N/A</v>
      </c>
      <c r="L822" s="459" t="e">
        <v>#N/A</v>
      </c>
      <c r="M822" s="309" t="s">
        <v>571</v>
      </c>
      <c r="N822" s="182"/>
      <c r="O822" t="e">
        <v>#N/A</v>
      </c>
      <c r="P822" t="e">
        <v>#N/A</v>
      </c>
    </row>
    <row r="823" spans="1:16" ht="14.4" x14ac:dyDescent="0.3">
      <c r="A823" s="310">
        <v>89180</v>
      </c>
      <c r="B823" t="e">
        <f t="shared" si="24"/>
        <v>#N/A</v>
      </c>
      <c r="C823" s="185" t="e">
        <f t="shared" si="25"/>
        <v>#N/A</v>
      </c>
      <c r="D823" s="407" t="e">
        <v>#N/A</v>
      </c>
      <c r="E823" s="407" t="e">
        <v>#N/A</v>
      </c>
      <c r="F823" s="407" t="e">
        <v>#N/A</v>
      </c>
      <c r="G823" s="407" t="e">
        <v>#N/A</v>
      </c>
      <c r="H823" s="460" t="e">
        <v>#N/A</v>
      </c>
      <c r="I823" s="460" t="e">
        <v>#N/A</v>
      </c>
      <c r="J823" s="460" t="e">
        <v>#N/A</v>
      </c>
      <c r="K823" s="460" t="e">
        <v>#N/A</v>
      </c>
      <c r="L823" s="459" t="e">
        <v>#N/A</v>
      </c>
      <c r="M823" s="309" t="s">
        <v>571</v>
      </c>
      <c r="N823" s="182"/>
      <c r="O823" t="e">
        <v>#N/A</v>
      </c>
      <c r="P823" t="e">
        <v>#N/A</v>
      </c>
    </row>
    <row r="824" spans="1:16" ht="14.4" x14ac:dyDescent="0.3">
      <c r="A824" s="310">
        <v>89178</v>
      </c>
      <c r="B824" t="str">
        <f t="shared" si="24"/>
        <v>SEVROLL zaślepka do toru Cleft 3m złoty</v>
      </c>
      <c r="C824" s="185" t="e">
        <f t="shared" si="25"/>
        <v>#N/A</v>
      </c>
      <c r="D824" s="407" t="s">
        <v>1052</v>
      </c>
      <c r="E824" s="407" t="s">
        <v>5418</v>
      </c>
      <c r="F824" s="407" t="s">
        <v>5419</v>
      </c>
      <c r="G824" s="407" t="s">
        <v>5420</v>
      </c>
      <c r="H824" s="460" t="e">
        <v>#N/A</v>
      </c>
      <c r="I824" s="460" t="e">
        <v>#N/A</v>
      </c>
      <c r="J824" s="460" t="e">
        <v>#N/A</v>
      </c>
      <c r="K824" s="460" t="e">
        <v>#N/A</v>
      </c>
      <c r="L824" s="459" t="e">
        <v>#N/A</v>
      </c>
      <c r="M824" s="309" t="s">
        <v>571</v>
      </c>
      <c r="N824" s="182"/>
      <c r="O824" t="e">
        <v>#N/A</v>
      </c>
      <c r="P824" t="e">
        <v>#N/A</v>
      </c>
    </row>
    <row r="825" spans="1:16" ht="14.4" x14ac:dyDescent="0.3">
      <c r="A825" s="310">
        <v>89091</v>
      </c>
      <c r="B825" t="e">
        <f t="shared" si="24"/>
        <v>#N/A</v>
      </c>
      <c r="C825" s="185" t="e">
        <f t="shared" si="25"/>
        <v>#N/A</v>
      </c>
      <c r="D825" s="407" t="e">
        <v>#N/A</v>
      </c>
      <c r="E825" s="407" t="e">
        <v>#N/A</v>
      </c>
      <c r="F825" s="407" t="e">
        <v>#N/A</v>
      </c>
      <c r="G825" s="407" t="e">
        <v>#N/A</v>
      </c>
      <c r="H825" s="460" t="e">
        <v>#N/A</v>
      </c>
      <c r="I825" s="460" t="e">
        <v>#N/A</v>
      </c>
      <c r="J825" s="460" t="e">
        <v>#N/A</v>
      </c>
      <c r="K825" s="460" t="e">
        <v>#N/A</v>
      </c>
      <c r="L825" s="459" t="e">
        <v>#N/A</v>
      </c>
      <c r="M825" s="309" t="s">
        <v>571</v>
      </c>
      <c r="N825" s="182"/>
      <c r="O825" t="e">
        <v>#N/A</v>
      </c>
      <c r="P825" t="e">
        <v>#N/A</v>
      </c>
    </row>
    <row r="826" spans="1:16" ht="14.4" x14ac:dyDescent="0.3">
      <c r="A826" s="310">
        <v>89092</v>
      </c>
      <c r="B826" t="e">
        <f t="shared" si="24"/>
        <v>#N/A</v>
      </c>
      <c r="C826" s="185" t="e">
        <f t="shared" si="25"/>
        <v>#N/A</v>
      </c>
      <c r="D826" s="407" t="e">
        <v>#N/A</v>
      </c>
      <c r="E826" s="407" t="e">
        <v>#N/A</v>
      </c>
      <c r="F826" s="407" t="e">
        <v>#N/A</v>
      </c>
      <c r="G826" s="407" t="e">
        <v>#N/A</v>
      </c>
      <c r="H826" s="460" t="e">
        <v>#N/A</v>
      </c>
      <c r="I826" s="460" t="e">
        <v>#N/A</v>
      </c>
      <c r="J826" s="460" t="e">
        <v>#N/A</v>
      </c>
      <c r="K826" s="460" t="e">
        <v>#N/A</v>
      </c>
      <c r="L826" s="459" t="e">
        <v>#N/A</v>
      </c>
      <c r="M826" s="309" t="s">
        <v>571</v>
      </c>
      <c r="N826" s="182"/>
      <c r="O826" t="e">
        <v>#N/A</v>
      </c>
      <c r="P826" t="e">
        <v>#N/A</v>
      </c>
    </row>
    <row r="827" spans="1:16" ht="14.4" x14ac:dyDescent="0.3">
      <c r="A827" s="310">
        <v>89090</v>
      </c>
      <c r="B827" t="str">
        <f t="shared" si="24"/>
        <v>SEVROLL zaślepka do toru Cleft 4,05m złoty</v>
      </c>
      <c r="C827" s="185" t="e">
        <f t="shared" si="25"/>
        <v>#N/A</v>
      </c>
      <c r="D827" s="407" t="s">
        <v>2674</v>
      </c>
      <c r="E827" s="407" t="s">
        <v>5421</v>
      </c>
      <c r="F827" s="407" t="s">
        <v>5422</v>
      </c>
      <c r="G827" s="407" t="s">
        <v>5423</v>
      </c>
      <c r="H827" s="460" t="e">
        <v>#N/A</v>
      </c>
      <c r="I827" s="460" t="e">
        <v>#N/A</v>
      </c>
      <c r="J827" s="460" t="e">
        <v>#N/A</v>
      </c>
      <c r="K827" s="460" t="e">
        <v>#N/A</v>
      </c>
      <c r="L827" s="459" t="e">
        <v>#N/A</v>
      </c>
      <c r="M827" s="309" t="s">
        <v>571</v>
      </c>
      <c r="N827" s="182"/>
      <c r="O827" t="e">
        <v>#N/A</v>
      </c>
      <c r="P827" t="e">
        <v>#N/A</v>
      </c>
    </row>
    <row r="828" spans="1:16" ht="14.4" x14ac:dyDescent="0.3">
      <c r="A828" s="310">
        <v>135118</v>
      </c>
      <c r="B828" t="str">
        <f t="shared" si="24"/>
        <v>SEVROLL zaślepka do toru Cleft 6m srebrny</v>
      </c>
      <c r="C828" s="185">
        <f t="shared" si="25"/>
        <v>17.19848</v>
      </c>
      <c r="D828" s="407" t="s">
        <v>2847</v>
      </c>
      <c r="E828" s="407" t="s">
        <v>5424</v>
      </c>
      <c r="F828" s="407" t="s">
        <v>5425</v>
      </c>
      <c r="G828" s="407" t="s">
        <v>5426</v>
      </c>
      <c r="H828" s="460">
        <v>87.75609</v>
      </c>
      <c r="I828" s="460">
        <v>3.8414600000000001</v>
      </c>
      <c r="J828" s="460">
        <v>17.19848</v>
      </c>
      <c r="K828" s="460">
        <v>1464.5577000000001</v>
      </c>
      <c r="L828" s="459" t="s">
        <v>540</v>
      </c>
      <c r="M828" s="309" t="s">
        <v>571</v>
      </c>
      <c r="N828" s="182"/>
      <c r="O828">
        <v>3.7730000000000001</v>
      </c>
      <c r="P828" t="s">
        <v>9432</v>
      </c>
    </row>
    <row r="829" spans="1:16" ht="14.4" x14ac:dyDescent="0.3">
      <c r="A829" s="310">
        <v>318655</v>
      </c>
      <c r="B829" t="str">
        <f t="shared" si="24"/>
        <v>SEVROLL maska do toru Elegant II 1,7m jasny brąz</v>
      </c>
      <c r="C829" s="185">
        <f t="shared" si="25"/>
        <v>11.006679999999999</v>
      </c>
      <c r="D829" s="407" t="s">
        <v>3332</v>
      </c>
      <c r="E829" s="407" t="s">
        <v>5427</v>
      </c>
      <c r="F829" s="407" t="s">
        <v>3332</v>
      </c>
      <c r="G829" s="407" t="s">
        <v>5428</v>
      </c>
      <c r="H829" s="460">
        <v>89.020989999999998</v>
      </c>
      <c r="I829" s="460">
        <v>3.20078</v>
      </c>
      <c r="J829" s="460">
        <v>11.006679999999999</v>
      </c>
      <c r="K829" s="460">
        <v>1231.93427</v>
      </c>
      <c r="L829" s="459" t="s">
        <v>538</v>
      </c>
      <c r="M829" s="309" t="s">
        <v>571</v>
      </c>
      <c r="N829" s="182"/>
      <c r="O829">
        <v>2.9039999999999999</v>
      </c>
      <c r="P829" t="s">
        <v>9433</v>
      </c>
    </row>
    <row r="830" spans="1:16" ht="14.4" x14ac:dyDescent="0.3">
      <c r="A830" s="310">
        <v>318657</v>
      </c>
      <c r="B830" t="str">
        <f t="shared" si="24"/>
        <v>SEVROLL zaślepka do toru Elegant II 1,7m srebrny</v>
      </c>
      <c r="C830" s="185">
        <f t="shared" si="25"/>
        <v>9.3840000000000003</v>
      </c>
      <c r="D830" s="407" t="s">
        <v>3334</v>
      </c>
      <c r="E830" s="407" t="s">
        <v>5429</v>
      </c>
      <c r="F830" s="407" t="s">
        <v>5430</v>
      </c>
      <c r="G830" s="407" t="s">
        <v>2379</v>
      </c>
      <c r="H830" s="460">
        <v>71.651049999999998</v>
      </c>
      <c r="I830" s="460">
        <v>2.5762399999999999</v>
      </c>
      <c r="J830" s="460">
        <v>9.3840000000000003</v>
      </c>
      <c r="K830" s="460">
        <v>991.55706999999995</v>
      </c>
      <c r="L830" s="459" t="s">
        <v>538</v>
      </c>
      <c r="M830" s="309" t="s">
        <v>571</v>
      </c>
      <c r="N830" s="182"/>
      <c r="O830">
        <v>2.4860000000000002</v>
      </c>
      <c r="P830" t="s">
        <v>9434</v>
      </c>
    </row>
    <row r="831" spans="1:16" ht="14.4" x14ac:dyDescent="0.3">
      <c r="A831" s="310">
        <v>318638</v>
      </c>
      <c r="B831" t="str">
        <f t="shared" si="24"/>
        <v>SEVROLL zaślepka do toru Elegant II 1,7m złoty</v>
      </c>
      <c r="C831" s="185">
        <f t="shared" si="25"/>
        <v>11.006679999999999</v>
      </c>
      <c r="D831" s="407" t="s">
        <v>3327</v>
      </c>
      <c r="E831" s="407" t="s">
        <v>5431</v>
      </c>
      <c r="F831" s="407" t="s">
        <v>1137</v>
      </c>
      <c r="G831" s="407" t="s">
        <v>5432</v>
      </c>
      <c r="H831" s="460">
        <v>89.020989999999998</v>
      </c>
      <c r="I831" s="460">
        <v>3.20078</v>
      </c>
      <c r="J831" s="460">
        <v>11.006679999999999</v>
      </c>
      <c r="K831" s="460">
        <v>1231.93427</v>
      </c>
      <c r="L831" s="459" t="s">
        <v>539</v>
      </c>
      <c r="M831" s="309" t="s">
        <v>571</v>
      </c>
      <c r="N831" s="182"/>
      <c r="O831">
        <v>2.9039999999999999</v>
      </c>
      <c r="P831" t="s">
        <v>9435</v>
      </c>
    </row>
    <row r="832" spans="1:16" ht="14.4" x14ac:dyDescent="0.3">
      <c r="A832" s="310">
        <v>318658</v>
      </c>
      <c r="B832" t="str">
        <f t="shared" si="24"/>
        <v>SEVROLL maska do toru Elegant II 2,35m jasny brąz</v>
      </c>
      <c r="C832" s="185">
        <f t="shared" si="25"/>
        <v>15.21246</v>
      </c>
      <c r="D832" s="407" t="s">
        <v>3335</v>
      </c>
      <c r="E832" s="407" t="s">
        <v>5433</v>
      </c>
      <c r="F832" s="407" t="s">
        <v>3335</v>
      </c>
      <c r="G832" s="407" t="s">
        <v>5434</v>
      </c>
      <c r="H832" s="460">
        <v>123.03716</v>
      </c>
      <c r="I832" s="460">
        <v>4.4238400000000002</v>
      </c>
      <c r="J832" s="460">
        <v>15.21246</v>
      </c>
      <c r="K832" s="460">
        <v>1702.6734799999999</v>
      </c>
      <c r="L832" s="459" t="s">
        <v>538</v>
      </c>
      <c r="M832" s="309" t="s">
        <v>571</v>
      </c>
      <c r="N832" s="182"/>
      <c r="O832">
        <v>4.0039999999999996</v>
      </c>
      <c r="P832" t="s">
        <v>9436</v>
      </c>
    </row>
    <row r="833" spans="1:16" ht="14.4" x14ac:dyDescent="0.3">
      <c r="A833" s="310">
        <v>318660</v>
      </c>
      <c r="B833" t="str">
        <f t="shared" si="24"/>
        <v>SEVROLL zaślepka do toru Elegant II 2,35m srebrny</v>
      </c>
      <c r="C833" s="185">
        <f t="shared" si="25"/>
        <v>12.9846</v>
      </c>
      <c r="D833" s="407" t="s">
        <v>3337</v>
      </c>
      <c r="E833" s="407" t="s">
        <v>5435</v>
      </c>
      <c r="F833" s="407" t="s">
        <v>5436</v>
      </c>
      <c r="G833" s="407" t="s">
        <v>5437</v>
      </c>
      <c r="H833" s="460">
        <v>98.429739999999995</v>
      </c>
      <c r="I833" s="460">
        <v>3.5390700000000002</v>
      </c>
      <c r="J833" s="460">
        <v>12.9846</v>
      </c>
      <c r="K833" s="460">
        <v>1362.1386299999999</v>
      </c>
      <c r="L833" s="459" t="s">
        <v>538</v>
      </c>
      <c r="M833" s="309" t="s">
        <v>571</v>
      </c>
      <c r="N833" s="182"/>
      <c r="O833">
        <v>3.476</v>
      </c>
      <c r="P833" t="s">
        <v>9437</v>
      </c>
    </row>
    <row r="834" spans="1:16" ht="14.4" x14ac:dyDescent="0.3">
      <c r="A834" s="310">
        <v>318643</v>
      </c>
      <c r="B834" t="str">
        <f t="shared" si="24"/>
        <v>SEVROLL zaślepka do toru Elegant II 2,35m złoty</v>
      </c>
      <c r="C834" s="185">
        <f t="shared" si="25"/>
        <v>15.21246</v>
      </c>
      <c r="D834" s="407" t="s">
        <v>3328</v>
      </c>
      <c r="E834" s="407" t="s">
        <v>5438</v>
      </c>
      <c r="F834" s="407" t="s">
        <v>1136</v>
      </c>
      <c r="G834" s="407" t="s">
        <v>5439</v>
      </c>
      <c r="H834" s="460">
        <v>123.03716</v>
      </c>
      <c r="I834" s="460">
        <v>4.4238400000000002</v>
      </c>
      <c r="J834" s="460">
        <v>15.21246</v>
      </c>
      <c r="K834" s="460">
        <v>1702.6734799999999</v>
      </c>
      <c r="L834" s="459" t="s">
        <v>539</v>
      </c>
      <c r="M834" s="309" t="s">
        <v>571</v>
      </c>
      <c r="N834" s="182"/>
      <c r="O834">
        <v>4.0039999999999996</v>
      </c>
      <c r="P834" t="s">
        <v>9438</v>
      </c>
    </row>
    <row r="835" spans="1:16" ht="14.4" x14ac:dyDescent="0.3">
      <c r="A835" s="310">
        <v>345409</v>
      </c>
      <c r="B835" t="str">
        <f t="shared" si="24"/>
        <v>SEVROLL maska do toru Elegant II 3 m jasny brąz</v>
      </c>
      <c r="C835" s="185">
        <f t="shared" si="25"/>
        <v>19.507760000000001</v>
      </c>
      <c r="D835" s="407" t="s">
        <v>3360</v>
      </c>
      <c r="E835" s="407" t="s">
        <v>5440</v>
      </c>
      <c r="F835" s="407" t="s">
        <v>3360</v>
      </c>
      <c r="G835" s="407" t="s">
        <v>5441</v>
      </c>
      <c r="H835" s="460">
        <v>157.77707000000001</v>
      </c>
      <c r="I835" s="460">
        <v>5.6599199999999996</v>
      </c>
      <c r="J835" s="460">
        <v>19.507760000000001</v>
      </c>
      <c r="K835" s="460">
        <v>2183.4282699999999</v>
      </c>
      <c r="L835" s="459" t="s">
        <v>538</v>
      </c>
      <c r="M835" s="309" t="s">
        <v>571</v>
      </c>
      <c r="N835" s="182"/>
      <c r="O835">
        <v>5.1040000000000001</v>
      </c>
      <c r="P835" t="s">
        <v>9439</v>
      </c>
    </row>
    <row r="836" spans="1:16" ht="14.4" x14ac:dyDescent="0.3">
      <c r="A836" s="310">
        <v>345408</v>
      </c>
      <c r="B836" t="str">
        <f t="shared" ref="B836:B899" si="26">IF($A$2=1,D836,IF($A$2=2,F836,IF($A$2=3,G836,IF($A$2=4,E836,IF($A$2&gt;4,P836,"zadat jazyk")))))</f>
        <v>SEVROLL zaślepka do toru Elegant II 3m srebrny</v>
      </c>
      <c r="C836" s="185">
        <f t="shared" ref="C836:C899" si="27">IF($A$2=1,H836,IF($A$2=2,I836,IF($A$2=3,J836,IF($A$2=4,K836,IF($A$2&gt;4,O836,"zadat jazyk")))))</f>
        <v>16.564800000000002</v>
      </c>
      <c r="D836" s="407" t="s">
        <v>3359</v>
      </c>
      <c r="E836" s="407" t="s">
        <v>5442</v>
      </c>
      <c r="F836" s="407" t="s">
        <v>5443</v>
      </c>
      <c r="G836" s="407" t="s">
        <v>5444</v>
      </c>
      <c r="H836" s="460">
        <v>125.93214</v>
      </c>
      <c r="I836" s="460">
        <v>4.5279299999999996</v>
      </c>
      <c r="J836" s="460">
        <v>16.564800000000002</v>
      </c>
      <c r="K836" s="460">
        <v>1742.7365600000001</v>
      </c>
      <c r="L836" s="459" t="s">
        <v>538</v>
      </c>
      <c r="M836" s="309" t="s">
        <v>571</v>
      </c>
      <c r="N836" s="182"/>
      <c r="O836">
        <v>4.4219999999999997</v>
      </c>
      <c r="P836" t="s">
        <v>9440</v>
      </c>
    </row>
    <row r="837" spans="1:16" ht="14.4" x14ac:dyDescent="0.3">
      <c r="A837" s="310">
        <v>318644</v>
      </c>
      <c r="B837" t="str">
        <f t="shared" si="26"/>
        <v>SEVROLL maska do toru Elegant II 3m złoty</v>
      </c>
      <c r="C837" s="185">
        <f t="shared" si="27"/>
        <v>19.507760000000001</v>
      </c>
      <c r="D837" s="407" t="s">
        <v>3329</v>
      </c>
      <c r="E837" s="407" t="s">
        <v>5445</v>
      </c>
      <c r="F837" s="407" t="s">
        <v>1135</v>
      </c>
      <c r="G837" s="407" t="s">
        <v>5446</v>
      </c>
      <c r="H837" s="460">
        <v>210.05124000000001</v>
      </c>
      <c r="I837" s="460">
        <v>7.6506400000000001</v>
      </c>
      <c r="J837" s="460">
        <v>19.507760000000001</v>
      </c>
      <c r="K837" s="460">
        <v>2183.4282699999999</v>
      </c>
      <c r="L837" s="459" t="s">
        <v>539</v>
      </c>
      <c r="M837" s="309" t="s">
        <v>571</v>
      </c>
      <c r="N837" s="182"/>
      <c r="O837">
        <v>5.2140000000000004</v>
      </c>
      <c r="P837" t="s">
        <v>9441</v>
      </c>
    </row>
    <row r="838" spans="1:16" ht="14.4" x14ac:dyDescent="0.3">
      <c r="A838" s="310">
        <v>345777</v>
      </c>
      <c r="B838" t="str">
        <f t="shared" si="26"/>
        <v>SEVROLL maska do toru Elegant II 4,05 m jasny brąz</v>
      </c>
      <c r="C838" s="185">
        <f t="shared" si="27"/>
        <v>26.30864</v>
      </c>
      <c r="D838" s="407" t="s">
        <v>3366</v>
      </c>
      <c r="E838" s="407" t="s">
        <v>5447</v>
      </c>
      <c r="F838" s="407" t="s">
        <v>3366</v>
      </c>
      <c r="G838" s="407" t="s">
        <v>5448</v>
      </c>
      <c r="H838" s="460">
        <v>212.78190000000001</v>
      </c>
      <c r="I838" s="460">
        <v>7.6506400000000001</v>
      </c>
      <c r="J838" s="460">
        <v>26.30864</v>
      </c>
      <c r="K838" s="460">
        <v>2944.62372</v>
      </c>
      <c r="L838" s="459" t="s">
        <v>538</v>
      </c>
      <c r="M838" s="309" t="s">
        <v>571</v>
      </c>
      <c r="N838" s="182"/>
      <c r="O838">
        <v>6.9080000000000004</v>
      </c>
      <c r="P838" t="s">
        <v>9442</v>
      </c>
    </row>
    <row r="839" spans="1:16" ht="14.4" x14ac:dyDescent="0.3">
      <c r="A839" s="310">
        <v>345776</v>
      </c>
      <c r="B839" t="str">
        <f t="shared" si="26"/>
        <v>SEVROLL zaślepka do toru Elegant II 4,05m srebrny</v>
      </c>
      <c r="C839" s="185">
        <f t="shared" si="27"/>
        <v>22.368600000000001</v>
      </c>
      <c r="D839" s="407" t="s">
        <v>3365</v>
      </c>
      <c r="E839" s="407" t="s">
        <v>5449</v>
      </c>
      <c r="F839" s="407" t="s">
        <v>5450</v>
      </c>
      <c r="G839" s="407" t="s">
        <v>5451</v>
      </c>
      <c r="H839" s="460">
        <v>170.08079000000001</v>
      </c>
      <c r="I839" s="460">
        <v>6.1127000000000002</v>
      </c>
      <c r="J839" s="460">
        <v>22.368600000000001</v>
      </c>
      <c r="K839" s="460">
        <v>2353.6957200000002</v>
      </c>
      <c r="L839" s="459" t="s">
        <v>538</v>
      </c>
      <c r="M839" s="309" t="s">
        <v>571</v>
      </c>
      <c r="N839" s="182"/>
      <c r="O839">
        <v>6.0279999999999996</v>
      </c>
      <c r="P839" t="s">
        <v>9443</v>
      </c>
    </row>
    <row r="840" spans="1:16" ht="14.4" x14ac:dyDescent="0.3">
      <c r="A840" s="310">
        <v>318645</v>
      </c>
      <c r="B840" t="str">
        <f t="shared" si="26"/>
        <v>SEVROLL maska do toru Elegant II 4,05m złoty</v>
      </c>
      <c r="C840" s="185">
        <f t="shared" si="27"/>
        <v>26.30864</v>
      </c>
      <c r="D840" s="407" t="s">
        <v>3330</v>
      </c>
      <c r="E840" s="407" t="s">
        <v>5452</v>
      </c>
      <c r="F840" s="407" t="s">
        <v>1134</v>
      </c>
      <c r="G840" s="407" t="s">
        <v>5453</v>
      </c>
      <c r="H840" s="460">
        <v>212.78190000000001</v>
      </c>
      <c r="I840" s="460">
        <v>7.6506400000000001</v>
      </c>
      <c r="J840" s="460">
        <v>26.30864</v>
      </c>
      <c r="K840" s="460">
        <v>2944.62372</v>
      </c>
      <c r="L840" s="459" t="s">
        <v>539</v>
      </c>
      <c r="M840" s="309" t="s">
        <v>571</v>
      </c>
      <c r="N840" s="182"/>
      <c r="O840">
        <v>6.9080000000000004</v>
      </c>
      <c r="P840" t="s">
        <v>9444</v>
      </c>
    </row>
    <row r="841" spans="1:16" ht="14.4" x14ac:dyDescent="0.3">
      <c r="A841" s="310">
        <v>346119</v>
      </c>
      <c r="B841" t="str">
        <f t="shared" si="26"/>
        <v>SEVROLL maska do toru Elegant II 6 m jasny brąz</v>
      </c>
      <c r="C841" s="185">
        <f t="shared" si="27"/>
        <v>0</v>
      </c>
      <c r="D841" s="407" t="s">
        <v>3372</v>
      </c>
      <c r="E841" s="407" t="s">
        <v>5454</v>
      </c>
      <c r="F841" s="407" t="s">
        <v>3372</v>
      </c>
      <c r="G841" s="407" t="s">
        <v>5455</v>
      </c>
      <c r="H841" s="460">
        <v>314.83039000000002</v>
      </c>
      <c r="I841" s="460">
        <v>11.31983</v>
      </c>
      <c r="J841" s="460">
        <v>0</v>
      </c>
      <c r="K841" s="460">
        <v>4356.8409799999999</v>
      </c>
      <c r="L841" s="459" t="s">
        <v>538</v>
      </c>
      <c r="M841" s="309" t="s">
        <v>571</v>
      </c>
      <c r="N841" s="182"/>
      <c r="O841">
        <v>10.23</v>
      </c>
      <c r="P841" t="s">
        <v>9445</v>
      </c>
    </row>
    <row r="842" spans="1:16" ht="14.4" x14ac:dyDescent="0.3">
      <c r="A842" s="310">
        <v>346118</v>
      </c>
      <c r="B842" t="str">
        <f t="shared" si="26"/>
        <v>SEVROLL maska do toru Elegant II 6 m srebrny</v>
      </c>
      <c r="C842" s="185">
        <f t="shared" si="27"/>
        <v>0</v>
      </c>
      <c r="D842" s="407" t="s">
        <v>3371</v>
      </c>
      <c r="E842" s="407" t="s">
        <v>5456</v>
      </c>
      <c r="F842" s="407" t="s">
        <v>5457</v>
      </c>
      <c r="G842" s="407" t="s">
        <v>5458</v>
      </c>
      <c r="H842" s="460">
        <v>251.86429999999999</v>
      </c>
      <c r="I842" s="460">
        <v>9.0558599999999991</v>
      </c>
      <c r="J842" s="460">
        <v>0</v>
      </c>
      <c r="K842" s="460">
        <v>3485.4726999999998</v>
      </c>
      <c r="L842" s="459" t="s">
        <v>538</v>
      </c>
      <c r="M842" s="309" t="s">
        <v>571</v>
      </c>
      <c r="N842" s="182"/>
      <c r="O842">
        <v>8.8879999999999999</v>
      </c>
      <c r="P842" t="s">
        <v>9446</v>
      </c>
    </row>
    <row r="843" spans="1:16" ht="14.4" x14ac:dyDescent="0.3">
      <c r="A843" s="310">
        <v>318646</v>
      </c>
      <c r="B843" t="str">
        <f t="shared" si="26"/>
        <v>SEVROLL zaślepka do toru Elegant II 6m złoty</v>
      </c>
      <c r="C843" s="185">
        <f t="shared" si="27"/>
        <v>0</v>
      </c>
      <c r="D843" s="407" t="s">
        <v>3331</v>
      </c>
      <c r="E843" s="407" t="s">
        <v>5459</v>
      </c>
      <c r="F843" s="407" t="s">
        <v>5460</v>
      </c>
      <c r="G843" s="407" t="s">
        <v>5461</v>
      </c>
      <c r="H843" s="460">
        <v>314.83039000000002</v>
      </c>
      <c r="I843" s="460">
        <v>11.31983</v>
      </c>
      <c r="J843" s="460">
        <v>0</v>
      </c>
      <c r="K843" s="460">
        <v>4356.8409799999999</v>
      </c>
      <c r="L843" s="459" t="s">
        <v>539</v>
      </c>
      <c r="M843" s="309" t="s">
        <v>571</v>
      </c>
      <c r="N843" s="182"/>
      <c r="O843">
        <v>10.23</v>
      </c>
      <c r="P843" t="s">
        <v>9447</v>
      </c>
    </row>
    <row r="844" spans="1:16" ht="14.4" x14ac:dyDescent="0.3">
      <c r="A844" s="310">
        <v>250134</v>
      </c>
      <c r="B844" t="e">
        <f t="shared" si="26"/>
        <v>#N/A</v>
      </c>
      <c r="C844" s="185" t="e">
        <f t="shared" si="27"/>
        <v>#N/A</v>
      </c>
      <c r="D844" s="407" t="e">
        <v>#N/A</v>
      </c>
      <c r="E844" s="407" t="e">
        <v>#N/A</v>
      </c>
      <c r="F844" s="407" t="e">
        <v>#N/A</v>
      </c>
      <c r="G844" s="407" t="e">
        <v>#N/A</v>
      </c>
      <c r="H844" s="460" t="e">
        <v>#N/A</v>
      </c>
      <c r="I844" s="460" t="e">
        <v>#N/A</v>
      </c>
      <c r="J844" s="460" t="e">
        <v>#N/A</v>
      </c>
      <c r="K844" s="460" t="e">
        <v>#N/A</v>
      </c>
      <c r="L844" s="459" t="e">
        <v>#N/A</v>
      </c>
      <c r="M844" s="309" t="s">
        <v>571</v>
      </c>
      <c r="N844" s="182"/>
      <c r="O844" t="e">
        <v>#N/A</v>
      </c>
      <c r="P844" t="e">
        <v>#N/A</v>
      </c>
    </row>
    <row r="845" spans="1:16" ht="14.4" x14ac:dyDescent="0.3">
      <c r="A845" s="310">
        <v>98064</v>
      </c>
      <c r="B845" t="str">
        <f t="shared" si="26"/>
        <v>SEVROLL Micra C zestaw okuć dla 1 skrzydła</v>
      </c>
      <c r="C845" s="185">
        <f t="shared" si="27"/>
        <v>25.214400000000001</v>
      </c>
      <c r="D845" s="407" t="s">
        <v>2772</v>
      </c>
      <c r="E845" s="407" t="s">
        <v>5462</v>
      </c>
      <c r="F845" s="407" t="s">
        <v>5463</v>
      </c>
      <c r="G845" s="407" t="s">
        <v>5464</v>
      </c>
      <c r="H845" s="460">
        <v>176.59450000000001</v>
      </c>
      <c r="I845" s="460">
        <v>6.3495100000000004</v>
      </c>
      <c r="J845" s="460">
        <v>25.214400000000001</v>
      </c>
      <c r="K845" s="460">
        <v>2443.8374100000001</v>
      </c>
      <c r="L845" s="459" t="s">
        <v>538</v>
      </c>
      <c r="M845" s="309" t="s">
        <v>572</v>
      </c>
      <c r="N845" s="182"/>
      <c r="O845">
        <v>5.9619999999999997</v>
      </c>
      <c r="P845" t="s">
        <v>9448</v>
      </c>
    </row>
    <row r="846" spans="1:16" ht="14.4" x14ac:dyDescent="0.3">
      <c r="A846" s="310">
        <v>278059</v>
      </c>
      <c r="B846" t="str">
        <f t="shared" si="26"/>
        <v>SEVROLL 04095 Gemini 4 maskownica dolna 3 m 4 mm, srebrna</v>
      </c>
      <c r="C846" s="185">
        <f t="shared" si="27"/>
        <v>99.296999999999997</v>
      </c>
      <c r="D846" s="407" t="s">
        <v>3226</v>
      </c>
      <c r="E846" s="407" t="s">
        <v>5465</v>
      </c>
      <c r="F846" s="407" t="s">
        <v>5466</v>
      </c>
      <c r="G846" s="407" t="s">
        <v>5467</v>
      </c>
      <c r="H846" s="460">
        <v>723.74797999999998</v>
      </c>
      <c r="I846" s="460">
        <v>26.022600000000001</v>
      </c>
      <c r="J846" s="460">
        <v>99.296999999999997</v>
      </c>
      <c r="K846" s="460">
        <v>10015.726420000001</v>
      </c>
      <c r="L846" s="459" t="s">
        <v>539</v>
      </c>
      <c r="M846" s="309" t="s">
        <v>571</v>
      </c>
      <c r="N846" s="182"/>
      <c r="O846">
        <v>26.664000000000001</v>
      </c>
      <c r="P846" t="s">
        <v>9449</v>
      </c>
    </row>
    <row r="847" spans="1:16" ht="14.4" x14ac:dyDescent="0.3">
      <c r="A847" s="310">
        <v>223551</v>
      </c>
      <c r="B847" t="str">
        <f t="shared" si="26"/>
        <v>SEVROLL Polo rączka 10mm 2,70m jasny brąz</v>
      </c>
      <c r="C847" s="185">
        <f t="shared" si="27"/>
        <v>52.202739999999999</v>
      </c>
      <c r="D847" s="407" t="s">
        <v>3071</v>
      </c>
      <c r="E847" s="407" t="s">
        <v>5468</v>
      </c>
      <c r="F847" s="407" t="s">
        <v>1115</v>
      </c>
      <c r="G847" s="407" t="s">
        <v>5469</v>
      </c>
      <c r="H847" s="460">
        <v>428.13078000000002</v>
      </c>
      <c r="I847" s="460">
        <v>15.56151</v>
      </c>
      <c r="J847" s="460">
        <v>52.202739999999999</v>
      </c>
      <c r="K847" s="460">
        <v>6083.3557700000001</v>
      </c>
      <c r="L847" s="459" t="s">
        <v>538</v>
      </c>
      <c r="M847" s="309" t="s">
        <v>571</v>
      </c>
      <c r="N847" s="182"/>
      <c r="O847">
        <v>13.156000000000001</v>
      </c>
      <c r="P847" t="s">
        <v>9450</v>
      </c>
    </row>
    <row r="848" spans="1:16" ht="14.4" x14ac:dyDescent="0.3">
      <c r="A848" s="310">
        <v>303394</v>
      </c>
      <c r="B848" t="str">
        <f t="shared" si="26"/>
        <v>SEVROLL pozycjoner Simple Start</v>
      </c>
      <c r="C848" s="185" t="e">
        <f t="shared" si="27"/>
        <v>#N/A</v>
      </c>
      <c r="D848" s="407" t="s">
        <v>3286</v>
      </c>
      <c r="E848" s="407" t="s">
        <v>5470</v>
      </c>
      <c r="F848" s="407" t="s">
        <v>3286</v>
      </c>
      <c r="G848" s="407" t="s">
        <v>5471</v>
      </c>
      <c r="H848" s="460" t="e">
        <v>#N/A</v>
      </c>
      <c r="I848" s="460" t="e">
        <v>#N/A</v>
      </c>
      <c r="J848" s="460" t="e">
        <v>#N/A</v>
      </c>
      <c r="K848" s="460" t="e">
        <v>#N/A</v>
      </c>
      <c r="L848" s="459" t="e">
        <v>#N/A</v>
      </c>
      <c r="M848" s="309" t="s">
        <v>571</v>
      </c>
      <c r="N848" s="182"/>
      <c r="O848">
        <v>0.19800000000000001</v>
      </c>
      <c r="P848" t="s">
        <v>9451</v>
      </c>
    </row>
    <row r="849" spans="1:16" ht="14.4" x14ac:dyDescent="0.3">
      <c r="A849" s="310">
        <v>95946</v>
      </c>
      <c r="B849" t="str">
        <f t="shared" si="26"/>
        <v>SEVROLL szczotka przeciwkurzowa bez kleju 4,8x13 mm, szara</v>
      </c>
      <c r="C849" s="185">
        <f t="shared" si="27"/>
        <v>0.80579999999999996</v>
      </c>
      <c r="D849" s="407" t="s">
        <v>2707</v>
      </c>
      <c r="E849" s="407" t="s">
        <v>5472</v>
      </c>
      <c r="F849" s="407" t="s">
        <v>1213</v>
      </c>
      <c r="G849" s="407" t="s">
        <v>5473</v>
      </c>
      <c r="H849" s="460">
        <v>6.3811799999999996</v>
      </c>
      <c r="I849" s="460">
        <v>0.20741000000000001</v>
      </c>
      <c r="J849" s="460">
        <v>0.80579999999999996</v>
      </c>
      <c r="K849" s="460">
        <v>90.9</v>
      </c>
      <c r="L849" s="459" t="s">
        <v>538</v>
      </c>
      <c r="M849" s="309" t="s">
        <v>570</v>
      </c>
      <c r="N849" s="182"/>
      <c r="O849">
        <v>0.1158</v>
      </c>
      <c r="P849" t="s">
        <v>9452</v>
      </c>
    </row>
    <row r="850" spans="1:16" ht="14.4" x14ac:dyDescent="0.3">
      <c r="A850" s="310">
        <v>341560</v>
      </c>
      <c r="B850" t="str">
        <f t="shared" si="26"/>
        <v>SEVROLL Rekord rączka 18mm 2,70m jasny brąz</v>
      </c>
      <c r="C850" s="185">
        <f t="shared" si="27"/>
        <v>58.838009999999997</v>
      </c>
      <c r="D850" s="407" t="s">
        <v>3346</v>
      </c>
      <c r="E850" s="407" t="s">
        <v>5474</v>
      </c>
      <c r="F850" s="407" t="s">
        <v>3346</v>
      </c>
      <c r="G850" s="407" t="s">
        <v>5475</v>
      </c>
      <c r="H850" s="460">
        <v>428.84672</v>
      </c>
      <c r="I850" s="460">
        <v>15.587540000000001</v>
      </c>
      <c r="J850" s="460">
        <v>58.838009999999997</v>
      </c>
      <c r="K850" s="460">
        <v>6093.5288499999997</v>
      </c>
      <c r="L850" s="459" t="s">
        <v>538</v>
      </c>
      <c r="M850" s="309" t="s">
        <v>571</v>
      </c>
      <c r="N850" s="182"/>
      <c r="O850">
        <v>13.618</v>
      </c>
      <c r="P850" t="s">
        <v>9453</v>
      </c>
    </row>
    <row r="851" spans="1:16" ht="14.4" x14ac:dyDescent="0.3">
      <c r="A851" s="310">
        <v>84191</v>
      </c>
      <c r="B851" t="str">
        <f t="shared" si="26"/>
        <v>SEVROLL Smart tor dolny 1,7m jasny brąz</v>
      </c>
      <c r="C851" s="185">
        <f t="shared" si="27"/>
        <v>16.360800000000001</v>
      </c>
      <c r="D851" s="407" t="s">
        <v>2731</v>
      </c>
      <c r="E851" s="407" t="s">
        <v>5476</v>
      </c>
      <c r="F851" s="407" t="s">
        <v>5477</v>
      </c>
      <c r="G851" s="407" t="s">
        <v>5478</v>
      </c>
      <c r="H851" s="460">
        <v>131.72212999999999</v>
      </c>
      <c r="I851" s="460">
        <v>4.73611</v>
      </c>
      <c r="J851" s="460">
        <v>16.360800000000001</v>
      </c>
      <c r="K851" s="460">
        <v>1822.8623</v>
      </c>
      <c r="L851" s="459" t="s">
        <v>539</v>
      </c>
      <c r="M851" s="309" t="s">
        <v>571</v>
      </c>
      <c r="N851" s="182"/>
      <c r="O851">
        <v>4.0039999999999996</v>
      </c>
      <c r="P851" t="s">
        <v>9454</v>
      </c>
    </row>
    <row r="852" spans="1:16" ht="14.4" x14ac:dyDescent="0.3">
      <c r="A852" s="310">
        <v>84194</v>
      </c>
      <c r="B852" t="str">
        <f t="shared" si="26"/>
        <v>SEVROLL Smart tor dolny 2,35m jasny brąz</v>
      </c>
      <c r="C852" s="185">
        <f t="shared" si="27"/>
        <v>22.613399999999999</v>
      </c>
      <c r="D852" s="407" t="s">
        <v>2733</v>
      </c>
      <c r="E852" s="407" t="s">
        <v>5479</v>
      </c>
      <c r="F852" s="407" t="s">
        <v>5480</v>
      </c>
      <c r="G852" s="407" t="s">
        <v>5481</v>
      </c>
      <c r="H852" s="460">
        <v>181.66074</v>
      </c>
      <c r="I852" s="460">
        <v>6.5316700000000001</v>
      </c>
      <c r="J852" s="460">
        <v>22.613399999999999</v>
      </c>
      <c r="K852" s="460">
        <v>2513.9471800000001</v>
      </c>
      <c r="L852" s="459" t="s">
        <v>539</v>
      </c>
      <c r="M852" s="309" t="s">
        <v>571</v>
      </c>
      <c r="N852" s="182"/>
      <c r="O852">
        <v>5.5220000000000002</v>
      </c>
      <c r="P852" t="s">
        <v>9455</v>
      </c>
    </row>
    <row r="853" spans="1:16" ht="14.4" x14ac:dyDescent="0.3">
      <c r="A853" s="310">
        <v>84197</v>
      </c>
      <c r="B853" t="str">
        <f t="shared" si="26"/>
        <v>SEVROLL Smart tor dolny 3m jasny brąz</v>
      </c>
      <c r="C853" s="185">
        <f t="shared" si="27"/>
        <v>28.855799999999999</v>
      </c>
      <c r="D853" s="407" t="s">
        <v>2735</v>
      </c>
      <c r="E853" s="407" t="s">
        <v>5482</v>
      </c>
      <c r="F853" s="407" t="s">
        <v>5483</v>
      </c>
      <c r="G853" s="407" t="s">
        <v>5484</v>
      </c>
      <c r="H853" s="460">
        <v>230.87560999999999</v>
      </c>
      <c r="I853" s="460">
        <v>8.3012099999999993</v>
      </c>
      <c r="J853" s="460">
        <v>28.855799999999999</v>
      </c>
      <c r="K853" s="460">
        <v>3195.0168899999999</v>
      </c>
      <c r="L853" s="459" t="s">
        <v>539</v>
      </c>
      <c r="M853" s="309" t="s">
        <v>571</v>
      </c>
      <c r="N853" s="182"/>
      <c r="O853">
        <v>7.0179999999999998</v>
      </c>
      <c r="P853" t="s">
        <v>9456</v>
      </c>
    </row>
    <row r="854" spans="1:16" ht="14.4" x14ac:dyDescent="0.3">
      <c r="A854" s="310">
        <v>84198</v>
      </c>
      <c r="B854" t="str">
        <f t="shared" si="26"/>
        <v>SEVROLL Smart tor dolny 3m srebrny</v>
      </c>
      <c r="C854" s="185">
        <f t="shared" si="27"/>
        <v>25.1022</v>
      </c>
      <c r="D854" s="407" t="s">
        <v>2736</v>
      </c>
      <c r="E854" s="407" t="s">
        <v>5485</v>
      </c>
      <c r="F854" s="407" t="s">
        <v>5486</v>
      </c>
      <c r="G854" s="407" t="s">
        <v>5487</v>
      </c>
      <c r="H854" s="460">
        <v>188.89822000000001</v>
      </c>
      <c r="I854" s="460">
        <v>6.7919</v>
      </c>
      <c r="J854" s="460">
        <v>25.1022</v>
      </c>
      <c r="K854" s="460">
        <v>2614.1044200000001</v>
      </c>
      <c r="L854" s="459" t="s">
        <v>538</v>
      </c>
      <c r="M854" s="309" t="s">
        <v>571</v>
      </c>
      <c r="N854" s="182"/>
      <c r="O854">
        <v>6.3579999999999997</v>
      </c>
      <c r="P854" t="s">
        <v>9457</v>
      </c>
    </row>
    <row r="855" spans="1:16" ht="14.4" x14ac:dyDescent="0.3">
      <c r="A855" s="310">
        <v>276736</v>
      </c>
      <c r="B855" t="str">
        <f t="shared" si="26"/>
        <v>SEVROLL 04062 Gemini 10 dolna maskownica 1,7 m 10 mm, biały połysk</v>
      </c>
      <c r="C855" s="185">
        <f t="shared" si="27"/>
        <v>70.369799999999998</v>
      </c>
      <c r="D855" s="407" t="s">
        <v>3212</v>
      </c>
      <c r="E855" s="407" t="s">
        <v>5488</v>
      </c>
      <c r="F855" s="407" t="s">
        <v>5489</v>
      </c>
      <c r="G855" s="407" t="s">
        <v>5490</v>
      </c>
      <c r="H855" s="460">
        <v>529.78351999999995</v>
      </c>
      <c r="I855" s="460">
        <v>19.048539999999999</v>
      </c>
      <c r="J855" s="460">
        <v>70.369799999999998</v>
      </c>
      <c r="K855" s="460">
        <v>7331.51181</v>
      </c>
      <c r="L855" s="459" t="s">
        <v>538</v>
      </c>
      <c r="M855" s="309" t="s">
        <v>571</v>
      </c>
      <c r="N855" s="182"/>
      <c r="O855">
        <v>18.282</v>
      </c>
      <c r="P855" t="s">
        <v>9458</v>
      </c>
    </row>
    <row r="856" spans="1:16" ht="14.4" x14ac:dyDescent="0.3">
      <c r="A856" s="310">
        <v>205171</v>
      </c>
      <c r="B856" t="str">
        <f t="shared" si="26"/>
        <v>SEVROLL listwa pozioma dolna 1,7 m 10 mm czarna szczotkowana</v>
      </c>
      <c r="C856" s="185">
        <f t="shared" si="27"/>
        <v>76.599260000000001</v>
      </c>
      <c r="D856" s="407" t="s">
        <v>2979</v>
      </c>
      <c r="E856" s="407" t="s">
        <v>5491</v>
      </c>
      <c r="F856" s="407" t="s">
        <v>5492</v>
      </c>
      <c r="G856" s="407" t="s">
        <v>5493</v>
      </c>
      <c r="H856" s="460">
        <v>619.52828</v>
      </c>
      <c r="I856" s="460">
        <v>22.27535</v>
      </c>
      <c r="J856" s="460">
        <v>76.599260000000001</v>
      </c>
      <c r="K856" s="460">
        <v>8573.4616399999995</v>
      </c>
      <c r="L856" s="459" t="s">
        <v>538</v>
      </c>
      <c r="M856" s="309" t="s">
        <v>571</v>
      </c>
      <c r="N856" s="182"/>
      <c r="O856">
        <v>18.832000000000001</v>
      </c>
      <c r="P856" t="s">
        <v>9459</v>
      </c>
    </row>
    <row r="857" spans="1:16" ht="14.4" x14ac:dyDescent="0.3">
      <c r="A857" s="310">
        <v>89229</v>
      </c>
      <c r="B857" t="str">
        <f t="shared" si="26"/>
        <v>SEVROLL maskownica dolna 1,7m 10mm jasny brąz</v>
      </c>
      <c r="C857" s="185">
        <f t="shared" si="27"/>
        <v>61.655250000000002</v>
      </c>
      <c r="D857" s="407" t="s">
        <v>2662</v>
      </c>
      <c r="E857" s="407" t="s">
        <v>5494</v>
      </c>
      <c r="F857" s="407" t="s">
        <v>5495</v>
      </c>
      <c r="G857" s="407" t="s">
        <v>5496</v>
      </c>
      <c r="H857" s="460">
        <v>498.66235999999998</v>
      </c>
      <c r="I857" s="460">
        <v>17.929569999999998</v>
      </c>
      <c r="J857" s="460">
        <v>61.655250000000002</v>
      </c>
      <c r="K857" s="460">
        <v>6900.83565</v>
      </c>
      <c r="L857" s="459" t="s">
        <v>538</v>
      </c>
      <c r="M857" s="309" t="s">
        <v>571</v>
      </c>
      <c r="N857" s="182"/>
      <c r="O857">
        <v>15.157999999999999</v>
      </c>
      <c r="P857" t="s">
        <v>9460</v>
      </c>
    </row>
    <row r="858" spans="1:16" ht="14.4" x14ac:dyDescent="0.3">
      <c r="A858" s="310">
        <v>119417</v>
      </c>
      <c r="B858" t="str">
        <f t="shared" si="26"/>
        <v>SEVROLL 02490-Y dolna listwa maskująca 1,7 m 10 mm, jasny brąz szczotkowany</v>
      </c>
      <c r="C858" s="185">
        <f t="shared" si="27"/>
        <v>76.599260000000001</v>
      </c>
      <c r="D858" s="407" t="s">
        <v>2817</v>
      </c>
      <c r="E858" s="407" t="s">
        <v>5497</v>
      </c>
      <c r="F858" s="407" t="s">
        <v>5498</v>
      </c>
      <c r="G858" s="407" t="s">
        <v>5499</v>
      </c>
      <c r="H858" s="460">
        <v>619.52828</v>
      </c>
      <c r="I858" s="460">
        <v>22.27535</v>
      </c>
      <c r="J858" s="460">
        <v>76.599260000000001</v>
      </c>
      <c r="K858" s="460">
        <v>8573.4616399999995</v>
      </c>
      <c r="L858" s="459" t="s">
        <v>539</v>
      </c>
      <c r="M858" s="309" t="s">
        <v>571</v>
      </c>
      <c r="N858" s="182"/>
      <c r="O858">
        <v>18.832000000000001</v>
      </c>
      <c r="P858" t="s">
        <v>9461</v>
      </c>
    </row>
    <row r="859" spans="1:16" ht="14.4" x14ac:dyDescent="0.3">
      <c r="A859" s="310">
        <v>89228</v>
      </c>
      <c r="B859" t="str">
        <f t="shared" si="26"/>
        <v>SEVROLL maskownica dolna 1,7m 10mm srebrny</v>
      </c>
      <c r="C859" s="185">
        <f t="shared" si="27"/>
        <v>54.141599999999997</v>
      </c>
      <c r="D859" s="407" t="s">
        <v>2661</v>
      </c>
      <c r="E859" s="407" t="s">
        <v>5500</v>
      </c>
      <c r="F859" s="407" t="s">
        <v>5501</v>
      </c>
      <c r="G859" s="407" t="s">
        <v>5502</v>
      </c>
      <c r="H859" s="460">
        <v>407.4701</v>
      </c>
      <c r="I859" s="460">
        <v>14.65072</v>
      </c>
      <c r="J859" s="460">
        <v>54.141599999999997</v>
      </c>
      <c r="K859" s="460">
        <v>5638.8538900000003</v>
      </c>
      <c r="L859" s="459" t="s">
        <v>538</v>
      </c>
      <c r="M859" s="309" t="s">
        <v>571</v>
      </c>
      <c r="N859" s="182"/>
      <c r="O859">
        <v>14.476000000000001</v>
      </c>
      <c r="P859" t="s">
        <v>9462</v>
      </c>
    </row>
    <row r="860" spans="1:16" ht="14.4" x14ac:dyDescent="0.3">
      <c r="A860" s="310">
        <v>89254</v>
      </c>
      <c r="B860" t="str">
        <f t="shared" si="26"/>
        <v>SEVROLL listwa pozioma dolna 1,7m 10mm złoty</v>
      </c>
      <c r="C860" s="185">
        <f t="shared" si="27"/>
        <v>61.655250000000002</v>
      </c>
      <c r="D860" s="407" t="s">
        <v>2681</v>
      </c>
      <c r="E860" s="407" t="s">
        <v>5503</v>
      </c>
      <c r="F860" s="407" t="s">
        <v>5504</v>
      </c>
      <c r="G860" s="407" t="s">
        <v>5505</v>
      </c>
      <c r="H860" s="460">
        <v>498.66235999999998</v>
      </c>
      <c r="I860" s="460">
        <v>17.929569999999998</v>
      </c>
      <c r="J860" s="460">
        <v>61.655250000000002</v>
      </c>
      <c r="K860" s="460">
        <v>6900.83565</v>
      </c>
      <c r="L860" s="459" t="s">
        <v>539</v>
      </c>
      <c r="M860" s="309" t="s">
        <v>571</v>
      </c>
      <c r="N860" s="182"/>
      <c r="O860">
        <v>14.476000000000001</v>
      </c>
      <c r="P860" t="s">
        <v>9463</v>
      </c>
    </row>
    <row r="861" spans="1:16" ht="14.4" x14ac:dyDescent="0.3">
      <c r="A861" s="310">
        <v>267954</v>
      </c>
      <c r="B861" t="str">
        <f t="shared" si="26"/>
        <v>SEVROLL 04063 Gemini 10 dolna maskownica 2,35 m 10 mm, biały połysk</v>
      </c>
      <c r="C861" s="185">
        <f t="shared" si="27"/>
        <v>97.287599999999998</v>
      </c>
      <c r="D861" s="407" t="s">
        <v>3207</v>
      </c>
      <c r="E861" s="407" t="s">
        <v>5506</v>
      </c>
      <c r="F861" s="407" t="s">
        <v>5507</v>
      </c>
      <c r="G861" s="407" t="s">
        <v>5508</v>
      </c>
      <c r="H861" s="460">
        <v>731.70920999999998</v>
      </c>
      <c r="I861" s="460">
        <v>26.30885</v>
      </c>
      <c r="J861" s="460">
        <v>97.287599999999998</v>
      </c>
      <c r="K861" s="460">
        <v>10125.899240000001</v>
      </c>
      <c r="L861" s="459" t="s">
        <v>538</v>
      </c>
      <c r="M861" s="309" t="s">
        <v>571</v>
      </c>
      <c r="N861" s="182"/>
      <c r="O861">
        <v>25.3</v>
      </c>
      <c r="P861" t="s">
        <v>9464</v>
      </c>
    </row>
    <row r="862" spans="1:16" ht="14.4" x14ac:dyDescent="0.3">
      <c r="A862" s="310">
        <v>89227</v>
      </c>
      <c r="B862" t="str">
        <f t="shared" si="26"/>
        <v>SEVROLL maskownica dolna 2,35m 10mm jasny brąz</v>
      </c>
      <c r="C862" s="185">
        <f t="shared" si="27"/>
        <v>85.010859999999994</v>
      </c>
      <c r="D862" s="407" t="s">
        <v>2660</v>
      </c>
      <c r="E862" s="407" t="s">
        <v>5509</v>
      </c>
      <c r="F862" s="407" t="s">
        <v>5510</v>
      </c>
      <c r="G862" s="407" t="s">
        <v>5511</v>
      </c>
      <c r="H862" s="460">
        <v>687.56057999999996</v>
      </c>
      <c r="I862" s="460">
        <v>24.72147</v>
      </c>
      <c r="J862" s="460">
        <v>85.010859999999994</v>
      </c>
      <c r="K862" s="460">
        <v>9514.9400999999998</v>
      </c>
      <c r="L862" s="459" t="s">
        <v>538</v>
      </c>
      <c r="M862" s="309" t="s">
        <v>571</v>
      </c>
      <c r="N862" s="182"/>
      <c r="O862">
        <v>20.9</v>
      </c>
      <c r="P862" t="s">
        <v>9465</v>
      </c>
    </row>
    <row r="863" spans="1:16" ht="14.4" x14ac:dyDescent="0.3">
      <c r="A863" s="310">
        <v>119421</v>
      </c>
      <c r="B863" t="str">
        <f t="shared" si="26"/>
        <v>SEVROLL 02491-Y dolna listwa maskująca 2,35 m 10 mm, jasny brąz szczotkowany</v>
      </c>
      <c r="C863" s="185">
        <f t="shared" si="27"/>
        <v>106.03986999999999</v>
      </c>
      <c r="D863" s="407" t="s">
        <v>2818</v>
      </c>
      <c r="E863" s="407" t="s">
        <v>5512</v>
      </c>
      <c r="F863" s="407" t="s">
        <v>5513</v>
      </c>
      <c r="G863" s="407" t="s">
        <v>5514</v>
      </c>
      <c r="H863" s="460">
        <v>857.64137000000005</v>
      </c>
      <c r="I863" s="460">
        <v>30.836780000000001</v>
      </c>
      <c r="J863" s="460">
        <v>106.03986999999999</v>
      </c>
      <c r="K863" s="460">
        <v>11868.6358</v>
      </c>
      <c r="L863" s="459" t="s">
        <v>538</v>
      </c>
      <c r="M863" s="309" t="s">
        <v>571</v>
      </c>
      <c r="N863" s="182"/>
      <c r="O863">
        <v>26.07</v>
      </c>
      <c r="P863" t="s">
        <v>9466</v>
      </c>
    </row>
    <row r="864" spans="1:16" ht="14.4" x14ac:dyDescent="0.3">
      <c r="A864" s="310">
        <v>89226</v>
      </c>
      <c r="B864" t="str">
        <f t="shared" si="26"/>
        <v>SEVROLL listwa maskownica dolna 2,35m 10mm srebrny</v>
      </c>
      <c r="C864" s="185">
        <f t="shared" si="27"/>
        <v>74.827200000000005</v>
      </c>
      <c r="D864" s="407" t="s">
        <v>2659</v>
      </c>
      <c r="E864" s="407" t="s">
        <v>5515</v>
      </c>
      <c r="F864" s="407" t="s">
        <v>5516</v>
      </c>
      <c r="G864" s="407" t="s">
        <v>5517</v>
      </c>
      <c r="H864" s="460">
        <v>563.07592999999997</v>
      </c>
      <c r="I864" s="460">
        <v>20.24558</v>
      </c>
      <c r="J864" s="460">
        <v>74.827200000000005</v>
      </c>
      <c r="K864" s="460">
        <v>7792.2350699999997</v>
      </c>
      <c r="L864" s="459" t="s">
        <v>538</v>
      </c>
      <c r="M864" s="309" t="s">
        <v>571</v>
      </c>
      <c r="N864" s="182"/>
      <c r="O864">
        <v>19.998000000000001</v>
      </c>
      <c r="P864" t="s">
        <v>9467</v>
      </c>
    </row>
    <row r="865" spans="1:16" ht="14.4" x14ac:dyDescent="0.3">
      <c r="A865" s="310">
        <v>205173</v>
      </c>
      <c r="B865" t="str">
        <f t="shared" si="26"/>
        <v>SEVROLL listwa pozioma dolna 2,35 m 10 mm czarna szczotkowana</v>
      </c>
      <c r="C865" s="185">
        <f t="shared" si="27"/>
        <v>106.03986999999999</v>
      </c>
      <c r="D865" s="407" t="s">
        <v>2981</v>
      </c>
      <c r="E865" s="407" t="s">
        <v>5518</v>
      </c>
      <c r="F865" s="407" t="s">
        <v>5519</v>
      </c>
      <c r="G865" s="407" t="s">
        <v>5520</v>
      </c>
      <c r="H865" s="460">
        <v>857.64137000000005</v>
      </c>
      <c r="I865" s="460">
        <v>30.836780000000001</v>
      </c>
      <c r="J865" s="460">
        <v>106.03986999999999</v>
      </c>
      <c r="K865" s="460">
        <v>11868.6358</v>
      </c>
      <c r="L865" s="459" t="s">
        <v>538</v>
      </c>
      <c r="M865" s="309" t="s">
        <v>571</v>
      </c>
      <c r="N865" s="182"/>
      <c r="O865">
        <v>26.07</v>
      </c>
      <c r="P865" t="s">
        <v>9468</v>
      </c>
    </row>
    <row r="866" spans="1:16" ht="14.4" x14ac:dyDescent="0.3">
      <c r="A866" s="310">
        <v>265067</v>
      </c>
      <c r="B866" t="str">
        <f t="shared" si="26"/>
        <v>SEVROLL listwa pozioma dolna 3 m 10 mm, biały połysk</v>
      </c>
      <c r="C866" s="185">
        <f t="shared" si="27"/>
        <v>124.22580000000001</v>
      </c>
      <c r="D866" s="407" t="s">
        <v>3204</v>
      </c>
      <c r="E866" s="407" t="s">
        <v>5521</v>
      </c>
      <c r="F866" s="407" t="s">
        <v>5522</v>
      </c>
      <c r="G866" s="407" t="s">
        <v>5523</v>
      </c>
      <c r="H866" s="460">
        <v>936.52988000000005</v>
      </c>
      <c r="I866" s="460">
        <v>33.67324</v>
      </c>
      <c r="J866" s="460">
        <v>124.22580000000001</v>
      </c>
      <c r="K866" s="460">
        <v>12960.35014</v>
      </c>
      <c r="L866" s="459" t="s">
        <v>538</v>
      </c>
      <c r="M866" s="309" t="s">
        <v>571</v>
      </c>
      <c r="N866" s="182"/>
      <c r="O866">
        <v>32.317999999999998</v>
      </c>
      <c r="P866" t="s">
        <v>9469</v>
      </c>
    </row>
    <row r="867" spans="1:16" ht="14.4" x14ac:dyDescent="0.3">
      <c r="A867" s="310">
        <v>205175</v>
      </c>
      <c r="B867" t="str">
        <f t="shared" si="26"/>
        <v>SEVROLL listwa pozioma dolna 3 m 10 mm czarna szczotkowana</v>
      </c>
      <c r="C867" s="185">
        <f t="shared" si="27"/>
        <v>135.48047</v>
      </c>
      <c r="D867" s="407" t="s">
        <v>2983</v>
      </c>
      <c r="E867" s="407" t="s">
        <v>5524</v>
      </c>
      <c r="F867" s="407" t="s">
        <v>5525</v>
      </c>
      <c r="G867" s="407" t="s">
        <v>5526</v>
      </c>
      <c r="H867" s="460">
        <v>1095.75443</v>
      </c>
      <c r="I867" s="460">
        <v>39.398220000000002</v>
      </c>
      <c r="J867" s="460">
        <v>135.48047</v>
      </c>
      <c r="K867" s="460">
        <v>15163.809960000001</v>
      </c>
      <c r="L867" s="459" t="s">
        <v>538</v>
      </c>
      <c r="M867" s="309" t="s">
        <v>571</v>
      </c>
      <c r="N867" s="182"/>
      <c r="O867">
        <v>33.308</v>
      </c>
      <c r="P867" t="s">
        <v>9470</v>
      </c>
    </row>
    <row r="868" spans="1:16" ht="14.4" x14ac:dyDescent="0.3">
      <c r="A868" s="310">
        <v>89225</v>
      </c>
      <c r="B868" t="str">
        <f t="shared" si="26"/>
        <v>SEVROLL maskownica dolna 3m 10mm jasny brąz</v>
      </c>
      <c r="C868" s="185">
        <f t="shared" si="27"/>
        <v>108.81391000000001</v>
      </c>
      <c r="D868" s="407" t="s">
        <v>2658</v>
      </c>
      <c r="E868" s="407" t="s">
        <v>5527</v>
      </c>
      <c r="F868" s="407" t="s">
        <v>5528</v>
      </c>
      <c r="G868" s="407" t="s">
        <v>5529</v>
      </c>
      <c r="H868" s="460">
        <v>880.07754999999997</v>
      </c>
      <c r="I868" s="460">
        <v>31.64348</v>
      </c>
      <c r="J868" s="460">
        <v>108.81391000000001</v>
      </c>
      <c r="K868" s="460">
        <v>12179.123159999999</v>
      </c>
      <c r="L868" s="459" t="s">
        <v>538</v>
      </c>
      <c r="M868" s="309" t="s">
        <v>571</v>
      </c>
      <c r="N868" s="182"/>
      <c r="O868">
        <v>26.751999999999999</v>
      </c>
      <c r="P868" t="s">
        <v>9471</v>
      </c>
    </row>
    <row r="869" spans="1:16" ht="14.4" x14ac:dyDescent="0.3">
      <c r="A869" s="310">
        <v>119422</v>
      </c>
      <c r="B869" t="str">
        <f t="shared" si="26"/>
        <v>SEVROLL 02492-Y dolna listwa maskująca 3 m 10 mm, jasny brąz szczotkowany</v>
      </c>
      <c r="C869" s="185">
        <f t="shared" si="27"/>
        <v>135.48047</v>
      </c>
      <c r="D869" s="407" t="s">
        <v>2819</v>
      </c>
      <c r="E869" s="407" t="s">
        <v>5530</v>
      </c>
      <c r="F869" s="407" t="s">
        <v>5531</v>
      </c>
      <c r="G869" s="407" t="s">
        <v>5532</v>
      </c>
      <c r="H869" s="460">
        <v>1095.75443</v>
      </c>
      <c r="I869" s="460">
        <v>39.398220000000002</v>
      </c>
      <c r="J869" s="460">
        <v>135.48047</v>
      </c>
      <c r="K869" s="460">
        <v>15163.809960000001</v>
      </c>
      <c r="L869" s="459" t="s">
        <v>539</v>
      </c>
      <c r="M869" s="309" t="s">
        <v>571</v>
      </c>
      <c r="N869" s="182"/>
      <c r="O869">
        <v>33.308</v>
      </c>
      <c r="P869" t="s">
        <v>9472</v>
      </c>
    </row>
    <row r="870" spans="1:16" ht="14.4" x14ac:dyDescent="0.3">
      <c r="A870" s="310">
        <v>89224</v>
      </c>
      <c r="B870" t="str">
        <f t="shared" si="26"/>
        <v>SEVROLL Gemini tor dolny 3m 10mm srebrny</v>
      </c>
      <c r="C870" s="185">
        <f t="shared" si="27"/>
        <v>95.563800000000001</v>
      </c>
      <c r="D870" s="407" t="s">
        <v>2657</v>
      </c>
      <c r="E870" s="407" t="s">
        <v>5533</v>
      </c>
      <c r="F870" s="407" t="s">
        <v>5534</v>
      </c>
      <c r="G870" s="407" t="s">
        <v>5535</v>
      </c>
      <c r="H870" s="460">
        <v>720.12924999999996</v>
      </c>
      <c r="I870" s="460">
        <v>25.892489999999999</v>
      </c>
      <c r="J870" s="460">
        <v>95.563800000000001</v>
      </c>
      <c r="K870" s="460">
        <v>9965.6477799999993</v>
      </c>
      <c r="L870" s="459" t="s">
        <v>538</v>
      </c>
      <c r="M870" s="309" t="s">
        <v>571</v>
      </c>
      <c r="N870" s="182"/>
      <c r="O870">
        <v>25.585999999999999</v>
      </c>
      <c r="P870" t="s">
        <v>9473</v>
      </c>
    </row>
    <row r="871" spans="1:16" ht="14.4" x14ac:dyDescent="0.3">
      <c r="A871" s="310">
        <v>89256</v>
      </c>
      <c r="B871" t="str">
        <f t="shared" si="26"/>
        <v>SEVROLL listwa pozioma dolna 3m 10mm złoty</v>
      </c>
      <c r="C871" s="185">
        <f t="shared" si="27"/>
        <v>108.81391000000001</v>
      </c>
      <c r="D871" s="407" t="s">
        <v>2682</v>
      </c>
      <c r="E871" s="407" t="s">
        <v>5536</v>
      </c>
      <c r="F871" s="407" t="s">
        <v>5537</v>
      </c>
      <c r="G871" s="407" t="s">
        <v>5538</v>
      </c>
      <c r="H871" s="460">
        <v>880.07754999999997</v>
      </c>
      <c r="I871" s="460">
        <v>31.64348</v>
      </c>
      <c r="J871" s="460">
        <v>108.81391000000001</v>
      </c>
      <c r="K871" s="460">
        <v>12179.123159999999</v>
      </c>
      <c r="L871" s="459" t="s">
        <v>539</v>
      </c>
      <c r="M871" s="309" t="s">
        <v>571</v>
      </c>
      <c r="N871" s="182"/>
      <c r="O871">
        <v>25.585999999999999</v>
      </c>
      <c r="P871" t="s">
        <v>9474</v>
      </c>
    </row>
    <row r="872" spans="1:16" ht="14.4" x14ac:dyDescent="0.3">
      <c r="A872" s="310">
        <v>223564</v>
      </c>
      <c r="B872" t="str">
        <f t="shared" si="26"/>
        <v>SEVROLL maskownica dolna Simple/Blue 3m (do płyty laminowanej 10mm) jasny brąz</v>
      </c>
      <c r="C872" s="185">
        <f t="shared" si="27"/>
        <v>78.802019999999999</v>
      </c>
      <c r="D872" s="407" t="s">
        <v>3078</v>
      </c>
      <c r="E872" s="407" t="s">
        <v>5539</v>
      </c>
      <c r="F872" s="407" t="s">
        <v>5540</v>
      </c>
      <c r="G872" s="407" t="s">
        <v>5541</v>
      </c>
      <c r="H872" s="460">
        <v>640.04834000000005</v>
      </c>
      <c r="I872" s="460">
        <v>23.264199999999999</v>
      </c>
      <c r="J872" s="460">
        <v>78.802019999999999</v>
      </c>
      <c r="K872" s="460">
        <v>9094.51541</v>
      </c>
      <c r="L872" s="459" t="s">
        <v>539</v>
      </c>
      <c r="M872" s="309" t="s">
        <v>571</v>
      </c>
      <c r="N872" s="182"/>
      <c r="O872">
        <v>19.667999999999999</v>
      </c>
      <c r="P872" t="s">
        <v>9475</v>
      </c>
    </row>
    <row r="873" spans="1:16" ht="14.4" x14ac:dyDescent="0.3">
      <c r="A873" s="310">
        <v>222574</v>
      </c>
      <c r="B873" t="str">
        <f t="shared" si="26"/>
        <v>SEVROLL maskownica dolna Simple/Blue 3m (do płyty laminowanej 10mm) srebrny</v>
      </c>
      <c r="C873" s="185">
        <f t="shared" si="27"/>
        <v>68.544700000000006</v>
      </c>
      <c r="D873" s="407" t="s">
        <v>3032</v>
      </c>
      <c r="E873" s="407" t="s">
        <v>5542</v>
      </c>
      <c r="F873" s="407" t="s">
        <v>5543</v>
      </c>
      <c r="G873" s="407" t="s">
        <v>5544</v>
      </c>
      <c r="H873" s="460">
        <v>538.38517999999999</v>
      </c>
      <c r="I873" s="460">
        <v>19.568999999999999</v>
      </c>
      <c r="J873" s="460">
        <v>68.544700000000006</v>
      </c>
      <c r="K873" s="460">
        <v>7649.97264</v>
      </c>
      <c r="L873" s="459" t="s">
        <v>538</v>
      </c>
      <c r="M873" s="309" t="s">
        <v>571</v>
      </c>
      <c r="N873" s="182"/>
      <c r="O873">
        <v>17.423999999999999</v>
      </c>
      <c r="P873" t="s">
        <v>9476</v>
      </c>
    </row>
    <row r="874" spans="1:16" ht="14.4" x14ac:dyDescent="0.3">
      <c r="A874" s="310">
        <v>224140</v>
      </c>
      <c r="B874" t="e">
        <f t="shared" si="26"/>
        <v>#N/A</v>
      </c>
      <c r="C874" s="185" t="e">
        <f t="shared" si="27"/>
        <v>#N/A</v>
      </c>
      <c r="D874" s="407" t="e">
        <v>#N/A</v>
      </c>
      <c r="E874" s="407" t="e">
        <v>#N/A</v>
      </c>
      <c r="F874" s="407" t="e">
        <v>#N/A</v>
      </c>
      <c r="G874" s="407" t="e">
        <v>#N/A</v>
      </c>
      <c r="H874" s="460" t="e">
        <v>#N/A</v>
      </c>
      <c r="I874" s="460" t="e">
        <v>#N/A</v>
      </c>
      <c r="J874" s="460" t="e">
        <v>#N/A</v>
      </c>
      <c r="K874" s="460" t="e">
        <v>#N/A</v>
      </c>
      <c r="L874" s="459" t="e">
        <v>#N/A</v>
      </c>
      <c r="M874" s="309" t="s">
        <v>571</v>
      </c>
      <c r="N874" s="182"/>
      <c r="O874" t="e">
        <v>#N/A</v>
      </c>
      <c r="P874" t="e">
        <v>#N/A</v>
      </c>
    </row>
    <row r="875" spans="1:16" ht="14.4" x14ac:dyDescent="0.3">
      <c r="A875" s="310">
        <v>224137</v>
      </c>
      <c r="B875" t="str">
        <f t="shared" si="26"/>
        <v>SEVROLL maskownica dolna Simple/Blue 1,5m (do płyty laminowanej 18mm) srebrny</v>
      </c>
      <c r="C875" s="185">
        <f t="shared" si="27"/>
        <v>48.17165</v>
      </c>
      <c r="D875" s="407" t="s">
        <v>3107</v>
      </c>
      <c r="E875" s="407" t="s">
        <v>5545</v>
      </c>
      <c r="F875" s="407" t="s">
        <v>5546</v>
      </c>
      <c r="G875" s="407" t="s">
        <v>5547</v>
      </c>
      <c r="H875" s="460">
        <v>278.49979000000002</v>
      </c>
      <c r="I875" s="460">
        <v>10.12279</v>
      </c>
      <c r="J875" s="460">
        <v>48.17165</v>
      </c>
      <c r="K875" s="460">
        <v>3957.2333100000001</v>
      </c>
      <c r="L875" s="459" t="s">
        <v>538</v>
      </c>
      <c r="M875" s="309" t="s">
        <v>571</v>
      </c>
      <c r="N875" s="182"/>
      <c r="O875">
        <v>9.68</v>
      </c>
      <c r="P875" t="s">
        <v>9477</v>
      </c>
    </row>
    <row r="876" spans="1:16" ht="14.4" x14ac:dyDescent="0.3">
      <c r="A876" s="310">
        <v>224142</v>
      </c>
      <c r="B876" t="str">
        <f t="shared" si="26"/>
        <v>SEVROLL maskownica dolna Simple/Blue 2,5 m (do płyty laminowanej 18 mm) oliwka</v>
      </c>
      <c r="C876" s="185" t="e">
        <f t="shared" si="27"/>
        <v>#N/A</v>
      </c>
      <c r="D876" s="407" t="s">
        <v>3111</v>
      </c>
      <c r="E876" s="407" t="s">
        <v>5548</v>
      </c>
      <c r="F876" s="407" t="s">
        <v>5549</v>
      </c>
      <c r="G876" s="407" t="s">
        <v>5550</v>
      </c>
      <c r="H876" s="460" t="e">
        <v>#N/A</v>
      </c>
      <c r="I876" s="460" t="e">
        <v>#N/A</v>
      </c>
      <c r="J876" s="460" t="e">
        <v>#N/A</v>
      </c>
      <c r="K876" s="460" t="e">
        <v>#N/A</v>
      </c>
      <c r="L876" s="459" t="e">
        <v>#N/A</v>
      </c>
      <c r="M876" s="309" t="s">
        <v>571</v>
      </c>
      <c r="N876" s="182"/>
      <c r="O876">
        <v>0</v>
      </c>
      <c r="P876" t="s">
        <v>9478</v>
      </c>
    </row>
    <row r="877" spans="1:16" ht="14.4" x14ac:dyDescent="0.3">
      <c r="A877" s="310">
        <v>224139</v>
      </c>
      <c r="B877" t="str">
        <f t="shared" si="26"/>
        <v>SEVROLL maskownica dolna Simple/Blue 2,5 m (do płyty laminowanej 18 mm) srebrna</v>
      </c>
      <c r="C877" s="185">
        <f t="shared" si="27"/>
        <v>80.296570000000003</v>
      </c>
      <c r="D877" s="407" t="s">
        <v>3109</v>
      </c>
      <c r="E877" s="407" t="s">
        <v>5551</v>
      </c>
      <c r="F877" s="407" t="s">
        <v>5552</v>
      </c>
      <c r="G877" s="407" t="s">
        <v>5553</v>
      </c>
      <c r="H877" s="460">
        <v>463.92766999999998</v>
      </c>
      <c r="I877" s="460">
        <v>16.862639999999999</v>
      </c>
      <c r="J877" s="460">
        <v>80.296570000000003</v>
      </c>
      <c r="K877" s="460">
        <v>6591.99755</v>
      </c>
      <c r="L877" s="459" t="s">
        <v>539</v>
      </c>
      <c r="M877" s="309" t="s">
        <v>571</v>
      </c>
      <c r="N877" s="182"/>
      <c r="O877">
        <v>15.773999999999999</v>
      </c>
      <c r="P877" t="s">
        <v>9479</v>
      </c>
    </row>
    <row r="878" spans="1:16" ht="14.4" x14ac:dyDescent="0.3">
      <c r="A878" s="310">
        <v>224141</v>
      </c>
      <c r="B878" t="str">
        <f t="shared" si="26"/>
        <v>SEVROLL maskownica dolna Simple/Blue 2m (do płyty laminowanej 18mm) jasny brąz</v>
      </c>
      <c r="C878" s="185">
        <f t="shared" si="27"/>
        <v>72.241739999999993</v>
      </c>
      <c r="D878" s="407" t="s">
        <v>3110</v>
      </c>
      <c r="E878" s="407" t="s">
        <v>5554</v>
      </c>
      <c r="F878" s="407" t="s">
        <v>5555</v>
      </c>
      <c r="G878" s="407" t="s">
        <v>5556</v>
      </c>
      <c r="H878" s="460">
        <v>459.63202999999999</v>
      </c>
      <c r="I878" s="460">
        <v>16.706510000000002</v>
      </c>
      <c r="J878" s="460">
        <v>72.241739999999993</v>
      </c>
      <c r="K878" s="460">
        <v>6530.9607100000003</v>
      </c>
      <c r="L878" s="459" t="s">
        <v>538</v>
      </c>
      <c r="M878" s="309" t="s">
        <v>571</v>
      </c>
      <c r="N878" s="182"/>
      <c r="O878">
        <v>14.366</v>
      </c>
      <c r="P878" t="s">
        <v>9480</v>
      </c>
    </row>
    <row r="879" spans="1:16" ht="14.4" x14ac:dyDescent="0.3">
      <c r="A879" s="310">
        <v>224138</v>
      </c>
      <c r="B879" t="str">
        <f t="shared" si="26"/>
        <v>SEVROLL maskownica dolna Simple/Blue 2m (do płyty laminowanej 18mm) srebrny</v>
      </c>
      <c r="C879" s="185">
        <f t="shared" si="27"/>
        <v>64.234110000000001</v>
      </c>
      <c r="D879" s="407" t="s">
        <v>3108</v>
      </c>
      <c r="E879" s="407" t="s">
        <v>5557</v>
      </c>
      <c r="F879" s="407" t="s">
        <v>5558</v>
      </c>
      <c r="G879" s="407" t="s">
        <v>5559</v>
      </c>
      <c r="H879" s="460">
        <v>370.85575999999998</v>
      </c>
      <c r="I879" s="460">
        <v>13.479710000000001</v>
      </c>
      <c r="J879" s="460">
        <v>64.234110000000001</v>
      </c>
      <c r="K879" s="460">
        <v>5269.5288899999996</v>
      </c>
      <c r="L879" s="459" t="s">
        <v>538</v>
      </c>
      <c r="M879" s="309" t="s">
        <v>571</v>
      </c>
      <c r="N879" s="182"/>
      <c r="O879">
        <v>12.738</v>
      </c>
      <c r="P879" t="s">
        <v>9481</v>
      </c>
    </row>
    <row r="880" spans="1:16" ht="14.4" x14ac:dyDescent="0.3">
      <c r="A880" s="310">
        <v>223562</v>
      </c>
      <c r="B880" t="str">
        <f t="shared" si="26"/>
        <v>SEVROLL maskownica dolna Simple/Blue 3m (do płyty laminowanej 18mm) jasny brąz</v>
      </c>
      <c r="C880" s="185">
        <f t="shared" si="27"/>
        <v>108.34688</v>
      </c>
      <c r="D880" s="407" t="s">
        <v>3076</v>
      </c>
      <c r="E880" s="407" t="s">
        <v>5560</v>
      </c>
      <c r="F880" s="407" t="s">
        <v>5561</v>
      </c>
      <c r="G880" s="407" t="s">
        <v>5562</v>
      </c>
      <c r="H880" s="460">
        <v>689.44804999999997</v>
      </c>
      <c r="I880" s="460">
        <v>25.059760000000001</v>
      </c>
      <c r="J880" s="460">
        <v>108.34688</v>
      </c>
      <c r="K880" s="460">
        <v>9796.4408399999993</v>
      </c>
      <c r="L880" s="459" t="s">
        <v>538</v>
      </c>
      <c r="M880" s="309" t="s">
        <v>571</v>
      </c>
      <c r="N880" s="182"/>
      <c r="O880">
        <v>21.207999999999998</v>
      </c>
      <c r="P880" t="s">
        <v>9482</v>
      </c>
    </row>
    <row r="881" spans="1:16" ht="14.4" x14ac:dyDescent="0.3">
      <c r="A881" s="310">
        <v>222572</v>
      </c>
      <c r="B881" t="str">
        <f t="shared" si="26"/>
        <v>SEVROLL maskownica dolna Simple/Blue 3m (do płyty laminowanej 18mm) srebrny</v>
      </c>
      <c r="C881" s="185">
        <f t="shared" si="27"/>
        <v>96.374769999999998</v>
      </c>
      <c r="D881" s="407" t="s">
        <v>3030</v>
      </c>
      <c r="E881" s="407" t="s">
        <v>5563</v>
      </c>
      <c r="F881" s="407" t="s">
        <v>5564</v>
      </c>
      <c r="G881" s="407" t="s">
        <v>2382</v>
      </c>
      <c r="H881" s="460">
        <v>556.28363999999999</v>
      </c>
      <c r="I881" s="460">
        <v>20.219560000000001</v>
      </c>
      <c r="J881" s="460">
        <v>96.374769999999998</v>
      </c>
      <c r="K881" s="460">
        <v>7904.2935500000003</v>
      </c>
      <c r="L881" s="459" t="s">
        <v>538</v>
      </c>
      <c r="M881" s="309" t="s">
        <v>571</v>
      </c>
      <c r="N881" s="182"/>
      <c r="O881">
        <v>18.788</v>
      </c>
      <c r="P881" t="s">
        <v>9483</v>
      </c>
    </row>
    <row r="882" spans="1:16" ht="14.4" x14ac:dyDescent="0.3">
      <c r="A882" s="310">
        <v>228083</v>
      </c>
      <c r="B882" t="e">
        <f t="shared" si="26"/>
        <v>#N/A</v>
      </c>
      <c r="C882" s="185" t="e">
        <f t="shared" si="27"/>
        <v>#N/A</v>
      </c>
      <c r="D882" s="407" t="e">
        <v>#N/A</v>
      </c>
      <c r="E882" s="407" t="e">
        <v>#N/A</v>
      </c>
      <c r="F882" s="407" t="e">
        <v>#N/A</v>
      </c>
      <c r="G882" s="407" t="e">
        <v>#N/A</v>
      </c>
      <c r="H882" s="460" t="e">
        <v>#N/A</v>
      </c>
      <c r="I882" s="460" t="e">
        <v>#N/A</v>
      </c>
      <c r="J882" s="460" t="e">
        <v>#N/A</v>
      </c>
      <c r="K882" s="460" t="e">
        <v>#N/A</v>
      </c>
      <c r="L882" s="459" t="e">
        <v>#N/A</v>
      </c>
      <c r="M882" s="309" t="s">
        <v>572</v>
      </c>
      <c r="N882" s="182"/>
      <c r="O882" t="e">
        <v>#N/A</v>
      </c>
      <c r="P882" t="e">
        <v>#N/A</v>
      </c>
    </row>
    <row r="883" spans="1:16" ht="14.4" x14ac:dyDescent="0.3">
      <c r="A883" s="310">
        <v>229446</v>
      </c>
      <c r="B883" t="str">
        <f t="shared" si="26"/>
        <v>SEVROLL wózek dolny Simple/Blue V (system ramowy) - 2szt</v>
      </c>
      <c r="C883" s="185">
        <f t="shared" si="27"/>
        <v>16.17259</v>
      </c>
      <c r="D883" s="407" t="s">
        <v>3159</v>
      </c>
      <c r="E883" s="407" t="s">
        <v>5565</v>
      </c>
      <c r="F883" s="407" t="s">
        <v>5566</v>
      </c>
      <c r="G883" s="407" t="s">
        <v>5567</v>
      </c>
      <c r="H883" s="460">
        <v>80.640640000000005</v>
      </c>
      <c r="I883" s="460">
        <v>2.73237</v>
      </c>
      <c r="J883" s="460">
        <v>16.17259</v>
      </c>
      <c r="K883" s="460">
        <v>1076.396</v>
      </c>
      <c r="L883" s="459" t="s">
        <v>538</v>
      </c>
      <c r="M883" s="309" t="s">
        <v>574</v>
      </c>
      <c r="N883" s="182"/>
      <c r="O883">
        <v>2.31</v>
      </c>
      <c r="P883" t="s">
        <v>9484</v>
      </c>
    </row>
    <row r="884" spans="1:16" ht="14.4" x14ac:dyDescent="0.3">
      <c r="A884" s="310">
        <v>228082</v>
      </c>
      <c r="B884" t="e">
        <f t="shared" si="26"/>
        <v>#N/A</v>
      </c>
      <c r="C884" s="185" t="e">
        <f t="shared" si="27"/>
        <v>#N/A</v>
      </c>
      <c r="D884" s="407" t="e">
        <v>#N/A</v>
      </c>
      <c r="E884" s="407" t="e">
        <v>#N/A</v>
      </c>
      <c r="F884" s="407" t="e">
        <v>#N/A</v>
      </c>
      <c r="G884" s="407" t="e">
        <v>#N/A</v>
      </c>
      <c r="H884" s="460" t="e">
        <v>#N/A</v>
      </c>
      <c r="I884" s="460" t="e">
        <v>#N/A</v>
      </c>
      <c r="J884" s="460" t="e">
        <v>#N/A</v>
      </c>
      <c r="K884" s="460" t="e">
        <v>#N/A</v>
      </c>
      <c r="L884" s="459" t="e">
        <v>#N/A</v>
      </c>
      <c r="M884" s="309" t="s">
        <v>572</v>
      </c>
      <c r="N884" s="182"/>
      <c r="O884" t="e">
        <v>#N/A</v>
      </c>
      <c r="P884" t="e">
        <v>#N/A</v>
      </c>
    </row>
    <row r="885" spans="1:16" ht="14.4" x14ac:dyDescent="0.3">
      <c r="A885" s="310">
        <v>328321</v>
      </c>
      <c r="B885" t="str">
        <f t="shared" si="26"/>
        <v>SEVROLL wózek dolny WD10 V 2 szt. bez pozycjonera</v>
      </c>
      <c r="C885" s="185">
        <f t="shared" si="27"/>
        <v>26.52</v>
      </c>
      <c r="D885" s="407" t="s">
        <v>3340</v>
      </c>
      <c r="E885" s="407" t="s">
        <v>5568</v>
      </c>
      <c r="F885" s="407" t="s">
        <v>5569</v>
      </c>
      <c r="G885" s="407" t="s">
        <v>5570</v>
      </c>
      <c r="H885" s="460">
        <v>177.40937</v>
      </c>
      <c r="I885" s="460">
        <v>6.0112199999999998</v>
      </c>
      <c r="J885" s="460">
        <v>26.52</v>
      </c>
      <c r="K885" s="460">
        <v>2368.0710600000002</v>
      </c>
      <c r="L885" s="459" t="s">
        <v>538</v>
      </c>
      <c r="M885" s="309" t="s">
        <v>572</v>
      </c>
      <c r="N885" s="182"/>
      <c r="O885">
        <v>5.6539999999999999</v>
      </c>
      <c r="P885" t="s">
        <v>9485</v>
      </c>
    </row>
    <row r="886" spans="1:16" ht="14.4" x14ac:dyDescent="0.3">
      <c r="A886" s="310">
        <v>89068</v>
      </c>
      <c r="B886" t="e">
        <f t="shared" si="26"/>
        <v>#N/A</v>
      </c>
      <c r="C886" s="185" t="e">
        <f t="shared" si="27"/>
        <v>#N/A</v>
      </c>
      <c r="D886" s="407" t="e">
        <v>#N/A</v>
      </c>
      <c r="E886" s="407" t="e">
        <v>#N/A</v>
      </c>
      <c r="F886" s="407" t="e">
        <v>#N/A</v>
      </c>
      <c r="G886" s="407" t="e">
        <v>#N/A</v>
      </c>
      <c r="H886" s="460" t="e">
        <v>#N/A</v>
      </c>
      <c r="I886" s="460" t="e">
        <v>#N/A</v>
      </c>
      <c r="J886" s="460" t="e">
        <v>#N/A</v>
      </c>
      <c r="K886" s="460" t="e">
        <v>#N/A</v>
      </c>
      <c r="L886" s="459" t="e">
        <v>#N/A</v>
      </c>
      <c r="M886" s="309" t="s">
        <v>571</v>
      </c>
      <c r="N886" s="182"/>
      <c r="O886" t="e">
        <v>#N/A</v>
      </c>
      <c r="P886" t="e">
        <v>#N/A</v>
      </c>
    </row>
    <row r="887" spans="1:16" ht="14.4" x14ac:dyDescent="0.3">
      <c r="A887" s="310">
        <v>229436</v>
      </c>
      <c r="B887" t="str">
        <f t="shared" si="26"/>
        <v>SEVROLL wózek dolny WD18V (2x wózek+pozycjoner) ze sprężyną</v>
      </c>
      <c r="C887" s="185" t="e">
        <f t="shared" si="27"/>
        <v>#N/A</v>
      </c>
      <c r="D887" s="407" t="s">
        <v>3153</v>
      </c>
      <c r="E887" s="407" t="s">
        <v>5571</v>
      </c>
      <c r="F887" s="407" t="s">
        <v>5572</v>
      </c>
      <c r="G887" s="407" t="s">
        <v>5573</v>
      </c>
      <c r="H887" s="460" t="e">
        <v>#N/A</v>
      </c>
      <c r="I887" s="460" t="e">
        <v>#N/A</v>
      </c>
      <c r="J887" s="460" t="e">
        <v>#N/A</v>
      </c>
      <c r="K887" s="460" t="e">
        <v>#N/A</v>
      </c>
      <c r="L887" s="459" t="e">
        <v>#N/A</v>
      </c>
      <c r="M887" s="309" t="s">
        <v>572</v>
      </c>
      <c r="N887" s="182"/>
      <c r="O887">
        <v>0</v>
      </c>
      <c r="P887" t="s">
        <v>9486</v>
      </c>
    </row>
    <row r="888" spans="1:16" ht="14.4" x14ac:dyDescent="0.3">
      <c r="A888" s="310">
        <v>205172</v>
      </c>
      <c r="B888" t="str">
        <f t="shared" si="26"/>
        <v>SEVROLL listwa pozioma dolna 2,35 m oliwka ciemna szczotkowana</v>
      </c>
      <c r="C888" s="185">
        <f t="shared" si="27"/>
        <v>106.03986999999999</v>
      </c>
      <c r="D888" s="407" t="s">
        <v>2980</v>
      </c>
      <c r="E888" s="407" t="s">
        <v>5574</v>
      </c>
      <c r="F888" s="407" t="s">
        <v>1102</v>
      </c>
      <c r="G888" s="407" t="s">
        <v>5575</v>
      </c>
      <c r="H888" s="460">
        <v>857.64137000000005</v>
      </c>
      <c r="I888" s="460">
        <v>30.836780000000001</v>
      </c>
      <c r="J888" s="460">
        <v>106.03986999999999</v>
      </c>
      <c r="K888" s="460">
        <v>11868.6358</v>
      </c>
      <c r="L888" s="459" t="s">
        <v>539</v>
      </c>
      <c r="M888" s="309" t="s">
        <v>571</v>
      </c>
      <c r="N888" s="182"/>
      <c r="O888">
        <v>26.07</v>
      </c>
      <c r="P888" t="s">
        <v>9487</v>
      </c>
    </row>
    <row r="889" spans="1:16" ht="14.4" x14ac:dyDescent="0.3">
      <c r="A889" s="310">
        <v>214745</v>
      </c>
      <c r="B889" t="str">
        <f t="shared" si="26"/>
        <v>SEVROLL listwa łącząca H10 Decor 3m, srebrna</v>
      </c>
      <c r="C889" s="185">
        <f t="shared" si="27"/>
        <v>48.042000000000002</v>
      </c>
      <c r="D889" s="407" t="s">
        <v>3005</v>
      </c>
      <c r="E889" s="407" t="s">
        <v>5576</v>
      </c>
      <c r="F889" s="407" t="s">
        <v>1206</v>
      </c>
      <c r="G889" s="407" t="s">
        <v>5577</v>
      </c>
      <c r="H889" s="460">
        <v>370.55896000000001</v>
      </c>
      <c r="I889" s="460">
        <v>13.32357</v>
      </c>
      <c r="J889" s="460">
        <v>48.042000000000002</v>
      </c>
      <c r="K889" s="460">
        <v>5128.0520100000003</v>
      </c>
      <c r="L889" s="459" t="s">
        <v>538</v>
      </c>
      <c r="M889" s="309" t="s">
        <v>571</v>
      </c>
      <c r="N889" s="182"/>
      <c r="O889">
        <v>12.891999999999999</v>
      </c>
      <c r="P889" t="s">
        <v>9488</v>
      </c>
    </row>
    <row r="890" spans="1:16" ht="14.4" x14ac:dyDescent="0.3">
      <c r="A890" s="310">
        <v>252567</v>
      </c>
      <c r="B890" t="str">
        <f t="shared" si="26"/>
        <v>SEVROLL listwa łącząca H18 3m biały połysk</v>
      </c>
      <c r="C890" s="185">
        <f t="shared" si="27"/>
        <v>62.464799999999997</v>
      </c>
      <c r="D890" s="407" t="s">
        <v>3194</v>
      </c>
      <c r="E890" s="407" t="s">
        <v>5578</v>
      </c>
      <c r="F890" s="407" t="s">
        <v>5579</v>
      </c>
      <c r="G890" s="407" t="s">
        <v>5580</v>
      </c>
      <c r="H890" s="460">
        <v>433.52503999999999</v>
      </c>
      <c r="I890" s="460">
        <v>15.587540000000001</v>
      </c>
      <c r="J890" s="460">
        <v>62.464799999999997</v>
      </c>
      <c r="K890" s="460">
        <v>5999.42029</v>
      </c>
      <c r="L890" s="459" t="s">
        <v>538</v>
      </c>
      <c r="M890" s="309" t="s">
        <v>571</v>
      </c>
      <c r="N890" s="182"/>
      <c r="O890">
        <v>16.5</v>
      </c>
      <c r="P890" t="s">
        <v>9489</v>
      </c>
    </row>
    <row r="891" spans="1:16" ht="14.4" x14ac:dyDescent="0.3">
      <c r="A891" s="310">
        <v>223391</v>
      </c>
      <c r="B891" t="str">
        <f t="shared" si="26"/>
        <v>SEVROLL listwa łącząca H18 3m czarny szczotkowany</v>
      </c>
      <c r="C891" s="185">
        <f t="shared" si="27"/>
        <v>67.391400000000004</v>
      </c>
      <c r="D891" s="407" t="s">
        <v>3044</v>
      </c>
      <c r="E891" s="407" t="s">
        <v>5581</v>
      </c>
      <c r="F891" s="407" t="s">
        <v>1205</v>
      </c>
      <c r="G891" s="407" t="s">
        <v>5582</v>
      </c>
      <c r="H891" s="460">
        <v>538.46848999999997</v>
      </c>
      <c r="I891" s="460">
        <v>19.360810000000001</v>
      </c>
      <c r="J891" s="460">
        <v>67.391400000000004</v>
      </c>
      <c r="K891" s="460">
        <v>7451.7006300000003</v>
      </c>
      <c r="L891" s="459" t="s">
        <v>538</v>
      </c>
      <c r="M891" s="309" t="s">
        <v>571</v>
      </c>
      <c r="N891" s="182"/>
      <c r="O891">
        <v>17.225999999999999</v>
      </c>
      <c r="P891" t="s">
        <v>9490</v>
      </c>
    </row>
    <row r="892" spans="1:16" ht="14.4" x14ac:dyDescent="0.3">
      <c r="A892" s="310">
        <v>89012</v>
      </c>
      <c r="B892" t="str">
        <f t="shared" si="26"/>
        <v>SEVROLL 00212 spojovací lišta H18 3m oliva</v>
      </c>
      <c r="C892" s="185">
        <f t="shared" si="27"/>
        <v>52.856400000000001</v>
      </c>
      <c r="D892" s="407" t="s">
        <v>2702</v>
      </c>
      <c r="E892" s="407" t="s">
        <v>5583</v>
      </c>
      <c r="F892" s="407" t="s">
        <v>1204</v>
      </c>
      <c r="G892" s="407" t="s">
        <v>2702</v>
      </c>
      <c r="H892" s="460">
        <v>416.87885</v>
      </c>
      <c r="I892" s="460">
        <v>14.98902</v>
      </c>
      <c r="J892" s="460">
        <v>52.856400000000001</v>
      </c>
      <c r="K892" s="460">
        <v>5769.0582599999998</v>
      </c>
      <c r="L892" s="459" t="s">
        <v>538</v>
      </c>
      <c r="M892" s="309" t="s">
        <v>571</v>
      </c>
      <c r="N892" s="182"/>
      <c r="O892">
        <v>12.826000000000001</v>
      </c>
      <c r="P892" t="s">
        <v>9491</v>
      </c>
    </row>
    <row r="893" spans="1:16" ht="14.4" x14ac:dyDescent="0.3">
      <c r="A893" s="310">
        <v>191704</v>
      </c>
      <c r="B893" t="str">
        <f t="shared" si="26"/>
        <v>SEVROLL listwa łącząca H18 3m jasny brąz szczotkowany</v>
      </c>
      <c r="C893" s="185">
        <f t="shared" si="27"/>
        <v>67.391400000000004</v>
      </c>
      <c r="D893" s="407" t="s">
        <v>2940</v>
      </c>
      <c r="E893" s="407" t="s">
        <v>5584</v>
      </c>
      <c r="F893" s="407" t="s">
        <v>1203</v>
      </c>
      <c r="G893" s="407" t="s">
        <v>5585</v>
      </c>
      <c r="H893" s="460">
        <v>538.46848999999997</v>
      </c>
      <c r="I893" s="460">
        <v>19.360810000000001</v>
      </c>
      <c r="J893" s="460">
        <v>67.391400000000004</v>
      </c>
      <c r="K893" s="460">
        <v>7451.7006300000003</v>
      </c>
      <c r="L893" s="459" t="s">
        <v>538</v>
      </c>
      <c r="M893" s="309" t="s">
        <v>571</v>
      </c>
      <c r="N893" s="182"/>
      <c r="O893">
        <v>17.225999999999999</v>
      </c>
      <c r="P893" t="s">
        <v>9492</v>
      </c>
    </row>
    <row r="894" spans="1:16" ht="14.4" x14ac:dyDescent="0.3">
      <c r="A894" s="310">
        <v>223332</v>
      </c>
      <c r="B894" t="str">
        <f t="shared" si="26"/>
        <v>SEVROLL listwa łącząca H18 3 m  oliwka ciemna szczotkowana</v>
      </c>
      <c r="C894" s="185">
        <f t="shared" si="27"/>
        <v>67.391400000000004</v>
      </c>
      <c r="D894" s="407" t="s">
        <v>3040</v>
      </c>
      <c r="E894" s="407" t="s">
        <v>5586</v>
      </c>
      <c r="F894" s="407" t="s">
        <v>1100</v>
      </c>
      <c r="G894" s="407" t="s">
        <v>5587</v>
      </c>
      <c r="H894" s="460">
        <v>538.46848999999997</v>
      </c>
      <c r="I894" s="460">
        <v>19.360810000000001</v>
      </c>
      <c r="J894" s="460">
        <v>67.391400000000004</v>
      </c>
      <c r="K894" s="460">
        <v>7451.7006300000003</v>
      </c>
      <c r="L894" s="459" t="s">
        <v>539</v>
      </c>
      <c r="M894" s="309" t="s">
        <v>571</v>
      </c>
      <c r="N894" s="182"/>
      <c r="O894">
        <v>17.225999999999999</v>
      </c>
      <c r="P894" t="s">
        <v>9493</v>
      </c>
    </row>
    <row r="895" spans="1:16" ht="14.4" x14ac:dyDescent="0.3">
      <c r="A895" s="310">
        <v>89010</v>
      </c>
      <c r="B895" t="str">
        <f t="shared" si="26"/>
        <v>SEVROLL 00215 spojovací lišta H18 3m stříbrná</v>
      </c>
      <c r="C895" s="185">
        <f t="shared" si="27"/>
        <v>48.042000000000002</v>
      </c>
      <c r="D895" s="407" t="s">
        <v>2700</v>
      </c>
      <c r="E895" s="407" t="s">
        <v>5588</v>
      </c>
      <c r="F895" s="407" t="s">
        <v>5589</v>
      </c>
      <c r="G895" s="407" t="s">
        <v>2700</v>
      </c>
      <c r="H895" s="460">
        <v>333.64782000000002</v>
      </c>
      <c r="I895" s="460">
        <v>11.996420000000001</v>
      </c>
      <c r="J895" s="460">
        <v>48.042000000000002</v>
      </c>
      <c r="K895" s="460">
        <v>4617.2497100000001</v>
      </c>
      <c r="L895" s="459" t="s">
        <v>538</v>
      </c>
      <c r="M895" s="309" t="s">
        <v>571</v>
      </c>
      <c r="N895" s="182"/>
      <c r="O895">
        <v>11.22</v>
      </c>
      <c r="P895" t="s">
        <v>9494</v>
      </c>
    </row>
    <row r="896" spans="1:16" ht="14.4" x14ac:dyDescent="0.3">
      <c r="A896" s="310">
        <v>89011</v>
      </c>
      <c r="B896" t="str">
        <f t="shared" si="26"/>
        <v>SEVROLL 00216 spojovací lišta H18 3m zlatá</v>
      </c>
      <c r="C896" s="185">
        <f t="shared" si="27"/>
        <v>52.856400000000001</v>
      </c>
      <c r="D896" s="407" t="s">
        <v>2701</v>
      </c>
      <c r="E896" s="407" t="s">
        <v>5590</v>
      </c>
      <c r="F896" s="407" t="s">
        <v>5591</v>
      </c>
      <c r="G896" s="407" t="s">
        <v>2701</v>
      </c>
      <c r="H896" s="460">
        <v>416.87885</v>
      </c>
      <c r="I896" s="460">
        <v>14.98902</v>
      </c>
      <c r="J896" s="460">
        <v>52.856400000000001</v>
      </c>
      <c r="K896" s="460">
        <v>5769.0582599999998</v>
      </c>
      <c r="L896" s="459" t="s">
        <v>538</v>
      </c>
      <c r="M896" s="309" t="s">
        <v>571</v>
      </c>
      <c r="N896" s="182"/>
      <c r="O896">
        <v>12.826000000000001</v>
      </c>
      <c r="P896" t="s">
        <v>9495</v>
      </c>
    </row>
    <row r="897" spans="1:16" ht="14.4" x14ac:dyDescent="0.3">
      <c r="A897" s="310">
        <v>224158</v>
      </c>
      <c r="B897" t="str">
        <f t="shared" si="26"/>
        <v>SEVROLL listwa łącząca Simple/Blue H21 3m (do płyty laminowanej 18mm) jasny brąz</v>
      </c>
      <c r="C897" s="185">
        <f t="shared" si="27"/>
        <v>54.071179999999998</v>
      </c>
      <c r="D897" s="407" t="s">
        <v>3124</v>
      </c>
      <c r="E897" s="407" t="s">
        <v>5592</v>
      </c>
      <c r="F897" s="407" t="s">
        <v>5593</v>
      </c>
      <c r="G897" s="407" t="s">
        <v>5594</v>
      </c>
      <c r="H897" s="460">
        <v>393.04982999999999</v>
      </c>
      <c r="I897" s="460">
        <v>14.279909999999999</v>
      </c>
      <c r="J897" s="460">
        <v>54.071179999999998</v>
      </c>
      <c r="K897" s="460">
        <v>5584.8870299999999</v>
      </c>
      <c r="L897" s="459" t="s">
        <v>538</v>
      </c>
      <c r="M897" s="309" t="s">
        <v>571</v>
      </c>
      <c r="N897" s="182"/>
      <c r="O897">
        <v>12.628</v>
      </c>
      <c r="P897" t="s">
        <v>9496</v>
      </c>
    </row>
    <row r="898" spans="1:16" ht="14.4" x14ac:dyDescent="0.3">
      <c r="A898" s="310">
        <v>223560</v>
      </c>
      <c r="B898" t="str">
        <f t="shared" si="26"/>
        <v>SEVROLL listwa łącząca Simple/Blue H28 3m (do płyty laminowanej 18mm) jasny brąz</v>
      </c>
      <c r="C898" s="185">
        <f t="shared" si="27"/>
        <v>83.149019999999993</v>
      </c>
      <c r="D898" s="407" t="s">
        <v>3074</v>
      </c>
      <c r="E898" s="407" t="s">
        <v>5595</v>
      </c>
      <c r="F898" s="407" t="s">
        <v>5596</v>
      </c>
      <c r="G898" s="407" t="s">
        <v>5597</v>
      </c>
      <c r="H898" s="460">
        <v>682.28867000000002</v>
      </c>
      <c r="I898" s="460">
        <v>24.79954</v>
      </c>
      <c r="J898" s="460">
        <v>83.149019999999993</v>
      </c>
      <c r="K898" s="460">
        <v>9694.7124800000001</v>
      </c>
      <c r="L898" s="459" t="s">
        <v>538</v>
      </c>
      <c r="M898" s="309" t="s">
        <v>571</v>
      </c>
      <c r="N898" s="182"/>
      <c r="O898">
        <v>21.494</v>
      </c>
      <c r="P898" t="s">
        <v>9497</v>
      </c>
    </row>
    <row r="899" spans="1:16" ht="14.4" x14ac:dyDescent="0.3">
      <c r="A899" s="310">
        <v>98073</v>
      </c>
      <c r="B899" t="str">
        <f t="shared" si="26"/>
        <v>SEVROLL System 10 II rączka 2,7 m, srebrna</v>
      </c>
      <c r="C899" s="185">
        <f t="shared" si="27"/>
        <v>76.000200000000007</v>
      </c>
      <c r="D899" s="407" t="s">
        <v>2777</v>
      </c>
      <c r="E899" s="407" t="s">
        <v>5598</v>
      </c>
      <c r="F899" s="407" t="s">
        <v>1201</v>
      </c>
      <c r="G899" s="407" t="s">
        <v>5599</v>
      </c>
      <c r="H899" s="460">
        <v>525.44104000000004</v>
      </c>
      <c r="I899" s="460">
        <v>18.892410000000002</v>
      </c>
      <c r="J899" s="460">
        <v>76.000200000000007</v>
      </c>
      <c r="K899" s="460">
        <v>7271.4172099999996</v>
      </c>
      <c r="L899" s="459" t="s">
        <v>538</v>
      </c>
      <c r="M899" s="309" t="s">
        <v>571</v>
      </c>
      <c r="N899" s="182"/>
      <c r="O899">
        <v>18.062000000000001</v>
      </c>
      <c r="P899" t="s">
        <v>9498</v>
      </c>
    </row>
    <row r="900" spans="1:16" ht="14.4" x14ac:dyDescent="0.3">
      <c r="A900" s="310">
        <v>135164</v>
      </c>
      <c r="B900" t="str">
        <f t="shared" ref="B900:B963" si="28">IF($A$2=1,D900,IF($A$2=2,F900,IF($A$2=3,G900,IF($A$2=4,E900,IF($A$2&gt;4,P900,"zadat jazyk")))))</f>
        <v>SEVROLL uszczelka bezbarwna 10/4,5mm</v>
      </c>
      <c r="C900" s="185">
        <f t="shared" ref="C900:C963" si="29">IF($A$2=1,H900,IF($A$2=2,I900,IF($A$2=3,J900,IF($A$2=4,K900,IF($A$2&gt;4,O900,"zadat jazyk")))))</f>
        <v>2.7501000000000002</v>
      </c>
      <c r="D900" s="407" t="s">
        <v>2854</v>
      </c>
      <c r="E900" s="407" t="s">
        <v>5600</v>
      </c>
      <c r="F900" s="407" t="s">
        <v>5601</v>
      </c>
      <c r="G900" s="407" t="s">
        <v>5602</v>
      </c>
      <c r="H900" s="460">
        <v>23.80818</v>
      </c>
      <c r="I900" s="460">
        <v>0.80669999999999997</v>
      </c>
      <c r="J900" s="460">
        <v>2.7501000000000002</v>
      </c>
      <c r="K900" s="460">
        <v>317.79295000000002</v>
      </c>
      <c r="L900" s="459" t="s">
        <v>538</v>
      </c>
      <c r="M900" s="309" t="s">
        <v>570</v>
      </c>
      <c r="N900" s="182"/>
      <c r="O900">
        <v>0.72599999999999998</v>
      </c>
      <c r="P900" t="s">
        <v>9499</v>
      </c>
    </row>
    <row r="901" spans="1:16" ht="14.4" x14ac:dyDescent="0.3">
      <c r="A901" s="310">
        <v>89238</v>
      </c>
      <c r="B901" t="str">
        <f t="shared" si="28"/>
        <v>SEVROLL uszczelka do szkła 10/4 mm</v>
      </c>
      <c r="C901" s="185">
        <f t="shared" si="29"/>
        <v>2.7501000000000002</v>
      </c>
      <c r="D901" s="407" t="s">
        <v>2671</v>
      </c>
      <c r="E901" s="407" t="s">
        <v>5603</v>
      </c>
      <c r="F901" s="407" t="s">
        <v>5604</v>
      </c>
      <c r="G901" s="407" t="s">
        <v>5605</v>
      </c>
      <c r="H901" s="460">
        <v>23.80818</v>
      </c>
      <c r="I901" s="460">
        <v>0.80669999999999997</v>
      </c>
      <c r="J901" s="460">
        <v>2.7501000000000002</v>
      </c>
      <c r="K901" s="460">
        <v>317.79295000000002</v>
      </c>
      <c r="L901" s="459" t="s">
        <v>538</v>
      </c>
      <c r="M901" s="309" t="s">
        <v>570</v>
      </c>
      <c r="N901" s="182"/>
      <c r="O901">
        <v>0.72599999999999998</v>
      </c>
      <c r="P901" t="s">
        <v>9500</v>
      </c>
    </row>
    <row r="902" spans="1:16" ht="14.4" x14ac:dyDescent="0.3">
      <c r="A902" s="310">
        <v>89243</v>
      </c>
      <c r="B902" t="str">
        <f t="shared" si="28"/>
        <v>SEVROLL uszczelka bezbarwna 10/6mm</v>
      </c>
      <c r="C902" s="185">
        <f t="shared" si="29"/>
        <v>2.7501000000000002</v>
      </c>
      <c r="D902" s="407" t="s">
        <v>2672</v>
      </c>
      <c r="E902" s="407" t="s">
        <v>5606</v>
      </c>
      <c r="F902" s="407" t="s">
        <v>5607</v>
      </c>
      <c r="G902" s="407" t="s">
        <v>5608</v>
      </c>
      <c r="H902" s="460">
        <v>23.80818</v>
      </c>
      <c r="I902" s="460">
        <v>0.80669999999999997</v>
      </c>
      <c r="J902" s="460">
        <v>2.7501000000000002</v>
      </c>
      <c r="K902" s="460">
        <v>317.79295000000002</v>
      </c>
      <c r="L902" s="459" t="s">
        <v>538</v>
      </c>
      <c r="M902" s="309" t="s">
        <v>570</v>
      </c>
      <c r="N902" s="182"/>
      <c r="O902">
        <v>0.72599999999999998</v>
      </c>
      <c r="P902" t="s">
        <v>9501</v>
      </c>
    </row>
    <row r="903" spans="1:16" ht="14.4" x14ac:dyDescent="0.3">
      <c r="A903" s="310">
        <v>275863</v>
      </c>
      <c r="B903" t="e">
        <f t="shared" si="28"/>
        <v>#N/A</v>
      </c>
      <c r="C903" s="185" t="e">
        <f t="shared" si="29"/>
        <v>#N/A</v>
      </c>
      <c r="D903" s="407" t="e">
        <v>#N/A</v>
      </c>
      <c r="E903" s="407" t="e">
        <v>#N/A</v>
      </c>
      <c r="F903" s="407" t="e">
        <v>#N/A</v>
      </c>
      <c r="G903" s="407" t="e">
        <v>#N/A</v>
      </c>
      <c r="H903" s="460" t="e">
        <v>#N/A</v>
      </c>
      <c r="I903" s="460" t="e">
        <v>#N/A</v>
      </c>
      <c r="J903" s="460" t="e">
        <v>#N/A</v>
      </c>
      <c r="K903" s="460" t="e">
        <v>#N/A</v>
      </c>
      <c r="L903" s="459" t="e">
        <v>#N/A</v>
      </c>
      <c r="M903" s="309" t="s">
        <v>571</v>
      </c>
      <c r="N903" s="182"/>
      <c r="O903" t="e">
        <v>#N/A</v>
      </c>
      <c r="P903" t="e">
        <v>#N/A</v>
      </c>
    </row>
    <row r="904" spans="1:16" ht="14.4" x14ac:dyDescent="0.3">
      <c r="A904" s="310">
        <v>89098</v>
      </c>
      <c r="B904" t="str">
        <f t="shared" si="28"/>
        <v>SEVROLL Tytan rączka 18 mm 2,7 m, oliwka</v>
      </c>
      <c r="C904" s="185">
        <f t="shared" si="29"/>
        <v>72.504180000000005</v>
      </c>
      <c r="D904" s="407" t="s">
        <v>2685</v>
      </c>
      <c r="E904" s="407" t="s">
        <v>5609</v>
      </c>
      <c r="F904" s="407" t="s">
        <v>1200</v>
      </c>
      <c r="G904" s="407" t="s">
        <v>5610</v>
      </c>
      <c r="H904" s="460">
        <v>525.44104000000004</v>
      </c>
      <c r="I904" s="460">
        <v>18.892410000000002</v>
      </c>
      <c r="J904" s="460">
        <v>72.504180000000005</v>
      </c>
      <c r="K904" s="460">
        <v>7271.4172099999996</v>
      </c>
      <c r="L904" s="459" t="s">
        <v>538</v>
      </c>
      <c r="M904" s="309" t="s">
        <v>571</v>
      </c>
      <c r="N904" s="182"/>
      <c r="O904">
        <v>15.972</v>
      </c>
      <c r="P904" t="s">
        <v>9502</v>
      </c>
    </row>
    <row r="905" spans="1:16" ht="14.4" x14ac:dyDescent="0.3">
      <c r="A905" s="310">
        <v>89099</v>
      </c>
      <c r="B905" t="str">
        <f t="shared" si="28"/>
        <v>SEVROLL Tytan rączka 18 mm 2,7 m, srebrna</v>
      </c>
      <c r="C905" s="185">
        <f t="shared" si="29"/>
        <v>67.83381</v>
      </c>
      <c r="D905" s="407" t="s">
        <v>2686</v>
      </c>
      <c r="E905" s="407" t="s">
        <v>5611</v>
      </c>
      <c r="F905" s="407" t="s">
        <v>1199</v>
      </c>
      <c r="G905" s="407" t="s">
        <v>5612</v>
      </c>
      <c r="H905" s="460">
        <v>448.68088</v>
      </c>
      <c r="I905" s="460">
        <v>16.342189999999999</v>
      </c>
      <c r="J905" s="460">
        <v>67.83381</v>
      </c>
      <c r="K905" s="460">
        <v>5979.3887400000003</v>
      </c>
      <c r="L905" s="459" t="s">
        <v>538</v>
      </c>
      <c r="M905" s="309" t="s">
        <v>571</v>
      </c>
      <c r="N905" s="182"/>
      <c r="O905">
        <v>14.542</v>
      </c>
      <c r="P905" t="s">
        <v>9503</v>
      </c>
    </row>
    <row r="906" spans="1:16" ht="14.4" x14ac:dyDescent="0.3">
      <c r="A906" s="310">
        <v>267880</v>
      </c>
      <c r="B906" t="str">
        <f t="shared" si="28"/>
        <v>SEVROLL kątownik Mini 17x11 mm 3 m, biały połysk</v>
      </c>
      <c r="C906" s="185">
        <f t="shared" si="29"/>
        <v>21.583200000000001</v>
      </c>
      <c r="D906" s="407" t="s">
        <v>5613</v>
      </c>
      <c r="E906" s="407" t="s">
        <v>5614</v>
      </c>
      <c r="F906" s="407" t="s">
        <v>5615</v>
      </c>
      <c r="G906" s="407" t="s">
        <v>5616</v>
      </c>
      <c r="H906" s="460">
        <v>156.32956999999999</v>
      </c>
      <c r="I906" s="460">
        <v>5.6208799999999997</v>
      </c>
      <c r="J906" s="460">
        <v>21.583200000000001</v>
      </c>
      <c r="K906" s="460">
        <v>2163.3967400000001</v>
      </c>
      <c r="L906" s="459" t="s">
        <v>538</v>
      </c>
      <c r="M906" s="309" t="s">
        <v>571</v>
      </c>
      <c r="N906" s="182"/>
      <c r="O906">
        <v>5.7640000000000002</v>
      </c>
      <c r="P906" t="s">
        <v>9504</v>
      </c>
    </row>
    <row r="907" spans="1:16" ht="14.4" x14ac:dyDescent="0.3">
      <c r="A907" s="310">
        <v>135686</v>
      </c>
      <c r="B907" t="e">
        <f t="shared" si="28"/>
        <v>#N/A</v>
      </c>
      <c r="C907" s="185" t="e">
        <f t="shared" si="29"/>
        <v>#N/A</v>
      </c>
      <c r="D907" s="407" t="e">
        <v>#N/A</v>
      </c>
      <c r="E907" s="407" t="e">
        <v>#N/A</v>
      </c>
      <c r="F907" s="407" t="e">
        <v>#N/A</v>
      </c>
      <c r="G907" s="407" t="e">
        <v>#N/A</v>
      </c>
      <c r="H907" s="460" t="e">
        <v>#N/A</v>
      </c>
      <c r="I907" s="460" t="e">
        <v>#N/A</v>
      </c>
      <c r="J907" s="460" t="e">
        <v>#N/A</v>
      </c>
      <c r="K907" s="460" t="e">
        <v>#N/A</v>
      </c>
      <c r="L907" s="459" t="e">
        <v>#N/A</v>
      </c>
      <c r="M907" s="309" t="s">
        <v>571</v>
      </c>
      <c r="N907" s="182"/>
      <c r="O907" t="e">
        <v>#N/A</v>
      </c>
      <c r="P907" t="e">
        <v>#N/A</v>
      </c>
    </row>
    <row r="908" spans="1:16" ht="14.4" x14ac:dyDescent="0.3">
      <c r="A908" s="310">
        <v>180245</v>
      </c>
      <c r="B908" t="str">
        <f t="shared" si="28"/>
        <v>SEVROLL 16377 wzornik rączek 2019</v>
      </c>
      <c r="C908" s="185" t="e">
        <f t="shared" si="29"/>
        <v>#N/A</v>
      </c>
      <c r="D908" s="407" t="s">
        <v>6753</v>
      </c>
      <c r="E908" s="407" t="s">
        <v>6754</v>
      </c>
      <c r="F908" s="407" t="s">
        <v>6755</v>
      </c>
      <c r="G908" s="407" t="s">
        <v>6756</v>
      </c>
      <c r="H908" s="460" t="e">
        <v>#N/A</v>
      </c>
      <c r="I908" s="460" t="e">
        <v>#N/A</v>
      </c>
      <c r="J908" s="460" t="e">
        <v>#N/A</v>
      </c>
      <c r="K908" s="460" t="e">
        <v>#N/A</v>
      </c>
      <c r="L908" s="459" t="e">
        <v>#N/A</v>
      </c>
      <c r="M908" s="309" t="s">
        <v>571</v>
      </c>
      <c r="N908" s="182"/>
      <c r="O908" t="e">
        <v>#N/A</v>
      </c>
      <c r="P908" t="e">
        <v>#N/A</v>
      </c>
    </row>
    <row r="909" spans="1:16" ht="14.4" x14ac:dyDescent="0.3">
      <c r="A909" s="311">
        <v>198399</v>
      </c>
      <c r="B909" t="e">
        <f t="shared" si="28"/>
        <v>#N/A</v>
      </c>
      <c r="C909" s="185" t="e">
        <f t="shared" si="29"/>
        <v>#N/A</v>
      </c>
      <c r="D909" s="407" t="e">
        <v>#N/A</v>
      </c>
      <c r="E909" s="407" t="e">
        <v>#N/A</v>
      </c>
      <c r="F909" s="407" t="e">
        <v>#N/A</v>
      </c>
      <c r="G909" s="407" t="e">
        <v>#N/A</v>
      </c>
      <c r="H909" s="460" t="e">
        <v>#N/A</v>
      </c>
      <c r="I909" s="460" t="e">
        <v>#N/A</v>
      </c>
      <c r="J909" s="460" t="e">
        <v>#N/A</v>
      </c>
      <c r="K909" s="460" t="e">
        <v>#N/A</v>
      </c>
      <c r="L909" s="459" t="e">
        <v>#N/A</v>
      </c>
      <c r="M909" s="312" t="s">
        <v>571</v>
      </c>
      <c r="N909" s="182"/>
      <c r="O909" t="e">
        <v>#N/A</v>
      </c>
      <c r="P909" t="e">
        <v>#N/A</v>
      </c>
    </row>
    <row r="910" spans="1:16" ht="14.4" x14ac:dyDescent="0.3">
      <c r="A910" s="311">
        <v>340607</v>
      </c>
      <c r="B910" t="e">
        <f t="shared" si="28"/>
        <v>#N/A</v>
      </c>
      <c r="C910" s="185" t="e">
        <f t="shared" si="29"/>
        <v>#N/A</v>
      </c>
      <c r="D910" s="407" t="e">
        <v>#N/A</v>
      </c>
      <c r="E910" s="407" t="e">
        <v>#N/A</v>
      </c>
      <c r="F910" s="407" t="e">
        <v>#N/A</v>
      </c>
      <c r="G910" s="407" t="e">
        <v>#N/A</v>
      </c>
      <c r="H910" s="460" t="e">
        <v>#N/A</v>
      </c>
      <c r="I910" s="460" t="e">
        <v>#N/A</v>
      </c>
      <c r="J910" s="460" t="e">
        <v>#N/A</v>
      </c>
      <c r="K910" s="460" t="e">
        <v>#N/A</v>
      </c>
      <c r="L910" s="459" t="e">
        <v>#N/A</v>
      </c>
      <c r="M910" s="312" t="s">
        <v>572</v>
      </c>
      <c r="N910" s="182"/>
      <c r="O910" t="e">
        <v>#N/A</v>
      </c>
      <c r="P910" t="e">
        <v>#N/A</v>
      </c>
    </row>
    <row r="911" spans="1:16" ht="14.4" x14ac:dyDescent="0.3">
      <c r="A911" s="311">
        <v>100304</v>
      </c>
      <c r="B911" t="e">
        <f t="shared" si="28"/>
        <v>#N/A</v>
      </c>
      <c r="C911" s="185" t="e">
        <f t="shared" si="29"/>
        <v>#N/A</v>
      </c>
      <c r="D911" s="407" t="e">
        <v>#N/A</v>
      </c>
      <c r="E911" s="407" t="e">
        <v>#N/A</v>
      </c>
      <c r="F911" s="407" t="e">
        <v>#N/A</v>
      </c>
      <c r="G911" s="407" t="e">
        <v>#N/A</v>
      </c>
      <c r="H911" s="460" t="e">
        <v>#N/A</v>
      </c>
      <c r="I911" s="460" t="e">
        <v>#N/A</v>
      </c>
      <c r="J911" s="460" t="e">
        <v>#N/A</v>
      </c>
      <c r="K911" s="460" t="e">
        <v>#N/A</v>
      </c>
      <c r="L911" s="459" t="e">
        <v>#N/A</v>
      </c>
      <c r="M911" s="312" t="s">
        <v>571</v>
      </c>
      <c r="N911" s="182"/>
      <c r="O911" t="e">
        <v>#N/A</v>
      </c>
      <c r="P911" t="e">
        <v>#N/A</v>
      </c>
    </row>
    <row r="912" spans="1:16" ht="14.4" x14ac:dyDescent="0.3">
      <c r="A912" s="311">
        <v>100300</v>
      </c>
      <c r="B912" t="e">
        <f t="shared" si="28"/>
        <v>#N/A</v>
      </c>
      <c r="C912" s="185" t="e">
        <f t="shared" si="29"/>
        <v>#N/A</v>
      </c>
      <c r="D912" s="407" t="e">
        <v>#N/A</v>
      </c>
      <c r="E912" s="407" t="e">
        <v>#N/A</v>
      </c>
      <c r="F912" s="407" t="e">
        <v>#N/A</v>
      </c>
      <c r="G912" s="407" t="e">
        <v>#N/A</v>
      </c>
      <c r="H912" s="460" t="e">
        <v>#N/A</v>
      </c>
      <c r="I912" s="460" t="e">
        <v>#N/A</v>
      </c>
      <c r="J912" s="460" t="e">
        <v>#N/A</v>
      </c>
      <c r="K912" s="460" t="e">
        <v>#N/A</v>
      </c>
      <c r="L912" s="459" t="e">
        <v>#N/A</v>
      </c>
      <c r="M912" s="312" t="s">
        <v>571</v>
      </c>
      <c r="N912" s="182"/>
      <c r="O912" t="e">
        <v>#N/A</v>
      </c>
      <c r="P912" t="e">
        <v>#N/A</v>
      </c>
    </row>
    <row r="913" spans="1:16" ht="14.4" x14ac:dyDescent="0.3">
      <c r="A913" s="311">
        <v>98013</v>
      </c>
      <c r="B913" t="str">
        <f t="shared" si="28"/>
        <v>Sevroll (Astin) kątownik  3,6m srebrny (22/1)</v>
      </c>
      <c r="C913" s="185" t="e">
        <f t="shared" si="29"/>
        <v>#N/A</v>
      </c>
      <c r="D913" s="407" t="s">
        <v>2718</v>
      </c>
      <c r="E913" s="407" t="s">
        <v>5617</v>
      </c>
      <c r="F913" s="407" t="s">
        <v>5618</v>
      </c>
      <c r="G913" s="407" t="s">
        <v>5619</v>
      </c>
      <c r="H913" s="460" t="e">
        <v>#N/A</v>
      </c>
      <c r="I913" s="460" t="e">
        <v>#N/A</v>
      </c>
      <c r="J913" s="460" t="e">
        <v>#N/A</v>
      </c>
      <c r="K913" s="460" t="e">
        <v>#N/A</v>
      </c>
      <c r="L913" s="459" t="e">
        <v>#N/A</v>
      </c>
      <c r="M913" s="312" t="s">
        <v>571</v>
      </c>
      <c r="N913" s="182"/>
      <c r="O913">
        <v>9.6720000000000006</v>
      </c>
      <c r="P913" t="s">
        <v>9505</v>
      </c>
    </row>
    <row r="914" spans="1:16" ht="14.4" x14ac:dyDescent="0.3">
      <c r="A914" s="311">
        <v>98012</v>
      </c>
      <c r="B914" t="str">
        <f t="shared" si="28"/>
        <v>Sevroll (Astin) kątownik  2,7m srebrny (22/1)</v>
      </c>
      <c r="C914" s="185">
        <f t="shared" si="29"/>
        <v>34.024070000000002</v>
      </c>
      <c r="D914" s="407" t="s">
        <v>2717</v>
      </c>
      <c r="E914" s="407" t="s">
        <v>5620</v>
      </c>
      <c r="F914" s="407" t="s">
        <v>5621</v>
      </c>
      <c r="G914" s="407" t="s">
        <v>5622</v>
      </c>
      <c r="H914" s="460">
        <v>221.46689000000001</v>
      </c>
      <c r="I914" s="460">
        <v>7.9629200000000004</v>
      </c>
      <c r="J914" s="460">
        <v>34.024070000000002</v>
      </c>
      <c r="K914" s="460">
        <v>3064.8121299999998</v>
      </c>
      <c r="L914" s="459" t="s">
        <v>540</v>
      </c>
      <c r="M914" s="312" t="s">
        <v>571</v>
      </c>
      <c r="N914" s="182"/>
      <c r="O914">
        <v>7.3440000000000003</v>
      </c>
      <c r="P914" t="s">
        <v>9506</v>
      </c>
    </row>
    <row r="915" spans="1:16" ht="14.4" x14ac:dyDescent="0.3">
      <c r="A915" s="311">
        <v>98011</v>
      </c>
      <c r="B915" t="str">
        <f t="shared" si="28"/>
        <v>Sevroll (Astin) kątownik 1,8m srebrny (22/1)</v>
      </c>
      <c r="C915" s="185" t="e">
        <f t="shared" si="29"/>
        <v>#N/A</v>
      </c>
      <c r="D915" s="407" t="s">
        <v>2716</v>
      </c>
      <c r="E915" s="407" t="s">
        <v>5623</v>
      </c>
      <c r="F915" s="407" t="s">
        <v>5624</v>
      </c>
      <c r="G915" s="407" t="s">
        <v>5625</v>
      </c>
      <c r="H915" s="460" t="e">
        <v>#N/A</v>
      </c>
      <c r="I915" s="460" t="e">
        <v>#N/A</v>
      </c>
      <c r="J915" s="460" t="e">
        <v>#N/A</v>
      </c>
      <c r="K915" s="460" t="e">
        <v>#N/A</v>
      </c>
      <c r="L915" s="459" t="e">
        <v>#N/A</v>
      </c>
      <c r="M915" s="312" t="s">
        <v>571</v>
      </c>
      <c r="N915" s="182"/>
      <c r="O915">
        <v>4.68</v>
      </c>
      <c r="P915" t="s">
        <v>9507</v>
      </c>
    </row>
    <row r="916" spans="1:16" ht="14.4" x14ac:dyDescent="0.3">
      <c r="A916" s="311">
        <v>98015</v>
      </c>
      <c r="B916" t="str">
        <f t="shared" si="28"/>
        <v>Sevroll (Astin) łacznik H08 profil 3m srebrny</v>
      </c>
      <c r="C916" s="185" t="e">
        <f t="shared" si="29"/>
        <v>#N/A</v>
      </c>
      <c r="D916" s="407" t="s">
        <v>2719</v>
      </c>
      <c r="E916" s="407" t="s">
        <v>5626</v>
      </c>
      <c r="F916" s="407" t="s">
        <v>5627</v>
      </c>
      <c r="G916" s="407" t="s">
        <v>5628</v>
      </c>
      <c r="H916" s="460" t="e">
        <v>#N/A</v>
      </c>
      <c r="I916" s="460" t="e">
        <v>#N/A</v>
      </c>
      <c r="J916" s="460" t="e">
        <v>#N/A</v>
      </c>
      <c r="K916" s="460" t="e">
        <v>#N/A</v>
      </c>
      <c r="L916" s="459" t="e">
        <v>#N/A</v>
      </c>
      <c r="M916" s="312" t="s">
        <v>571</v>
      </c>
      <c r="N916" s="182"/>
      <c r="O916" t="e">
        <v>#N/A</v>
      </c>
      <c r="P916" t="e">
        <v>#N/A</v>
      </c>
    </row>
    <row r="917" spans="1:16" ht="14.4" x14ac:dyDescent="0.3">
      <c r="A917" s="311">
        <v>98009</v>
      </c>
      <c r="B917" t="str">
        <f t="shared" si="28"/>
        <v>Sevroll (Astin) tor dolny 3,6m srebrny (22/1)</v>
      </c>
      <c r="C917" s="185">
        <f t="shared" si="29"/>
        <v>92.052850000000007</v>
      </c>
      <c r="D917" s="407" t="s">
        <v>2715</v>
      </c>
      <c r="E917" s="407" t="s">
        <v>5629</v>
      </c>
      <c r="F917" s="407" t="s">
        <v>5630</v>
      </c>
      <c r="G917" s="407" t="s">
        <v>5631</v>
      </c>
      <c r="H917" s="460">
        <v>616.63327000000004</v>
      </c>
      <c r="I917" s="460">
        <v>22.17126</v>
      </c>
      <c r="J917" s="460">
        <v>92.052850000000007</v>
      </c>
      <c r="K917" s="460">
        <v>8533.3989999999994</v>
      </c>
      <c r="L917" s="459" t="s">
        <v>540</v>
      </c>
      <c r="M917" s="312" t="s">
        <v>571</v>
      </c>
      <c r="N917" s="182"/>
      <c r="O917">
        <v>19.734000000000002</v>
      </c>
      <c r="P917" t="s">
        <v>9508</v>
      </c>
    </row>
    <row r="918" spans="1:16" ht="14.4" x14ac:dyDescent="0.3">
      <c r="A918" s="311">
        <v>98008</v>
      </c>
      <c r="B918" t="str">
        <f t="shared" si="28"/>
        <v>Sevroll (Astin) tor dolny 2,7m srebrny (22/1)</v>
      </c>
      <c r="C918" s="185" t="e">
        <f t="shared" si="29"/>
        <v>#N/A</v>
      </c>
      <c r="D918" s="407" t="s">
        <v>2714</v>
      </c>
      <c r="E918" s="407" t="s">
        <v>5632</v>
      </c>
      <c r="F918" s="407" t="s">
        <v>5633</v>
      </c>
      <c r="G918" s="407" t="s">
        <v>5634</v>
      </c>
      <c r="H918" s="460" t="e">
        <v>#N/A</v>
      </c>
      <c r="I918" s="460" t="e">
        <v>#N/A</v>
      </c>
      <c r="J918" s="460" t="e">
        <v>#N/A</v>
      </c>
      <c r="K918" s="460" t="e">
        <v>#N/A</v>
      </c>
      <c r="L918" s="459" t="e">
        <v>#N/A</v>
      </c>
      <c r="M918" s="312" t="s">
        <v>571</v>
      </c>
      <c r="N918" s="182"/>
      <c r="O918">
        <v>16.698</v>
      </c>
      <c r="P918" t="s">
        <v>9509</v>
      </c>
    </row>
    <row r="919" spans="1:16" ht="14.4" x14ac:dyDescent="0.3">
      <c r="A919" s="311">
        <v>98007</v>
      </c>
      <c r="B919" t="str">
        <f t="shared" si="28"/>
        <v>Sevroll (Astin) tor dolny 1,8m srebrny (22/1)</v>
      </c>
      <c r="C919" s="185" t="e">
        <f t="shared" si="29"/>
        <v>#N/A</v>
      </c>
      <c r="D919" s="407" t="s">
        <v>2713</v>
      </c>
      <c r="E919" s="407" t="s">
        <v>5635</v>
      </c>
      <c r="F919" s="407" t="s">
        <v>5636</v>
      </c>
      <c r="G919" s="407" t="s">
        <v>5637</v>
      </c>
      <c r="H919" s="460" t="e">
        <v>#N/A</v>
      </c>
      <c r="I919" s="460" t="e">
        <v>#N/A</v>
      </c>
      <c r="J919" s="460" t="e">
        <v>#N/A</v>
      </c>
      <c r="K919" s="460" t="e">
        <v>#N/A</v>
      </c>
      <c r="L919" s="459" t="e">
        <v>#N/A</v>
      </c>
      <c r="M919" s="312" t="s">
        <v>571</v>
      </c>
      <c r="N919" s="182"/>
      <c r="O919">
        <v>9.7240000000000002</v>
      </c>
      <c r="P919" t="s">
        <v>9510</v>
      </c>
    </row>
    <row r="920" spans="1:16" ht="14.4" x14ac:dyDescent="0.3">
      <c r="A920" s="311">
        <v>98002</v>
      </c>
      <c r="B920" t="str">
        <f t="shared" si="28"/>
        <v>Sevroll (Astin) Orient rączka 2,7m srebrna (32/1)</v>
      </c>
      <c r="C920" s="185" t="e">
        <f t="shared" si="29"/>
        <v>#N/A</v>
      </c>
      <c r="D920" s="407" t="s">
        <v>2709</v>
      </c>
      <c r="E920" s="407" t="s">
        <v>5638</v>
      </c>
      <c r="F920" s="407" t="s">
        <v>5639</v>
      </c>
      <c r="G920" s="407" t="s">
        <v>5640</v>
      </c>
      <c r="H920" s="460" t="e">
        <v>#N/A</v>
      </c>
      <c r="I920" s="460" t="e">
        <v>#N/A</v>
      </c>
      <c r="J920" s="460" t="e">
        <v>#N/A</v>
      </c>
      <c r="K920" s="460" t="e">
        <v>#N/A</v>
      </c>
      <c r="L920" s="459" t="e">
        <v>#N/A</v>
      </c>
      <c r="M920" s="312" t="s">
        <v>571</v>
      </c>
      <c r="N920" s="182"/>
      <c r="O920">
        <v>18.436</v>
      </c>
      <c r="P920" t="s">
        <v>9511</v>
      </c>
    </row>
    <row r="921" spans="1:16" ht="14.4" x14ac:dyDescent="0.3">
      <c r="A921" s="311">
        <v>98005</v>
      </c>
      <c r="B921" t="str">
        <f t="shared" si="28"/>
        <v>Sevroll (Astin) tor górny 3,6m srebrny (32/1)</v>
      </c>
      <c r="C921" s="185" t="e">
        <f t="shared" si="29"/>
        <v>#N/A</v>
      </c>
      <c r="D921" s="407" t="s">
        <v>2712</v>
      </c>
      <c r="E921" s="407" t="s">
        <v>5641</v>
      </c>
      <c r="F921" s="407" t="s">
        <v>5642</v>
      </c>
      <c r="G921" s="407" t="s">
        <v>5643</v>
      </c>
      <c r="H921" s="460" t="e">
        <v>#N/A</v>
      </c>
      <c r="I921" s="460" t="e">
        <v>#N/A</v>
      </c>
      <c r="J921" s="460" t="e">
        <v>#N/A</v>
      </c>
      <c r="K921" s="460" t="e">
        <v>#N/A</v>
      </c>
      <c r="L921" s="459" t="e">
        <v>#N/A</v>
      </c>
      <c r="M921" s="312" t="s">
        <v>571</v>
      </c>
      <c r="N921" s="182"/>
      <c r="O921">
        <v>39.93</v>
      </c>
      <c r="P921" t="s">
        <v>9512</v>
      </c>
    </row>
    <row r="922" spans="1:16" ht="14.4" x14ac:dyDescent="0.3">
      <c r="A922" s="311">
        <v>98004</v>
      </c>
      <c r="B922" t="str">
        <f t="shared" si="28"/>
        <v>Sevroll (Astin)tor górny 2,7m srebrny (32/1)</v>
      </c>
      <c r="C922" s="185">
        <f t="shared" si="29"/>
        <v>144.12826999999999</v>
      </c>
      <c r="D922" s="407" t="s">
        <v>2711</v>
      </c>
      <c r="E922" s="407" t="s">
        <v>5644</v>
      </c>
      <c r="F922" s="407" t="s">
        <v>5645</v>
      </c>
      <c r="G922" s="407" t="s">
        <v>5646</v>
      </c>
      <c r="H922" s="460">
        <v>1020.48465</v>
      </c>
      <c r="I922" s="460">
        <v>36.691870000000002</v>
      </c>
      <c r="J922" s="460">
        <v>144.12826999999999</v>
      </c>
      <c r="K922" s="460">
        <v>14122.17425</v>
      </c>
      <c r="L922" s="459" t="s">
        <v>540</v>
      </c>
      <c r="M922" s="312" t="s">
        <v>571</v>
      </c>
      <c r="N922" s="182"/>
      <c r="O922">
        <v>32.648000000000003</v>
      </c>
      <c r="P922" t="s">
        <v>9513</v>
      </c>
    </row>
    <row r="923" spans="1:16" ht="14.4" x14ac:dyDescent="0.3">
      <c r="A923" s="311">
        <v>98003</v>
      </c>
      <c r="B923" t="str">
        <f t="shared" si="28"/>
        <v>Sevroll (Astin) tor górny 1,8m srebrny (32/1)</v>
      </c>
      <c r="C923" s="185">
        <f t="shared" si="29"/>
        <v>83.524460000000005</v>
      </c>
      <c r="D923" s="407" t="s">
        <v>2710</v>
      </c>
      <c r="E923" s="407" t="s">
        <v>5647</v>
      </c>
      <c r="F923" s="407" t="s">
        <v>5648</v>
      </c>
      <c r="G923" s="407" t="s">
        <v>5649</v>
      </c>
      <c r="H923" s="460">
        <v>591.30210999999997</v>
      </c>
      <c r="I923" s="460">
        <v>21.260459999999998</v>
      </c>
      <c r="J923" s="460">
        <v>83.524460000000005</v>
      </c>
      <c r="K923" s="460">
        <v>8182.8485600000004</v>
      </c>
      <c r="L923" s="459" t="s">
        <v>540</v>
      </c>
      <c r="M923" s="312" t="s">
        <v>571</v>
      </c>
      <c r="N923" s="182"/>
      <c r="O923">
        <v>18.920000000000002</v>
      </c>
      <c r="P923" t="s">
        <v>9514</v>
      </c>
    </row>
    <row r="924" spans="1:16" ht="14.4" x14ac:dyDescent="0.3">
      <c r="A924" s="311">
        <v>98001</v>
      </c>
      <c r="B924" t="str">
        <f t="shared" si="28"/>
        <v>Sevroll (Astin) Elegant rączka 2,7m srebrna (22/1)</v>
      </c>
      <c r="C924" s="185">
        <f t="shared" si="29"/>
        <v>81.096440000000001</v>
      </c>
      <c r="D924" s="407" t="s">
        <v>2708</v>
      </c>
      <c r="E924" s="407" t="s">
        <v>5650</v>
      </c>
      <c r="F924" s="407" t="s">
        <v>5651</v>
      </c>
      <c r="G924" s="407" t="s">
        <v>5652</v>
      </c>
      <c r="H924" s="460">
        <v>544.98221999999998</v>
      </c>
      <c r="I924" s="460">
        <v>19.595020000000002</v>
      </c>
      <c r="J924" s="460">
        <v>81.096440000000001</v>
      </c>
      <c r="K924" s="460">
        <v>7541.8419000000004</v>
      </c>
      <c r="L924" s="459" t="s">
        <v>540</v>
      </c>
      <c r="M924" s="312" t="s">
        <v>571</v>
      </c>
      <c r="N924" s="182"/>
      <c r="O924">
        <v>18.37</v>
      </c>
      <c r="P924" t="s">
        <v>9515</v>
      </c>
    </row>
    <row r="925" spans="1:16" ht="14.4" x14ac:dyDescent="0.3">
      <c r="A925" s="313">
        <v>279084</v>
      </c>
      <c r="B925" t="str">
        <f t="shared" si="28"/>
        <v>SEVROLL tor górny INTER S 35kg do sufitu 6m</v>
      </c>
      <c r="C925" s="185" t="e">
        <f t="shared" si="29"/>
        <v>#N/A</v>
      </c>
      <c r="D925" s="407" t="s">
        <v>3232</v>
      </c>
      <c r="E925" s="407" t="s">
        <v>5653</v>
      </c>
      <c r="F925" s="407" t="s">
        <v>1078</v>
      </c>
      <c r="G925" s="407" t="s">
        <v>5654</v>
      </c>
      <c r="H925" s="460" t="e">
        <v>#N/A</v>
      </c>
      <c r="I925" s="460" t="e">
        <v>#N/A</v>
      </c>
      <c r="J925" s="460" t="e">
        <v>#N/A</v>
      </c>
      <c r="K925" s="460" t="e">
        <v>#N/A</v>
      </c>
      <c r="L925" s="459" t="e">
        <v>#N/A</v>
      </c>
      <c r="M925" s="314" t="s">
        <v>571</v>
      </c>
      <c r="N925" s="182"/>
      <c r="O925" t="e">
        <v>#N/A</v>
      </c>
      <c r="P925" t="e">
        <v>#N/A</v>
      </c>
    </row>
    <row r="926" spans="1:16" ht="14.4" x14ac:dyDescent="0.3">
      <c r="A926" s="313">
        <v>279083</v>
      </c>
      <c r="B926" t="str">
        <f t="shared" si="28"/>
        <v>SEVROLL tor górny INTER S 35kg do sufitu 3m</v>
      </c>
      <c r="C926" s="185" t="e">
        <f t="shared" si="29"/>
        <v>#N/A</v>
      </c>
      <c r="D926" s="407" t="s">
        <v>3231</v>
      </c>
      <c r="E926" s="407" t="s">
        <v>5655</v>
      </c>
      <c r="F926" s="407" t="s">
        <v>1079</v>
      </c>
      <c r="G926" s="407" t="s">
        <v>5656</v>
      </c>
      <c r="H926" s="460" t="e">
        <v>#N/A</v>
      </c>
      <c r="I926" s="460" t="e">
        <v>#N/A</v>
      </c>
      <c r="J926" s="460" t="e">
        <v>#N/A</v>
      </c>
      <c r="K926" s="460" t="e">
        <v>#N/A</v>
      </c>
      <c r="L926" s="459" t="e">
        <v>#N/A</v>
      </c>
      <c r="M926" s="314" t="s">
        <v>571</v>
      </c>
      <c r="N926" s="182"/>
      <c r="O926" t="e">
        <v>#N/A</v>
      </c>
      <c r="P926" t="e">
        <v>#N/A</v>
      </c>
    </row>
    <row r="927" spans="1:16" ht="14.4" x14ac:dyDescent="0.3">
      <c r="A927" s="313">
        <v>279087</v>
      </c>
      <c r="B927" t="str">
        <f t="shared" si="28"/>
        <v>SEVROLL tor górny INTER B 35kg do ściany 6m</v>
      </c>
      <c r="C927" s="185" t="e">
        <f t="shared" si="29"/>
        <v>#N/A</v>
      </c>
      <c r="D927" s="407" t="s">
        <v>3235</v>
      </c>
      <c r="E927" s="407" t="s">
        <v>5657</v>
      </c>
      <c r="F927" s="407" t="s">
        <v>1080</v>
      </c>
      <c r="G927" s="407" t="s">
        <v>5658</v>
      </c>
      <c r="H927" s="460" t="e">
        <v>#N/A</v>
      </c>
      <c r="I927" s="460" t="e">
        <v>#N/A</v>
      </c>
      <c r="J927" s="460" t="e">
        <v>#N/A</v>
      </c>
      <c r="K927" s="460" t="e">
        <v>#N/A</v>
      </c>
      <c r="L927" s="459" t="e">
        <v>#N/A</v>
      </c>
      <c r="M927" s="314" t="s">
        <v>571</v>
      </c>
      <c r="N927" s="182"/>
      <c r="O927" t="e">
        <v>#N/A</v>
      </c>
      <c r="P927" t="e">
        <v>#N/A</v>
      </c>
    </row>
    <row r="928" spans="1:16" ht="14.4" x14ac:dyDescent="0.3">
      <c r="A928" s="313">
        <v>279086</v>
      </c>
      <c r="B928" t="str">
        <f t="shared" si="28"/>
        <v>SEVROLL tor górny INTER B 35kg do ściany 3m</v>
      </c>
      <c r="C928" s="185" t="e">
        <f t="shared" si="29"/>
        <v>#N/A</v>
      </c>
      <c r="D928" s="407" t="s">
        <v>3234</v>
      </c>
      <c r="E928" s="407" t="s">
        <v>5659</v>
      </c>
      <c r="F928" s="407" t="s">
        <v>1081</v>
      </c>
      <c r="G928" s="407" t="s">
        <v>5660</v>
      </c>
      <c r="H928" s="460" t="e">
        <v>#N/A</v>
      </c>
      <c r="I928" s="460" t="e">
        <v>#N/A</v>
      </c>
      <c r="J928" s="460" t="e">
        <v>#N/A</v>
      </c>
      <c r="K928" s="460" t="e">
        <v>#N/A</v>
      </c>
      <c r="L928" s="459" t="e">
        <v>#N/A</v>
      </c>
      <c r="M928" s="314" t="s">
        <v>571</v>
      </c>
      <c r="N928" s="182"/>
      <c r="O928" t="e">
        <v>#N/A</v>
      </c>
      <c r="P928" t="e">
        <v>#N/A</v>
      </c>
    </row>
    <row r="929" spans="1:16" ht="14.4" x14ac:dyDescent="0.3">
      <c r="A929" s="313">
        <v>308699</v>
      </c>
      <c r="B929" t="str">
        <f t="shared" si="28"/>
        <v>SEVROLL tor górny Galaxy S 50kg do sufitu 4m</v>
      </c>
      <c r="C929" s="185">
        <f t="shared" si="29"/>
        <v>84.933130000000006</v>
      </c>
      <c r="D929" s="407" t="s">
        <v>3323</v>
      </c>
      <c r="E929" s="407" t="s">
        <v>5661</v>
      </c>
      <c r="F929" s="407" t="s">
        <v>1082</v>
      </c>
      <c r="G929" s="407" t="s">
        <v>5662</v>
      </c>
      <c r="H929" s="460">
        <v>660.23779999999999</v>
      </c>
      <c r="I929" s="460">
        <v>24.90363</v>
      </c>
      <c r="J929" s="460">
        <v>84.933130000000006</v>
      </c>
      <c r="K929" s="460">
        <v>9397.1080999999995</v>
      </c>
      <c r="L929" s="459" t="s">
        <v>539</v>
      </c>
      <c r="M929" s="314" t="s">
        <v>571</v>
      </c>
      <c r="N929" s="182"/>
      <c r="O929">
        <v>23.32</v>
      </c>
      <c r="P929" t="s">
        <v>9516</v>
      </c>
    </row>
    <row r="930" spans="1:16" ht="14.4" x14ac:dyDescent="0.3">
      <c r="A930" s="313">
        <v>308698</v>
      </c>
      <c r="B930" t="str">
        <f t="shared" si="28"/>
        <v>SEVROLL tor górny Galaxy S 50kg do sufitu 2,5m</v>
      </c>
      <c r="C930" s="185" t="e">
        <f t="shared" si="29"/>
        <v>#N/A</v>
      </c>
      <c r="D930" s="407" t="s">
        <v>3322</v>
      </c>
      <c r="E930" s="407" t="s">
        <v>5663</v>
      </c>
      <c r="F930" s="407" t="s">
        <v>1083</v>
      </c>
      <c r="G930" s="407" t="s">
        <v>5664</v>
      </c>
      <c r="H930" s="460" t="e">
        <v>#N/A</v>
      </c>
      <c r="I930" s="460" t="e">
        <v>#N/A</v>
      </c>
      <c r="J930" s="460" t="e">
        <v>#N/A</v>
      </c>
      <c r="K930" s="460" t="e">
        <v>#N/A</v>
      </c>
      <c r="L930" s="459" t="e">
        <v>#N/A</v>
      </c>
      <c r="M930" s="314" t="s">
        <v>571</v>
      </c>
      <c r="N930" s="182"/>
      <c r="O930">
        <v>0</v>
      </c>
      <c r="P930" t="s">
        <v>9517</v>
      </c>
    </row>
    <row r="931" spans="1:16" ht="14.4" x14ac:dyDescent="0.3">
      <c r="A931" s="313">
        <v>308697</v>
      </c>
      <c r="B931" t="str">
        <f t="shared" si="28"/>
        <v>SEVROLL tor górny Galaxy S 50kg do sufitu 1,5m</v>
      </c>
      <c r="C931" s="185">
        <f t="shared" si="29"/>
        <v>31.881550000000001</v>
      </c>
      <c r="D931" s="407" t="s">
        <v>3321</v>
      </c>
      <c r="E931" s="407" t="s">
        <v>5665</v>
      </c>
      <c r="F931" s="407" t="s">
        <v>1084</v>
      </c>
      <c r="G931" s="407" t="s">
        <v>5666</v>
      </c>
      <c r="H931" s="460">
        <v>247.67541</v>
      </c>
      <c r="I931" s="460">
        <v>9.3421099999999999</v>
      </c>
      <c r="J931" s="460">
        <v>31.881550000000001</v>
      </c>
      <c r="K931" s="460">
        <v>3525.1430799999998</v>
      </c>
      <c r="L931" s="459" t="s">
        <v>539</v>
      </c>
      <c r="M931" s="314" t="s">
        <v>571</v>
      </c>
      <c r="N931" s="182"/>
      <c r="O931">
        <v>8.7560000000000002</v>
      </c>
      <c r="P931" t="s">
        <v>9518</v>
      </c>
    </row>
    <row r="932" spans="1:16" ht="14.4" x14ac:dyDescent="0.3">
      <c r="A932" s="313">
        <v>308696</v>
      </c>
      <c r="B932" t="str">
        <f t="shared" si="28"/>
        <v>SEVROLL tor górny Galaxy B 50kg do ściany 4m</v>
      </c>
      <c r="C932" s="185">
        <f t="shared" si="29"/>
        <v>89.2346</v>
      </c>
      <c r="D932" s="407" t="s">
        <v>3320</v>
      </c>
      <c r="E932" s="407" t="s">
        <v>5667</v>
      </c>
      <c r="F932" s="407" t="s">
        <v>1085</v>
      </c>
      <c r="G932" s="407" t="s">
        <v>5668</v>
      </c>
      <c r="H932" s="460">
        <v>693.35317999999995</v>
      </c>
      <c r="I932" s="460">
        <v>26.152709999999999</v>
      </c>
      <c r="J932" s="460">
        <v>89.2346</v>
      </c>
      <c r="K932" s="460">
        <v>9868.4363300000005</v>
      </c>
      <c r="L932" s="459" t="s">
        <v>539</v>
      </c>
      <c r="M932" s="314" t="s">
        <v>571</v>
      </c>
      <c r="N932" s="182"/>
      <c r="O932">
        <v>24.507999999999999</v>
      </c>
      <c r="P932" t="s">
        <v>9519</v>
      </c>
    </row>
    <row r="933" spans="1:16" ht="14.4" x14ac:dyDescent="0.3">
      <c r="A933" s="313">
        <v>308695</v>
      </c>
      <c r="B933" t="str">
        <f t="shared" si="28"/>
        <v>SEVROLL tor górny Galaxy B 50kg do ściany 2,5m</v>
      </c>
      <c r="C933" s="185" t="e">
        <f t="shared" si="29"/>
        <v>#N/A</v>
      </c>
      <c r="D933" s="407" t="s">
        <v>3319</v>
      </c>
      <c r="E933" s="407" t="s">
        <v>5669</v>
      </c>
      <c r="F933" s="407" t="s">
        <v>1086</v>
      </c>
      <c r="G933" s="407" t="s">
        <v>5670</v>
      </c>
      <c r="H933" s="460" t="e">
        <v>#N/A</v>
      </c>
      <c r="I933" s="460" t="e">
        <v>#N/A</v>
      </c>
      <c r="J933" s="460" t="e">
        <v>#N/A</v>
      </c>
      <c r="K933" s="460" t="e">
        <v>#N/A</v>
      </c>
      <c r="L933" s="459" t="e">
        <v>#N/A</v>
      </c>
      <c r="M933" s="314" t="s">
        <v>571</v>
      </c>
      <c r="N933" s="182"/>
      <c r="O933">
        <v>0</v>
      </c>
      <c r="P933" t="s">
        <v>9520</v>
      </c>
    </row>
    <row r="934" spans="1:16" ht="14.4" x14ac:dyDescent="0.3">
      <c r="A934" s="313">
        <v>96400</v>
      </c>
      <c r="B934" t="str">
        <f t="shared" si="28"/>
        <v>SEVROLL Exclusive tor górny 1,8m srebrny</v>
      </c>
      <c r="C934" s="185" t="e">
        <f t="shared" si="29"/>
        <v>#N/A</v>
      </c>
      <c r="D934" s="407" t="s">
        <v>2755</v>
      </c>
      <c r="E934" s="407" t="s">
        <v>5671</v>
      </c>
      <c r="F934" s="407" t="s">
        <v>1173</v>
      </c>
      <c r="G934" s="407" t="s">
        <v>5672</v>
      </c>
      <c r="H934" s="460" t="e">
        <v>#N/A</v>
      </c>
      <c r="I934" s="460" t="e">
        <v>#N/A</v>
      </c>
      <c r="J934" s="460" t="e">
        <v>#N/A</v>
      </c>
      <c r="K934" s="460" t="e">
        <v>#N/A</v>
      </c>
      <c r="L934" s="459" t="e">
        <v>#N/A</v>
      </c>
      <c r="M934" s="314" t="s">
        <v>571</v>
      </c>
      <c r="N934" s="182"/>
      <c r="O934">
        <v>18.282</v>
      </c>
      <c r="P934" t="s">
        <v>9521</v>
      </c>
    </row>
    <row r="935" spans="1:16" ht="14.4" x14ac:dyDescent="0.3">
      <c r="A935" s="313">
        <v>279082</v>
      </c>
      <c r="B935" t="str">
        <f t="shared" si="28"/>
        <v>SEVROLL tor górny INTER S 35kg do sufitu 2m</v>
      </c>
      <c r="C935" s="185" t="e">
        <f t="shared" si="29"/>
        <v>#N/A</v>
      </c>
      <c r="D935" s="407" t="s">
        <v>3230</v>
      </c>
      <c r="E935" s="407" t="s">
        <v>5673</v>
      </c>
      <c r="F935" s="407" t="s">
        <v>5674</v>
      </c>
      <c r="G935" s="407" t="s">
        <v>5675</v>
      </c>
      <c r="H935" s="460" t="e">
        <v>#N/A</v>
      </c>
      <c r="I935" s="460" t="e">
        <v>#N/A</v>
      </c>
      <c r="J935" s="460" t="e">
        <v>#N/A</v>
      </c>
      <c r="K935" s="460" t="e">
        <v>#N/A</v>
      </c>
      <c r="L935" s="459" t="e">
        <v>#N/A</v>
      </c>
      <c r="M935" s="314" t="s">
        <v>571</v>
      </c>
      <c r="N935" s="182"/>
      <c r="O935">
        <v>10.273999999999999</v>
      </c>
      <c r="P935" t="s">
        <v>9522</v>
      </c>
    </row>
    <row r="936" spans="1:16" ht="14.4" x14ac:dyDescent="0.3">
      <c r="A936" s="313">
        <v>284589</v>
      </c>
      <c r="B936" t="str">
        <f t="shared" si="28"/>
        <v>SEVROLL tor górny INTER S 35kg do sufitu 1,5m</v>
      </c>
      <c r="C936" s="185" t="e">
        <f t="shared" si="29"/>
        <v>#N/A</v>
      </c>
      <c r="D936" s="407" t="s">
        <v>3254</v>
      </c>
      <c r="E936" s="407" t="s">
        <v>5676</v>
      </c>
      <c r="F936" s="407" t="s">
        <v>5677</v>
      </c>
      <c r="G936" s="407" t="s">
        <v>5678</v>
      </c>
      <c r="H936" s="460" t="e">
        <v>#N/A</v>
      </c>
      <c r="I936" s="460" t="e">
        <v>#N/A</v>
      </c>
      <c r="J936" s="460" t="e">
        <v>#N/A</v>
      </c>
      <c r="K936" s="460" t="e">
        <v>#N/A</v>
      </c>
      <c r="L936" s="459" t="e">
        <v>#N/A</v>
      </c>
      <c r="M936" s="314" t="s">
        <v>571</v>
      </c>
      <c r="N936" s="182"/>
      <c r="O936" t="e">
        <v>#N/A</v>
      </c>
      <c r="P936" t="e">
        <v>#N/A</v>
      </c>
    </row>
    <row r="937" spans="1:16" ht="14.4" x14ac:dyDescent="0.3">
      <c r="A937" s="313">
        <v>279085</v>
      </c>
      <c r="B937" t="str">
        <f t="shared" si="28"/>
        <v>SEVROLL tor górny INTER B 35kg do ściany 2m</v>
      </c>
      <c r="C937" s="185" t="e">
        <f t="shared" si="29"/>
        <v>#N/A</v>
      </c>
      <c r="D937" s="407" t="s">
        <v>3233</v>
      </c>
      <c r="E937" s="407" t="s">
        <v>5679</v>
      </c>
      <c r="F937" s="407" t="s">
        <v>5680</v>
      </c>
      <c r="G937" s="407" t="s">
        <v>5681</v>
      </c>
      <c r="H937" s="460" t="e">
        <v>#N/A</v>
      </c>
      <c r="I937" s="460" t="e">
        <v>#N/A</v>
      </c>
      <c r="J937" s="460" t="e">
        <v>#N/A</v>
      </c>
      <c r="K937" s="460" t="e">
        <v>#N/A</v>
      </c>
      <c r="L937" s="459" t="e">
        <v>#N/A</v>
      </c>
      <c r="M937" s="314" t="s">
        <v>571</v>
      </c>
      <c r="N937" s="182"/>
      <c r="O937">
        <v>10.273999999999999</v>
      </c>
      <c r="P937" t="s">
        <v>9523</v>
      </c>
    </row>
    <row r="938" spans="1:16" ht="14.4" x14ac:dyDescent="0.3">
      <c r="A938" s="313">
        <v>284590</v>
      </c>
      <c r="B938" t="str">
        <f t="shared" si="28"/>
        <v>SEVROLL tor górny INTER B 35kg do ściany 1,5m</v>
      </c>
      <c r="C938" s="185" t="e">
        <f t="shared" si="29"/>
        <v>#N/A</v>
      </c>
      <c r="D938" s="407" t="s">
        <v>3255</v>
      </c>
      <c r="E938" s="407" t="s">
        <v>5682</v>
      </c>
      <c r="F938" s="407" t="s">
        <v>5683</v>
      </c>
      <c r="G938" s="407" t="s">
        <v>5684</v>
      </c>
      <c r="H938" s="460" t="e">
        <v>#N/A</v>
      </c>
      <c r="I938" s="460" t="e">
        <v>#N/A</v>
      </c>
      <c r="J938" s="460" t="e">
        <v>#N/A</v>
      </c>
      <c r="K938" s="460" t="e">
        <v>#N/A</v>
      </c>
      <c r="L938" s="459" t="e">
        <v>#N/A</v>
      </c>
      <c r="M938" s="314" t="s">
        <v>571</v>
      </c>
      <c r="N938" s="182"/>
      <c r="O938">
        <v>7.6779999999999999</v>
      </c>
      <c r="P938" t="s">
        <v>9524</v>
      </c>
    </row>
    <row r="939" spans="1:16" ht="14.4" x14ac:dyDescent="0.3">
      <c r="A939" s="313">
        <v>279090</v>
      </c>
      <c r="B939" t="str">
        <f t="shared" si="28"/>
        <v>SEVROLL tor górny Galaxy S 50kg do sufitu 6m</v>
      </c>
      <c r="C939" s="185">
        <f t="shared" si="29"/>
        <v>0</v>
      </c>
      <c r="D939" s="407" t="s">
        <v>3238</v>
      </c>
      <c r="E939" s="407" t="s">
        <v>5685</v>
      </c>
      <c r="F939" s="407" t="s">
        <v>5686</v>
      </c>
      <c r="G939" s="407" t="s">
        <v>5687</v>
      </c>
      <c r="H939" s="460">
        <v>990.01175000000001</v>
      </c>
      <c r="I939" s="460">
        <v>37.34243</v>
      </c>
      <c r="J939" s="460">
        <v>0</v>
      </c>
      <c r="K939" s="460">
        <v>14090.752350000001</v>
      </c>
      <c r="L939" s="459" t="s">
        <v>538</v>
      </c>
      <c r="M939" s="314" t="s">
        <v>571</v>
      </c>
      <c r="N939" s="182"/>
      <c r="O939">
        <v>35.002000000000002</v>
      </c>
      <c r="P939" t="s">
        <v>9525</v>
      </c>
    </row>
    <row r="940" spans="1:16" ht="14.4" x14ac:dyDescent="0.3">
      <c r="A940" s="313">
        <v>279089</v>
      </c>
      <c r="B940" t="str">
        <f t="shared" si="28"/>
        <v>SEVROLL tor górny Galaxy S 50kg do sufitu 3m</v>
      </c>
      <c r="C940" s="185">
        <f t="shared" si="29"/>
        <v>63.678759999999997</v>
      </c>
      <c r="D940" s="407" t="s">
        <v>3237</v>
      </c>
      <c r="E940" s="407" t="s">
        <v>5688</v>
      </c>
      <c r="F940" s="407" t="s">
        <v>5689</v>
      </c>
      <c r="G940" s="407" t="s">
        <v>5690</v>
      </c>
      <c r="H940" s="460">
        <v>494.66093000000001</v>
      </c>
      <c r="I940" s="460">
        <v>18.658200000000001</v>
      </c>
      <c r="J940" s="460">
        <v>63.678759999999997</v>
      </c>
      <c r="K940" s="460">
        <v>7040.4665999999997</v>
      </c>
      <c r="L940" s="459" t="s">
        <v>538</v>
      </c>
      <c r="M940" s="314" t="s">
        <v>571</v>
      </c>
      <c r="N940" s="182"/>
      <c r="O940">
        <v>17.489999999999998</v>
      </c>
      <c r="P940" t="s">
        <v>9526</v>
      </c>
    </row>
    <row r="941" spans="1:16" ht="14.4" x14ac:dyDescent="0.3">
      <c r="A941" s="313">
        <v>279088</v>
      </c>
      <c r="B941" t="str">
        <f t="shared" si="28"/>
        <v>SEVROLL tor górny Galaxy S 50kg do sufitu 2m</v>
      </c>
      <c r="C941" s="185">
        <f t="shared" si="29"/>
        <v>42.508749999999999</v>
      </c>
      <c r="D941" s="407" t="s">
        <v>3236</v>
      </c>
      <c r="E941" s="407" t="s">
        <v>5691</v>
      </c>
      <c r="F941" s="407" t="s">
        <v>5692</v>
      </c>
      <c r="G941" s="407" t="s">
        <v>5693</v>
      </c>
      <c r="H941" s="460">
        <v>330.46384999999998</v>
      </c>
      <c r="I941" s="460">
        <v>12.464829999999999</v>
      </c>
      <c r="J941" s="460">
        <v>42.508749999999999</v>
      </c>
      <c r="K941" s="460">
        <v>4703.4638500000001</v>
      </c>
      <c r="L941" s="459" t="s">
        <v>538</v>
      </c>
      <c r="M941" s="314" t="s">
        <v>571</v>
      </c>
      <c r="N941" s="182"/>
      <c r="O941">
        <v>11.66</v>
      </c>
      <c r="P941" t="s">
        <v>9527</v>
      </c>
    </row>
    <row r="942" spans="1:16" ht="14.4" x14ac:dyDescent="0.3">
      <c r="A942" s="313">
        <v>279093</v>
      </c>
      <c r="B942" t="str">
        <f t="shared" si="28"/>
        <v>SEVROLL tor górny Galaxy B 50kg do ściany 6m</v>
      </c>
      <c r="C942" s="185">
        <f t="shared" si="29"/>
        <v>0</v>
      </c>
      <c r="D942" s="407" t="s">
        <v>3241</v>
      </c>
      <c r="E942" s="407" t="s">
        <v>5694</v>
      </c>
      <c r="F942" s="407" t="s">
        <v>5695</v>
      </c>
      <c r="G942" s="407" t="s">
        <v>5696</v>
      </c>
      <c r="H942" s="460">
        <v>1041.0646099999999</v>
      </c>
      <c r="I942" s="460">
        <v>39.268099999999997</v>
      </c>
      <c r="J942" s="460">
        <v>0</v>
      </c>
      <c r="K942" s="460">
        <v>14817.38365</v>
      </c>
      <c r="L942" s="459" t="s">
        <v>538</v>
      </c>
      <c r="M942" s="314" t="s">
        <v>571</v>
      </c>
      <c r="N942" s="182"/>
      <c r="O942">
        <v>36.783999999999999</v>
      </c>
      <c r="P942" t="s">
        <v>9528</v>
      </c>
    </row>
    <row r="943" spans="1:16" ht="14.4" x14ac:dyDescent="0.3">
      <c r="A943" s="313">
        <v>279092</v>
      </c>
      <c r="B943" t="str">
        <f t="shared" si="28"/>
        <v>SEVROLL tor górny Galaxy B 50kg do ściany 3m</v>
      </c>
      <c r="C943" s="185">
        <f t="shared" si="29"/>
        <v>66.968130000000002</v>
      </c>
      <c r="D943" s="407" t="s">
        <v>3240</v>
      </c>
      <c r="E943" s="407" t="s">
        <v>5697</v>
      </c>
      <c r="F943" s="407" t="s">
        <v>5698</v>
      </c>
      <c r="G943" s="407" t="s">
        <v>5699</v>
      </c>
      <c r="H943" s="460">
        <v>520.18733999999995</v>
      </c>
      <c r="I943" s="460">
        <v>19.621040000000001</v>
      </c>
      <c r="J943" s="460">
        <v>66.968130000000002</v>
      </c>
      <c r="K943" s="460">
        <v>7403.7822299999998</v>
      </c>
      <c r="L943" s="459" t="s">
        <v>538</v>
      </c>
      <c r="M943" s="314" t="s">
        <v>571</v>
      </c>
      <c r="N943" s="182"/>
      <c r="O943">
        <v>18.391999999999999</v>
      </c>
      <c r="P943" t="s">
        <v>9529</v>
      </c>
    </row>
    <row r="944" spans="1:16" ht="14.4" x14ac:dyDescent="0.3">
      <c r="A944" s="313">
        <v>279091</v>
      </c>
      <c r="B944" t="str">
        <f t="shared" si="28"/>
        <v>SEVROLL tor górny Galaxy B 50kg do ściany 2m</v>
      </c>
      <c r="C944" s="185">
        <f t="shared" si="29"/>
        <v>44.6173</v>
      </c>
      <c r="D944" s="407" t="s">
        <v>3239</v>
      </c>
      <c r="E944" s="407" t="s">
        <v>5700</v>
      </c>
      <c r="F944" s="407" t="s">
        <v>5701</v>
      </c>
      <c r="G944" s="407" t="s">
        <v>5702</v>
      </c>
      <c r="H944" s="460">
        <v>347.02152999999998</v>
      </c>
      <c r="I944" s="460">
        <v>13.089370000000001</v>
      </c>
      <c r="J944" s="460">
        <v>44.6173</v>
      </c>
      <c r="K944" s="460">
        <v>4939.1277499999997</v>
      </c>
      <c r="L944" s="459" t="s">
        <v>538</v>
      </c>
      <c r="M944" s="314" t="s">
        <v>571</v>
      </c>
      <c r="N944" s="182"/>
      <c r="O944">
        <v>12.254</v>
      </c>
      <c r="P944" t="s">
        <v>9530</v>
      </c>
    </row>
    <row r="945" spans="1:16" ht="14.4" x14ac:dyDescent="0.3">
      <c r="A945" s="313">
        <v>128842</v>
      </c>
      <c r="B945" t="str">
        <f t="shared" si="28"/>
        <v>SEVROLL wiertło stopniowe 6,5/9,5mm</v>
      </c>
      <c r="C945" s="185">
        <f t="shared" si="29"/>
        <v>116.85122</v>
      </c>
      <c r="D945" s="407" t="s">
        <v>2831</v>
      </c>
      <c r="E945" s="407" t="s">
        <v>5703</v>
      </c>
      <c r="F945" s="407" t="s">
        <v>2831</v>
      </c>
      <c r="G945" s="407" t="s">
        <v>5704</v>
      </c>
      <c r="H945" s="460">
        <v>671.23099999999999</v>
      </c>
      <c r="I945" s="460">
        <v>26.752659999999999</v>
      </c>
      <c r="J945" s="460">
        <v>116.85122</v>
      </c>
      <c r="K945" s="460">
        <v>10898.66318</v>
      </c>
      <c r="L945" s="459" t="s">
        <v>538</v>
      </c>
      <c r="M945" s="314" t="s">
        <v>571</v>
      </c>
      <c r="N945" s="182"/>
      <c r="O945">
        <v>19.315999999999999</v>
      </c>
      <c r="P945" t="s">
        <v>9531</v>
      </c>
    </row>
    <row r="946" spans="1:16" ht="14.4" x14ac:dyDescent="0.3">
      <c r="A946" s="339">
        <v>96420</v>
      </c>
      <c r="B946" t="e">
        <f t="shared" si="28"/>
        <v>#N/A</v>
      </c>
      <c r="C946" s="185" t="e">
        <f t="shared" si="29"/>
        <v>#N/A</v>
      </c>
      <c r="D946" s="407" t="e">
        <v>#N/A</v>
      </c>
      <c r="E946" s="407" t="e">
        <v>#N/A</v>
      </c>
      <c r="F946" s="407" t="e">
        <v>#N/A</v>
      </c>
      <c r="G946" s="407" t="e">
        <v>#N/A</v>
      </c>
      <c r="H946" s="460" t="e">
        <v>#N/A</v>
      </c>
      <c r="I946" s="460" t="e">
        <v>#N/A</v>
      </c>
      <c r="J946" s="460" t="e">
        <v>#N/A</v>
      </c>
      <c r="K946" s="460" t="e">
        <v>#N/A</v>
      </c>
      <c r="L946" s="459" t="e">
        <v>#N/A</v>
      </c>
      <c r="M946" s="340" t="s">
        <v>574</v>
      </c>
      <c r="N946" s="182"/>
      <c r="O946" t="e">
        <v>#N/A</v>
      </c>
      <c r="P946" t="e">
        <v>#N/A</v>
      </c>
    </row>
    <row r="947" spans="1:16" ht="14.4" x14ac:dyDescent="0.3">
      <c r="A947" s="339">
        <v>216351</v>
      </c>
      <c r="B947" t="e">
        <f t="shared" si="28"/>
        <v>#N/A</v>
      </c>
      <c r="C947" s="185" t="e">
        <f t="shared" si="29"/>
        <v>#N/A</v>
      </c>
      <c r="D947" s="407" t="e">
        <v>#N/A</v>
      </c>
      <c r="E947" s="407" t="e">
        <v>#N/A</v>
      </c>
      <c r="F947" s="407" t="e">
        <v>#N/A</v>
      </c>
      <c r="G947" s="407" t="e">
        <v>#N/A</v>
      </c>
      <c r="H947" s="460" t="e">
        <v>#N/A</v>
      </c>
      <c r="I947" s="460" t="e">
        <v>#N/A</v>
      </c>
      <c r="J947" s="460" t="e">
        <v>#N/A</v>
      </c>
      <c r="K947" s="460" t="e">
        <v>#N/A</v>
      </c>
      <c r="L947" s="459" t="e">
        <v>#N/A</v>
      </c>
      <c r="M947" s="340" t="s">
        <v>571</v>
      </c>
      <c r="N947" s="182"/>
      <c r="O947" t="e">
        <v>#N/A</v>
      </c>
      <c r="P947" t="e">
        <v>#N/A</v>
      </c>
    </row>
    <row r="948" spans="1:16" ht="14.4" x14ac:dyDescent="0.3">
      <c r="A948" s="339">
        <v>216350</v>
      </c>
      <c r="B948" t="e">
        <f t="shared" si="28"/>
        <v>#N/A</v>
      </c>
      <c r="C948" s="185" t="e">
        <f t="shared" si="29"/>
        <v>#N/A</v>
      </c>
      <c r="D948" s="407" t="e">
        <v>#N/A</v>
      </c>
      <c r="E948" s="407" t="e">
        <v>#N/A</v>
      </c>
      <c r="F948" s="407" t="e">
        <v>#N/A</v>
      </c>
      <c r="G948" s="407" t="e">
        <v>#N/A</v>
      </c>
      <c r="H948" s="460" t="e">
        <v>#N/A</v>
      </c>
      <c r="I948" s="460" t="e">
        <v>#N/A</v>
      </c>
      <c r="J948" s="460" t="e">
        <v>#N/A</v>
      </c>
      <c r="K948" s="460" t="e">
        <v>#N/A</v>
      </c>
      <c r="L948" s="459" t="e">
        <v>#N/A</v>
      </c>
      <c r="M948" s="340" t="s">
        <v>571</v>
      </c>
      <c r="N948" s="182"/>
      <c r="O948" t="e">
        <v>#N/A</v>
      </c>
      <c r="P948" t="e">
        <v>#N/A</v>
      </c>
    </row>
    <row r="949" spans="1:16" ht="14.4" x14ac:dyDescent="0.3">
      <c r="A949" s="339">
        <v>211532</v>
      </c>
      <c r="B949" t="e">
        <f t="shared" si="28"/>
        <v>#N/A</v>
      </c>
      <c r="C949" s="185" t="e">
        <f t="shared" si="29"/>
        <v>#N/A</v>
      </c>
      <c r="D949" s="407" t="e">
        <v>#N/A</v>
      </c>
      <c r="E949" s="407" t="e">
        <v>#N/A</v>
      </c>
      <c r="F949" s="407" t="e">
        <v>#N/A</v>
      </c>
      <c r="G949" s="407" t="e">
        <v>#N/A</v>
      </c>
      <c r="H949" s="460" t="e">
        <v>#N/A</v>
      </c>
      <c r="I949" s="460" t="e">
        <v>#N/A</v>
      </c>
      <c r="J949" s="460" t="e">
        <v>#N/A</v>
      </c>
      <c r="K949" s="460" t="e">
        <v>#N/A</v>
      </c>
      <c r="L949" s="459" t="e">
        <v>#N/A</v>
      </c>
      <c r="M949" s="340" t="s">
        <v>571</v>
      </c>
      <c r="N949" s="182"/>
      <c r="O949" t="e">
        <v>#N/A</v>
      </c>
      <c r="P949" t="e">
        <v>#N/A</v>
      </c>
    </row>
    <row r="950" spans="1:16" ht="14.4" x14ac:dyDescent="0.3">
      <c r="A950" s="339">
        <v>89279</v>
      </c>
      <c r="B950" t="e">
        <f t="shared" si="28"/>
        <v>#N/A</v>
      </c>
      <c r="C950" s="185" t="e">
        <f t="shared" si="29"/>
        <v>#N/A</v>
      </c>
      <c r="D950" s="407" t="e">
        <v>#N/A</v>
      </c>
      <c r="E950" s="407" t="e">
        <v>#N/A</v>
      </c>
      <c r="F950" s="407" t="e">
        <v>#N/A</v>
      </c>
      <c r="G950" s="407" t="e">
        <v>#N/A</v>
      </c>
      <c r="H950" s="460" t="e">
        <v>#N/A</v>
      </c>
      <c r="I950" s="460" t="e">
        <v>#N/A</v>
      </c>
      <c r="J950" s="460" t="e">
        <v>#N/A</v>
      </c>
      <c r="K950" s="460" t="e">
        <v>#N/A</v>
      </c>
      <c r="L950" s="459" t="e">
        <v>#N/A</v>
      </c>
      <c r="M950" s="340" t="s">
        <v>571</v>
      </c>
      <c r="N950" s="182"/>
      <c r="O950" t="e">
        <v>#N/A</v>
      </c>
      <c r="P950" t="e">
        <v>#N/A</v>
      </c>
    </row>
    <row r="951" spans="1:16" ht="14.4" x14ac:dyDescent="0.3">
      <c r="A951" s="339">
        <v>245317</v>
      </c>
      <c r="B951" t="str">
        <f t="shared" si="28"/>
        <v>SEVROLL pudełko wzorów profili Simple</v>
      </c>
      <c r="C951" s="185">
        <f t="shared" si="29"/>
        <v>0</v>
      </c>
      <c r="D951" s="407" t="s">
        <v>3181</v>
      </c>
      <c r="E951" s="407" t="s">
        <v>5705</v>
      </c>
      <c r="F951" s="407" t="s">
        <v>1068</v>
      </c>
      <c r="G951" s="407" t="s">
        <v>5706</v>
      </c>
      <c r="H951" s="460">
        <v>0</v>
      </c>
      <c r="I951" s="460">
        <v>0</v>
      </c>
      <c r="J951" s="460">
        <v>0</v>
      </c>
      <c r="K951" s="460">
        <v>0</v>
      </c>
      <c r="L951" s="459" t="s">
        <v>540</v>
      </c>
      <c r="M951" s="340" t="s">
        <v>571</v>
      </c>
      <c r="N951" s="182"/>
      <c r="O951">
        <v>0</v>
      </c>
      <c r="P951" t="s">
        <v>9532</v>
      </c>
    </row>
    <row r="952" spans="1:16" ht="14.4" x14ac:dyDescent="0.3">
      <c r="A952" s="339">
        <v>336641</v>
      </c>
      <c r="B952" t="e">
        <f t="shared" si="28"/>
        <v>#N/A</v>
      </c>
      <c r="C952" s="185" t="e">
        <f t="shared" si="29"/>
        <v>#N/A</v>
      </c>
      <c r="D952" s="407" t="e">
        <v>#N/A</v>
      </c>
      <c r="E952" s="407" t="e">
        <v>#N/A</v>
      </c>
      <c r="F952" s="407" t="e">
        <v>#N/A</v>
      </c>
      <c r="G952" s="407" t="e">
        <v>#N/A</v>
      </c>
      <c r="H952" s="460" t="e">
        <v>#N/A</v>
      </c>
      <c r="I952" s="460" t="e">
        <v>#N/A</v>
      </c>
      <c r="J952" s="460" t="e">
        <v>#N/A</v>
      </c>
      <c r="K952" s="460" t="e">
        <v>#N/A</v>
      </c>
      <c r="L952" s="459" t="e">
        <v>#N/A</v>
      </c>
      <c r="M952" s="340" t="s">
        <v>571</v>
      </c>
      <c r="N952" s="182"/>
      <c r="O952" t="e">
        <v>#N/A</v>
      </c>
      <c r="P952" t="e">
        <v>#N/A</v>
      </c>
    </row>
    <row r="953" spans="1:16" ht="14.4" x14ac:dyDescent="0.3">
      <c r="A953" s="339">
        <v>310079</v>
      </c>
      <c r="B953" t="e">
        <f t="shared" si="28"/>
        <v>#N/A</v>
      </c>
      <c r="C953" s="185" t="e">
        <f t="shared" si="29"/>
        <v>#N/A</v>
      </c>
      <c r="D953" s="407" t="e">
        <v>#N/A</v>
      </c>
      <c r="E953" s="407" t="e">
        <v>#N/A</v>
      </c>
      <c r="F953" s="407" t="e">
        <v>#N/A</v>
      </c>
      <c r="G953" s="407" t="e">
        <v>#N/A</v>
      </c>
      <c r="H953" s="460" t="e">
        <v>#N/A</v>
      </c>
      <c r="I953" s="460" t="e">
        <v>#N/A</v>
      </c>
      <c r="J953" s="460" t="e">
        <v>#N/A</v>
      </c>
      <c r="K953" s="460" t="e">
        <v>#N/A</v>
      </c>
      <c r="L953" s="459" t="e">
        <v>#N/A</v>
      </c>
      <c r="M953" s="340" t="s">
        <v>571</v>
      </c>
      <c r="N953" s="182"/>
      <c r="O953" t="e">
        <v>#N/A</v>
      </c>
      <c r="P953" t="e">
        <v>#N/A</v>
      </c>
    </row>
    <row r="954" spans="1:16" ht="14.4" x14ac:dyDescent="0.3">
      <c r="A954" s="339">
        <v>222761</v>
      </c>
      <c r="B954" t="str">
        <f t="shared" si="28"/>
        <v>SEVROLL szablon do wózków do płyty laminowanej 18mm</v>
      </c>
      <c r="C954" s="185">
        <f t="shared" si="29"/>
        <v>17.821909999999999</v>
      </c>
      <c r="D954" s="407" t="s">
        <v>3033</v>
      </c>
      <c r="E954" s="407" t="s">
        <v>5707</v>
      </c>
      <c r="F954" s="407" t="s">
        <v>1071</v>
      </c>
      <c r="G954" s="407" t="s">
        <v>5708</v>
      </c>
      <c r="H954" s="460">
        <v>102.443</v>
      </c>
      <c r="I954" s="460">
        <v>4.0829800000000001</v>
      </c>
      <c r="J954" s="460">
        <v>17.821909999999999</v>
      </c>
      <c r="K954" s="460">
        <v>1662.2421200000001</v>
      </c>
      <c r="L954" s="459" t="s">
        <v>538</v>
      </c>
      <c r="M954" s="340" t="s">
        <v>571</v>
      </c>
      <c r="N954" s="182"/>
      <c r="O954">
        <v>3.6850000000000001</v>
      </c>
      <c r="P954" t="s">
        <v>9533</v>
      </c>
    </row>
    <row r="955" spans="1:16" ht="14.4" x14ac:dyDescent="0.3">
      <c r="A955" s="339">
        <v>291822</v>
      </c>
      <c r="B955" t="str">
        <f t="shared" si="28"/>
        <v>SEVROLL szablon reklamowy do wózków do płyty laminowanej 18mm</v>
      </c>
      <c r="C955" s="185">
        <f t="shared" si="29"/>
        <v>0</v>
      </c>
      <c r="D955" s="407" t="s">
        <v>3277</v>
      </c>
      <c r="E955" s="407" t="s">
        <v>1814</v>
      </c>
      <c r="F955" s="407" t="s">
        <v>5709</v>
      </c>
      <c r="G955" s="407" t="s">
        <v>2380</v>
      </c>
      <c r="H955" s="460">
        <v>0</v>
      </c>
      <c r="I955" s="460">
        <v>0</v>
      </c>
      <c r="J955" s="460">
        <v>0</v>
      </c>
      <c r="K955" s="460">
        <v>0</v>
      </c>
      <c r="L955" s="459" t="s">
        <v>540</v>
      </c>
      <c r="M955" s="340" t="s">
        <v>571</v>
      </c>
      <c r="N955" s="182"/>
      <c r="O955">
        <v>0</v>
      </c>
      <c r="P955" t="s">
        <v>9534</v>
      </c>
    </row>
    <row r="956" spans="1:16" ht="14.4" x14ac:dyDescent="0.3">
      <c r="A956" s="339">
        <v>336476</v>
      </c>
      <c r="B956" t="e">
        <f t="shared" si="28"/>
        <v>#N/A</v>
      </c>
      <c r="C956" s="185" t="e">
        <f t="shared" si="29"/>
        <v>#N/A</v>
      </c>
      <c r="D956" s="407" t="e">
        <v>#N/A</v>
      </c>
      <c r="E956" s="407" t="e">
        <v>#N/A</v>
      </c>
      <c r="F956" s="407" t="e">
        <v>#N/A</v>
      </c>
      <c r="G956" s="407" t="e">
        <v>#N/A</v>
      </c>
      <c r="H956" s="460" t="e">
        <v>#N/A</v>
      </c>
      <c r="I956" s="460" t="e">
        <v>#N/A</v>
      </c>
      <c r="J956" s="460" t="e">
        <v>#N/A</v>
      </c>
      <c r="K956" s="460" t="e">
        <v>#N/A</v>
      </c>
      <c r="L956" s="459" t="e">
        <v>#N/A</v>
      </c>
      <c r="M956" s="340" t="s">
        <v>571</v>
      </c>
      <c r="N956" s="182"/>
      <c r="O956" t="e">
        <v>#N/A</v>
      </c>
      <c r="P956" t="e">
        <v>#N/A</v>
      </c>
    </row>
    <row r="957" spans="1:16" ht="14.4" x14ac:dyDescent="0.3">
      <c r="A957" s="339">
        <v>310078</v>
      </c>
      <c r="B957" t="e">
        <f t="shared" si="28"/>
        <v>#N/A</v>
      </c>
      <c r="C957" s="185" t="e">
        <f t="shared" si="29"/>
        <v>#N/A</v>
      </c>
      <c r="D957" s="407" t="e">
        <v>#N/A</v>
      </c>
      <c r="E957" s="407" t="e">
        <v>#N/A</v>
      </c>
      <c r="F957" s="407" t="e">
        <v>#N/A</v>
      </c>
      <c r="G957" s="407" t="e">
        <v>#N/A</v>
      </c>
      <c r="H957" s="460" t="e">
        <v>#N/A</v>
      </c>
      <c r="I957" s="460" t="e">
        <v>#N/A</v>
      </c>
      <c r="J957" s="460" t="e">
        <v>#N/A</v>
      </c>
      <c r="K957" s="460" t="e">
        <v>#N/A</v>
      </c>
      <c r="L957" s="459" t="e">
        <v>#N/A</v>
      </c>
      <c r="M957" s="340" t="s">
        <v>571</v>
      </c>
      <c r="N957" s="182"/>
      <c r="O957" t="e">
        <v>#N/A</v>
      </c>
      <c r="P957" t="e">
        <v>#N/A</v>
      </c>
    </row>
    <row r="958" spans="1:16" ht="14.4" x14ac:dyDescent="0.3">
      <c r="A958" s="339">
        <v>310077</v>
      </c>
      <c r="B958" t="e">
        <f t="shared" si="28"/>
        <v>#N/A</v>
      </c>
      <c r="C958" s="185" t="e">
        <f t="shared" si="29"/>
        <v>#N/A</v>
      </c>
      <c r="D958" s="407" t="e">
        <v>#N/A</v>
      </c>
      <c r="E958" s="407" t="e">
        <v>#N/A</v>
      </c>
      <c r="F958" s="407" t="e">
        <v>#N/A</v>
      </c>
      <c r="G958" s="407" t="e">
        <v>#N/A</v>
      </c>
      <c r="H958" s="460" t="e">
        <v>#N/A</v>
      </c>
      <c r="I958" s="460" t="e">
        <v>#N/A</v>
      </c>
      <c r="J958" s="460" t="e">
        <v>#N/A</v>
      </c>
      <c r="K958" s="460" t="e">
        <v>#N/A</v>
      </c>
      <c r="L958" s="459" t="e">
        <v>#N/A</v>
      </c>
      <c r="M958" s="340" t="s">
        <v>571</v>
      </c>
      <c r="N958" s="182"/>
      <c r="O958" t="e">
        <v>#N/A</v>
      </c>
      <c r="P958" t="e">
        <v>#N/A</v>
      </c>
    </row>
    <row r="959" spans="1:16" ht="14.4" x14ac:dyDescent="0.3">
      <c r="A959" s="339">
        <v>310080</v>
      </c>
      <c r="B959" t="e">
        <f t="shared" si="28"/>
        <v>#N/A</v>
      </c>
      <c r="C959" s="185" t="e">
        <f t="shared" si="29"/>
        <v>#N/A</v>
      </c>
      <c r="D959" s="407" t="e">
        <v>#N/A</v>
      </c>
      <c r="E959" s="407" t="e">
        <v>#N/A</v>
      </c>
      <c r="F959" s="407" t="e">
        <v>#N/A</v>
      </c>
      <c r="G959" s="407" t="e">
        <v>#N/A</v>
      </c>
      <c r="H959" s="460" t="e">
        <v>#N/A</v>
      </c>
      <c r="I959" s="460" t="e">
        <v>#N/A</v>
      </c>
      <c r="J959" s="460" t="e">
        <v>#N/A</v>
      </c>
      <c r="K959" s="460" t="e">
        <v>#N/A</v>
      </c>
      <c r="L959" s="459" t="e">
        <v>#N/A</v>
      </c>
      <c r="M959" s="340" t="s">
        <v>571</v>
      </c>
      <c r="N959" s="182"/>
      <c r="O959" t="e">
        <v>#N/A</v>
      </c>
      <c r="P959" t="e">
        <v>#N/A</v>
      </c>
    </row>
    <row r="960" spans="1:16" ht="14.4" x14ac:dyDescent="0.3">
      <c r="A960" s="339">
        <v>335225</v>
      </c>
      <c r="B960" t="str">
        <f t="shared" si="28"/>
        <v>K-SEVROLL wózek dolny V 10mm + pomoc montażowa gratis</v>
      </c>
      <c r="C960" s="185" t="e">
        <f t="shared" si="29"/>
        <v>#N/A</v>
      </c>
      <c r="D960" s="407" t="s">
        <v>1072</v>
      </c>
      <c r="E960" s="407" t="s">
        <v>5710</v>
      </c>
      <c r="F960" s="407" t="s">
        <v>1073</v>
      </c>
      <c r="G960" s="407" t="s">
        <v>5711</v>
      </c>
      <c r="H960" s="460" t="e">
        <v>#N/A</v>
      </c>
      <c r="I960" s="460" t="e">
        <v>#N/A</v>
      </c>
      <c r="J960" s="460" t="e">
        <v>#N/A</v>
      </c>
      <c r="K960" s="460" t="e">
        <v>#N/A</v>
      </c>
      <c r="L960" s="459" t="e">
        <v>#N/A</v>
      </c>
      <c r="M960" s="340" t="s">
        <v>572</v>
      </c>
      <c r="N960" s="182"/>
      <c r="O960" t="e">
        <v>#N/A</v>
      </c>
      <c r="P960" t="e">
        <v>#N/A</v>
      </c>
    </row>
    <row r="961" spans="1:16" ht="14.4" x14ac:dyDescent="0.3">
      <c r="A961" s="339">
        <v>335227</v>
      </c>
      <c r="B961" t="str">
        <f t="shared" si="28"/>
        <v>K-SEVROLL wózek dolny V 10mm + Fix + wiertło gratis</v>
      </c>
      <c r="C961" s="185" t="e">
        <f t="shared" si="29"/>
        <v>#N/A</v>
      </c>
      <c r="D961" s="407" t="s">
        <v>1074</v>
      </c>
      <c r="E961" s="407" t="s">
        <v>5712</v>
      </c>
      <c r="F961" s="407" t="s">
        <v>1075</v>
      </c>
      <c r="G961" s="407" t="s">
        <v>5713</v>
      </c>
      <c r="H961" s="460" t="e">
        <v>#N/A</v>
      </c>
      <c r="I961" s="460" t="e">
        <v>#N/A</v>
      </c>
      <c r="J961" s="460" t="e">
        <v>#N/A</v>
      </c>
      <c r="K961" s="460" t="e">
        <v>#N/A</v>
      </c>
      <c r="L961" s="459" t="e">
        <v>#N/A</v>
      </c>
      <c r="M961" s="340" t="s">
        <v>572</v>
      </c>
      <c r="N961" s="182"/>
      <c r="O961" t="e">
        <v>#N/A</v>
      </c>
      <c r="P961" t="e">
        <v>#N/A</v>
      </c>
    </row>
    <row r="962" spans="1:16" ht="14.4" x14ac:dyDescent="0.3">
      <c r="A962" s="339">
        <v>328334</v>
      </c>
      <c r="B962" t="str">
        <f t="shared" si="28"/>
        <v>K-SEVROLL wózek dolny V 10mm - 2 szt+ pozycjoner</v>
      </c>
      <c r="C962" s="185" t="e">
        <f t="shared" si="29"/>
        <v>#N/A</v>
      </c>
      <c r="D962" s="407" t="s">
        <v>1076</v>
      </c>
      <c r="E962" s="407" t="s">
        <v>5714</v>
      </c>
      <c r="F962" s="407" t="s">
        <v>68</v>
      </c>
      <c r="G962" s="407" t="s">
        <v>5715</v>
      </c>
      <c r="H962" s="460" t="e">
        <v>#N/A</v>
      </c>
      <c r="I962" s="460" t="e">
        <v>#N/A</v>
      </c>
      <c r="J962" s="460" t="e">
        <v>#N/A</v>
      </c>
      <c r="K962" s="460" t="e">
        <v>#N/A</v>
      </c>
      <c r="L962" s="459" t="e">
        <v>#N/A</v>
      </c>
      <c r="M962" s="340" t="s">
        <v>572</v>
      </c>
      <c r="N962" s="182"/>
      <c r="O962">
        <v>0</v>
      </c>
      <c r="P962" t="s">
        <v>9535</v>
      </c>
    </row>
    <row r="963" spans="1:16" ht="14.4" x14ac:dyDescent="0.3">
      <c r="A963" s="339">
        <v>179111</v>
      </c>
      <c r="B963" t="str">
        <f t="shared" si="28"/>
        <v>SEVROLL wzornik folii</v>
      </c>
      <c r="C963" s="185" t="e">
        <f t="shared" si="29"/>
        <v>#N/A</v>
      </c>
      <c r="D963" s="407" t="s">
        <v>2903</v>
      </c>
      <c r="E963" s="407" t="s">
        <v>5716</v>
      </c>
      <c r="F963" s="407" t="s">
        <v>5717</v>
      </c>
      <c r="G963" s="407" t="s">
        <v>5718</v>
      </c>
      <c r="H963" s="460" t="e">
        <v>#N/A</v>
      </c>
      <c r="I963" s="460" t="e">
        <v>#N/A</v>
      </c>
      <c r="J963" s="460" t="e">
        <v>#N/A</v>
      </c>
      <c r="K963" s="460" t="e">
        <v>#N/A</v>
      </c>
      <c r="L963" s="459" t="e">
        <v>#N/A</v>
      </c>
      <c r="M963" s="340" t="s">
        <v>571</v>
      </c>
      <c r="N963" s="182"/>
      <c r="O963">
        <v>0</v>
      </c>
      <c r="P963" t="s">
        <v>9536</v>
      </c>
    </row>
    <row r="964" spans="1:16" ht="14.4" x14ac:dyDescent="0.3">
      <c r="A964" s="339">
        <v>328716</v>
      </c>
      <c r="B964" t="e">
        <f t="shared" ref="B964:B1027" si="30">IF($A$2=1,D964,IF($A$2=2,F964,IF($A$2=3,G964,IF($A$2=4,E964,IF($A$2&gt;4,P964,"zadat jazyk")))))</f>
        <v>#N/A</v>
      </c>
      <c r="C964" s="185" t="e">
        <f t="shared" ref="C964:C1027" si="31">IF($A$2=1,H964,IF($A$2=2,I964,IF($A$2=3,J964,IF($A$2=4,K964,IF($A$2&gt;4,O964,"zadat jazyk")))))</f>
        <v>#N/A</v>
      </c>
      <c r="D964" s="407" t="e">
        <v>#N/A</v>
      </c>
      <c r="E964" s="407" t="e">
        <v>#N/A</v>
      </c>
      <c r="F964" s="407" t="e">
        <v>#N/A</v>
      </c>
      <c r="G964" s="407" t="e">
        <v>#N/A</v>
      </c>
      <c r="H964" s="460" t="e">
        <v>#N/A</v>
      </c>
      <c r="I964" s="460" t="e">
        <v>#N/A</v>
      </c>
      <c r="J964" s="460" t="e">
        <v>#N/A</v>
      </c>
      <c r="K964" s="460" t="e">
        <v>#N/A</v>
      </c>
      <c r="L964" s="459" t="e">
        <v>#N/A</v>
      </c>
      <c r="M964" s="340" t="s">
        <v>571</v>
      </c>
      <c r="N964" s="182"/>
      <c r="O964" t="e">
        <v>#N/A</v>
      </c>
      <c r="P964" t="e">
        <v>#N/A</v>
      </c>
    </row>
    <row r="965" spans="1:16" ht="14.4" x14ac:dyDescent="0.3">
      <c r="A965" s="339">
        <v>252988</v>
      </c>
      <c r="B965" t="e">
        <f t="shared" si="30"/>
        <v>#N/A</v>
      </c>
      <c r="C965" s="185" t="e">
        <f t="shared" si="31"/>
        <v>#N/A</v>
      </c>
      <c r="D965" s="407" t="e">
        <v>#N/A</v>
      </c>
      <c r="E965" s="407" t="e">
        <v>#N/A</v>
      </c>
      <c r="F965" s="407" t="e">
        <v>#N/A</v>
      </c>
      <c r="G965" s="407" t="e">
        <v>#N/A</v>
      </c>
      <c r="H965" s="460" t="e">
        <v>#N/A</v>
      </c>
      <c r="I965" s="460" t="e">
        <v>#N/A</v>
      </c>
      <c r="J965" s="460" t="e">
        <v>#N/A</v>
      </c>
      <c r="K965" s="460" t="e">
        <v>#N/A</v>
      </c>
      <c r="L965" s="459" t="e">
        <v>#N/A</v>
      </c>
      <c r="M965" s="340" t="s">
        <v>574</v>
      </c>
      <c r="N965" s="182"/>
      <c r="O965" t="e">
        <v>#N/A</v>
      </c>
      <c r="P965" t="e">
        <v>#N/A</v>
      </c>
    </row>
    <row r="966" spans="1:16" ht="14.4" x14ac:dyDescent="0.3">
      <c r="A966" s="339">
        <v>301650</v>
      </c>
      <c r="B966" t="e">
        <f t="shared" si="30"/>
        <v>#N/A</v>
      </c>
      <c r="C966" s="185" t="e">
        <f t="shared" si="31"/>
        <v>#N/A</v>
      </c>
      <c r="D966" s="407" t="e">
        <v>#N/A</v>
      </c>
      <c r="E966" s="407" t="e">
        <v>#N/A</v>
      </c>
      <c r="F966" s="407" t="e">
        <v>#N/A</v>
      </c>
      <c r="G966" s="407" t="e">
        <v>#N/A</v>
      </c>
      <c r="H966" s="460" t="e">
        <v>#N/A</v>
      </c>
      <c r="I966" s="460" t="e">
        <v>#N/A</v>
      </c>
      <c r="J966" s="460" t="e">
        <v>#N/A</v>
      </c>
      <c r="K966" s="460" t="e">
        <v>#N/A</v>
      </c>
      <c r="L966" s="459" t="e">
        <v>#N/A</v>
      </c>
      <c r="M966" s="340" t="s">
        <v>571</v>
      </c>
      <c r="N966" s="182"/>
      <c r="O966" t="e">
        <v>#N/A</v>
      </c>
      <c r="P966" t="e">
        <v>#N/A</v>
      </c>
    </row>
    <row r="967" spans="1:16" ht="14.4" x14ac:dyDescent="0.3">
      <c r="A967" s="339">
        <v>301649</v>
      </c>
      <c r="B967" t="e">
        <f t="shared" si="30"/>
        <v>#N/A</v>
      </c>
      <c r="C967" s="185" t="e">
        <f t="shared" si="31"/>
        <v>#N/A</v>
      </c>
      <c r="D967" s="407" t="e">
        <v>#N/A</v>
      </c>
      <c r="E967" s="407" t="e">
        <v>#N/A</v>
      </c>
      <c r="F967" s="407" t="e">
        <v>#N/A</v>
      </c>
      <c r="G967" s="407" t="e">
        <v>#N/A</v>
      </c>
      <c r="H967" s="460" t="e">
        <v>#N/A</v>
      </c>
      <c r="I967" s="460" t="e">
        <v>#N/A</v>
      </c>
      <c r="J967" s="460" t="e">
        <v>#N/A</v>
      </c>
      <c r="K967" s="460" t="e">
        <v>#N/A</v>
      </c>
      <c r="L967" s="459" t="e">
        <v>#N/A</v>
      </c>
      <c r="M967" s="340" t="s">
        <v>571</v>
      </c>
      <c r="N967" s="182"/>
      <c r="O967" t="e">
        <v>#N/A</v>
      </c>
      <c r="P967" t="e">
        <v>#N/A</v>
      </c>
    </row>
    <row r="968" spans="1:16" ht="14.4" x14ac:dyDescent="0.3">
      <c r="A968" s="339">
        <v>216728</v>
      </c>
      <c r="B968" t="e">
        <f t="shared" si="30"/>
        <v>#N/A</v>
      </c>
      <c r="C968" s="185" t="e">
        <f t="shared" si="31"/>
        <v>#N/A</v>
      </c>
      <c r="D968" s="407" t="e">
        <v>#N/A</v>
      </c>
      <c r="E968" s="407" t="e">
        <v>#N/A</v>
      </c>
      <c r="F968" s="407" t="e">
        <v>#N/A</v>
      </c>
      <c r="G968" s="407" t="e">
        <v>#N/A</v>
      </c>
      <c r="H968" s="460" t="e">
        <v>#N/A</v>
      </c>
      <c r="I968" s="460" t="e">
        <v>#N/A</v>
      </c>
      <c r="J968" s="460" t="e">
        <v>#N/A</v>
      </c>
      <c r="K968" s="460" t="e">
        <v>#N/A</v>
      </c>
      <c r="L968" s="459" t="e">
        <v>#N/A</v>
      </c>
      <c r="M968" s="340" t="s">
        <v>571</v>
      </c>
      <c r="N968" s="182"/>
      <c r="O968" t="e">
        <v>#N/A</v>
      </c>
      <c r="P968" t="e">
        <v>#N/A</v>
      </c>
    </row>
    <row r="969" spans="1:16" ht="14.4" x14ac:dyDescent="0.3">
      <c r="A969" s="339">
        <v>343374</v>
      </c>
      <c r="B969" t="str">
        <f t="shared" si="30"/>
        <v>SEVROLL element montażowy do Eden/Pax</v>
      </c>
      <c r="C969" s="185" t="e">
        <f t="shared" si="31"/>
        <v>#N/A</v>
      </c>
      <c r="D969" s="407" t="s">
        <v>3350</v>
      </c>
      <c r="E969" s="407" t="s">
        <v>5719</v>
      </c>
      <c r="F969" s="407" t="s">
        <v>5720</v>
      </c>
      <c r="G969" s="407" t="s">
        <v>5721</v>
      </c>
      <c r="H969" s="460" t="e">
        <v>#N/A</v>
      </c>
      <c r="I969" s="460" t="e">
        <v>#N/A</v>
      </c>
      <c r="J969" s="460" t="e">
        <v>#N/A</v>
      </c>
      <c r="K969" s="460" t="e">
        <v>#N/A</v>
      </c>
      <c r="L969" s="459" t="e">
        <v>#N/A</v>
      </c>
      <c r="M969" s="340" t="s">
        <v>571</v>
      </c>
      <c r="N969" s="182"/>
      <c r="O969">
        <v>19.524999999999999</v>
      </c>
      <c r="P969" t="s">
        <v>9537</v>
      </c>
    </row>
    <row r="970" spans="1:16" ht="14.4" x14ac:dyDescent="0.3">
      <c r="A970" s="339">
        <v>128850</v>
      </c>
      <c r="B970" t="str">
        <f t="shared" si="30"/>
        <v>SEVROLL element montażowy do płyty laminowanej 10mm duży</v>
      </c>
      <c r="C970" s="185">
        <f t="shared" si="31"/>
        <v>506.41131999999999</v>
      </c>
      <c r="D970" s="407" t="s">
        <v>2832</v>
      </c>
      <c r="E970" s="407" t="s">
        <v>5722</v>
      </c>
      <c r="F970" s="407" t="s">
        <v>5723</v>
      </c>
      <c r="G970" s="407" t="s">
        <v>5724</v>
      </c>
      <c r="H970" s="460">
        <v>2763.2087999999999</v>
      </c>
      <c r="I970" s="460">
        <v>110.13077</v>
      </c>
      <c r="J970" s="460">
        <v>506.41131999999999</v>
      </c>
      <c r="K970" s="460">
        <v>47232.767570000004</v>
      </c>
      <c r="L970" s="459" t="s">
        <v>539</v>
      </c>
      <c r="M970" s="340" t="s">
        <v>571</v>
      </c>
      <c r="N970" s="182"/>
      <c r="O970">
        <v>99.396000000000001</v>
      </c>
      <c r="P970" t="s">
        <v>9538</v>
      </c>
    </row>
    <row r="971" spans="1:16" ht="14.4" x14ac:dyDescent="0.3">
      <c r="A971" s="339">
        <v>234728</v>
      </c>
      <c r="B971" t="e">
        <f t="shared" si="30"/>
        <v>#N/A</v>
      </c>
      <c r="C971" s="185" t="e">
        <f t="shared" si="31"/>
        <v>#N/A</v>
      </c>
      <c r="D971" s="407" t="e">
        <v>#N/A</v>
      </c>
      <c r="E971" s="407" t="e">
        <v>#N/A</v>
      </c>
      <c r="F971" s="407" t="e">
        <v>#N/A</v>
      </c>
      <c r="G971" s="407" t="e">
        <v>#N/A</v>
      </c>
      <c r="H971" s="460" t="e">
        <v>#N/A</v>
      </c>
      <c r="I971" s="460" t="e">
        <v>#N/A</v>
      </c>
      <c r="J971" s="460" t="e">
        <v>#N/A</v>
      </c>
      <c r="K971" s="460" t="e">
        <v>#N/A</v>
      </c>
      <c r="L971" s="459" t="e">
        <v>#N/A</v>
      </c>
      <c r="M971" s="340" t="s">
        <v>571</v>
      </c>
      <c r="N971" s="182"/>
      <c r="O971" t="e">
        <v>#N/A</v>
      </c>
      <c r="P971" t="e">
        <v>#N/A</v>
      </c>
    </row>
    <row r="972" spans="1:16" ht="14.4" x14ac:dyDescent="0.3">
      <c r="A972" s="339">
        <v>304009</v>
      </c>
      <c r="B972" t="e">
        <f t="shared" si="30"/>
        <v>#N/A</v>
      </c>
      <c r="C972" s="185" t="e">
        <f t="shared" si="31"/>
        <v>#N/A</v>
      </c>
      <c r="D972" s="407" t="e">
        <v>#N/A</v>
      </c>
      <c r="E972" s="407" t="e">
        <v>#N/A</v>
      </c>
      <c r="F972" s="407" t="e">
        <v>#N/A</v>
      </c>
      <c r="G972" s="407" t="e">
        <v>#N/A</v>
      </c>
      <c r="H972" s="460" t="e">
        <v>#N/A</v>
      </c>
      <c r="I972" s="460" t="e">
        <v>#N/A</v>
      </c>
      <c r="J972" s="460" t="e">
        <v>#N/A</v>
      </c>
      <c r="K972" s="460" t="e">
        <v>#N/A</v>
      </c>
      <c r="L972" s="459" t="e">
        <v>#N/A</v>
      </c>
      <c r="M972" s="340" t="s">
        <v>571</v>
      </c>
      <c r="N972" s="182"/>
      <c r="O972" t="e">
        <v>#N/A</v>
      </c>
      <c r="P972" t="e">
        <v>#N/A</v>
      </c>
    </row>
    <row r="973" spans="1:16" ht="14.4" x14ac:dyDescent="0.3">
      <c r="A973" s="339">
        <v>236118</v>
      </c>
      <c r="B973" t="e">
        <f t="shared" si="30"/>
        <v>#N/A</v>
      </c>
      <c r="C973" s="185" t="e">
        <f t="shared" si="31"/>
        <v>#N/A</v>
      </c>
      <c r="D973" s="407" t="e">
        <v>#N/A</v>
      </c>
      <c r="E973" s="407" t="e">
        <v>#N/A</v>
      </c>
      <c r="F973" s="407" t="e">
        <v>#N/A</v>
      </c>
      <c r="G973" s="407" t="e">
        <v>#N/A</v>
      </c>
      <c r="H973" s="460" t="e">
        <v>#N/A</v>
      </c>
      <c r="I973" s="460" t="e">
        <v>#N/A</v>
      </c>
      <c r="J973" s="460" t="e">
        <v>#N/A</v>
      </c>
      <c r="K973" s="460" t="e">
        <v>#N/A</v>
      </c>
      <c r="L973" s="459" t="e">
        <v>#N/A</v>
      </c>
      <c r="M973" s="340" t="s">
        <v>571</v>
      </c>
      <c r="N973" s="182"/>
      <c r="O973" t="e">
        <v>#N/A</v>
      </c>
      <c r="P973" t="e">
        <v>#N/A</v>
      </c>
    </row>
    <row r="974" spans="1:16" ht="14.4" x14ac:dyDescent="0.3">
      <c r="A974" s="339">
        <v>236152</v>
      </c>
      <c r="B974" t="e">
        <f t="shared" si="30"/>
        <v>#N/A</v>
      </c>
      <c r="C974" s="185" t="e">
        <f t="shared" si="31"/>
        <v>#N/A</v>
      </c>
      <c r="D974" s="407" t="e">
        <v>#N/A</v>
      </c>
      <c r="E974" s="407" t="e">
        <v>#N/A</v>
      </c>
      <c r="F974" s="407" t="e">
        <v>#N/A</v>
      </c>
      <c r="G974" s="407" t="e">
        <v>#N/A</v>
      </c>
      <c r="H974" s="460" t="e">
        <v>#N/A</v>
      </c>
      <c r="I974" s="460" t="e">
        <v>#N/A</v>
      </c>
      <c r="J974" s="460" t="e">
        <v>#N/A</v>
      </c>
      <c r="K974" s="460" t="e">
        <v>#N/A</v>
      </c>
      <c r="L974" s="459" t="e">
        <v>#N/A</v>
      </c>
      <c r="M974" s="340" t="s">
        <v>571</v>
      </c>
      <c r="N974" s="182"/>
      <c r="O974" t="e">
        <v>#N/A</v>
      </c>
      <c r="P974" t="e">
        <v>#N/A</v>
      </c>
    </row>
    <row r="975" spans="1:16" ht="14.4" x14ac:dyDescent="0.3">
      <c r="A975" s="339">
        <v>128842</v>
      </c>
      <c r="B975" t="str">
        <f t="shared" si="30"/>
        <v>SEVROLL wiertło stopniowe 6,5/9,5mm</v>
      </c>
      <c r="C975" s="185">
        <f t="shared" si="31"/>
        <v>116.85122</v>
      </c>
      <c r="D975" s="407" t="s">
        <v>2831</v>
      </c>
      <c r="E975" s="407" t="s">
        <v>5703</v>
      </c>
      <c r="F975" s="407" t="s">
        <v>2831</v>
      </c>
      <c r="G975" s="407" t="s">
        <v>5704</v>
      </c>
      <c r="H975" s="460">
        <v>671.23099999999999</v>
      </c>
      <c r="I975" s="460">
        <v>26.752659999999999</v>
      </c>
      <c r="J975" s="460">
        <v>116.85122</v>
      </c>
      <c r="K975" s="460">
        <v>10898.66318</v>
      </c>
      <c r="L975" s="459" t="s">
        <v>538</v>
      </c>
      <c r="M975" s="340" t="s">
        <v>571</v>
      </c>
      <c r="N975" s="182"/>
      <c r="O975">
        <v>19.315999999999999</v>
      </c>
      <c r="P975" t="s">
        <v>9531</v>
      </c>
    </row>
    <row r="976" spans="1:16" ht="14.4" x14ac:dyDescent="0.3">
      <c r="A976" s="339">
        <v>252987</v>
      </c>
      <c r="B976" t="str">
        <f t="shared" si="30"/>
        <v>SEVROLL Simple/Blue element montażowy do płyty laminowanej 10/18mm</v>
      </c>
      <c r="C976" s="185">
        <f t="shared" si="31"/>
        <v>50.611429999999999</v>
      </c>
      <c r="D976" s="407" t="s">
        <v>3197</v>
      </c>
      <c r="E976" s="407" t="s">
        <v>5725</v>
      </c>
      <c r="F976" s="407" t="s">
        <v>5726</v>
      </c>
      <c r="G976" s="407" t="s">
        <v>5727</v>
      </c>
      <c r="H976" s="460">
        <v>273.41048000000001</v>
      </c>
      <c r="I976" s="460">
        <v>12.017609999999999</v>
      </c>
      <c r="J976" s="460">
        <v>50.611429999999999</v>
      </c>
      <c r="K976" s="460">
        <v>4298.9068900000002</v>
      </c>
      <c r="L976" s="459" t="s">
        <v>538</v>
      </c>
      <c r="M976" s="340" t="s">
        <v>571</v>
      </c>
      <c r="N976" s="182"/>
      <c r="O976">
        <v>5.3680000000000003</v>
      </c>
      <c r="P976" t="s">
        <v>9539</v>
      </c>
    </row>
    <row r="977" spans="1:16" ht="14.4" x14ac:dyDescent="0.3">
      <c r="A977" s="339">
        <v>256425</v>
      </c>
      <c r="B977" t="str">
        <f t="shared" si="30"/>
        <v>SEVROLL element montażowy do systemu Maxim mały</v>
      </c>
      <c r="C977" s="185" t="e">
        <f t="shared" si="31"/>
        <v>#N/A</v>
      </c>
      <c r="D977" s="407" t="s">
        <v>3198</v>
      </c>
      <c r="E977" s="407" t="s">
        <v>5728</v>
      </c>
      <c r="F977" s="407" t="s">
        <v>5729</v>
      </c>
      <c r="G977" s="407" t="s">
        <v>5730</v>
      </c>
      <c r="H977" s="460" t="e">
        <v>#N/A</v>
      </c>
      <c r="I977" s="460" t="e">
        <v>#N/A</v>
      </c>
      <c r="J977" s="460" t="e">
        <v>#N/A</v>
      </c>
      <c r="K977" s="460" t="e">
        <v>#N/A</v>
      </c>
      <c r="L977" s="459" t="e">
        <v>#N/A</v>
      </c>
      <c r="M977" s="340" t="s">
        <v>571</v>
      </c>
      <c r="N977" s="182"/>
      <c r="O977">
        <v>4.7409999999999997</v>
      </c>
      <c r="P977" t="s">
        <v>9540</v>
      </c>
    </row>
    <row r="978" spans="1:16" ht="14.4" x14ac:dyDescent="0.3">
      <c r="A978" s="339">
        <v>129677</v>
      </c>
      <c r="B978" t="str">
        <f t="shared" si="30"/>
        <v>SEVROLL element montażowy do płyty laminowanej 10mm mały</v>
      </c>
      <c r="C978" s="185">
        <f t="shared" si="31"/>
        <v>51.590769999999999</v>
      </c>
      <c r="D978" s="407" t="s">
        <v>2833</v>
      </c>
      <c r="E978" s="407" t="s">
        <v>5731</v>
      </c>
      <c r="F978" s="407" t="s">
        <v>5732</v>
      </c>
      <c r="G978" s="407" t="s">
        <v>5733</v>
      </c>
      <c r="H978" s="460">
        <v>276.76895000000002</v>
      </c>
      <c r="I978" s="460">
        <v>12.06592</v>
      </c>
      <c r="J978" s="460">
        <v>51.590769999999999</v>
      </c>
      <c r="K978" s="460">
        <v>4493.0024999999996</v>
      </c>
      <c r="L978" s="459" t="s">
        <v>538</v>
      </c>
      <c r="M978" s="340" t="s">
        <v>571</v>
      </c>
      <c r="N978" s="182"/>
      <c r="O978">
        <v>4.532</v>
      </c>
      <c r="P978" t="s">
        <v>9541</v>
      </c>
    </row>
    <row r="979" spans="1:16" ht="14.4" x14ac:dyDescent="0.3">
      <c r="A979" s="339">
        <v>351824</v>
      </c>
      <c r="B979" t="str">
        <f t="shared" si="30"/>
        <v>SEVROLL Micra szablon do wózków - 1 para</v>
      </c>
      <c r="C979" s="185">
        <f t="shared" si="31"/>
        <v>23.25816</v>
      </c>
      <c r="D979" s="407" t="s">
        <v>3435</v>
      </c>
      <c r="E979" s="407" t="s">
        <v>5734</v>
      </c>
      <c r="F979" s="407" t="s">
        <v>5735</v>
      </c>
      <c r="G979" s="407" t="s">
        <v>5736</v>
      </c>
      <c r="H979" s="460">
        <v>133.63460000000001</v>
      </c>
      <c r="I979" s="460">
        <v>5.3261599999999998</v>
      </c>
      <c r="J979" s="460">
        <v>23.25816</v>
      </c>
      <c r="K979" s="460">
        <v>2169.2782900000002</v>
      </c>
      <c r="L979" s="459" t="s">
        <v>538</v>
      </c>
      <c r="M979" s="340" t="s">
        <v>574</v>
      </c>
      <c r="N979" s="182"/>
      <c r="O979">
        <v>4.8070000000000004</v>
      </c>
      <c r="P979" t="s">
        <v>9542</v>
      </c>
    </row>
    <row r="980" spans="1:16" ht="14.4" x14ac:dyDescent="0.3">
      <c r="A980" s="339">
        <v>387424</v>
      </c>
      <c r="B980" t="str">
        <f t="shared" si="30"/>
        <v>SEVROLL klip do mocowanie toru dolnego Gemini</v>
      </c>
      <c r="C980" s="185">
        <f t="shared" si="31"/>
        <v>0.80537000000000003</v>
      </c>
      <c r="D980" s="407" t="s">
        <v>1264</v>
      </c>
      <c r="E980" s="407" t="s">
        <v>1265</v>
      </c>
      <c r="F980" s="407" t="s">
        <v>5737</v>
      </c>
      <c r="G980" s="407" t="s">
        <v>1266</v>
      </c>
      <c r="H980" s="460">
        <v>6.5137299999999998</v>
      </c>
      <c r="I980" s="460">
        <v>0.23419999999999999</v>
      </c>
      <c r="J980" s="460">
        <v>0.80537000000000003</v>
      </c>
      <c r="K980" s="460">
        <v>90.141710000000003</v>
      </c>
      <c r="L980" s="459" t="s">
        <v>538</v>
      </c>
      <c r="M980" s="340" t="s">
        <v>571</v>
      </c>
      <c r="O980">
        <v>0.19800000000000001</v>
      </c>
      <c r="P980" t="s">
        <v>9543</v>
      </c>
    </row>
    <row r="981" spans="1:16" ht="14.4" x14ac:dyDescent="0.3">
      <c r="A981" s="339">
        <v>283298</v>
      </c>
      <c r="B981" t="str">
        <f t="shared" si="30"/>
        <v>IF-nakładka samoprzylepna 20mm 15szt. 93336 Aluminium mat</v>
      </c>
      <c r="C981" s="185" t="e">
        <f t="shared" si="31"/>
        <v>#N/A</v>
      </c>
      <c r="D981" s="407" t="s">
        <v>8782</v>
      </c>
      <c r="E981" s="407" t="s">
        <v>8783</v>
      </c>
      <c r="F981" s="407" t="s">
        <v>8784</v>
      </c>
      <c r="G981" s="407" t="s">
        <v>8785</v>
      </c>
      <c r="H981" s="460" t="e">
        <v>#N/A</v>
      </c>
      <c r="I981" s="460" t="e">
        <v>#N/A</v>
      </c>
      <c r="J981" s="460" t="e">
        <v>#N/A</v>
      </c>
      <c r="K981" s="460" t="e">
        <v>#N/A</v>
      </c>
      <c r="L981" s="459" t="e">
        <v>#N/A</v>
      </c>
      <c r="M981" s="340" t="s">
        <v>571</v>
      </c>
      <c r="O981">
        <v>0.39672000000000002</v>
      </c>
      <c r="P981" t="s">
        <v>11201</v>
      </c>
    </row>
    <row r="982" spans="1:16" ht="14.4" x14ac:dyDescent="0.3">
      <c r="A982" s="339">
        <v>283283</v>
      </c>
      <c r="B982" t="str">
        <f t="shared" si="30"/>
        <v>IF-nakładka samoprzylepna 13mm 20szt. 06 oliwkowy metalik</v>
      </c>
      <c r="C982" s="185" t="e">
        <f t="shared" si="31"/>
        <v>#N/A</v>
      </c>
      <c r="D982" s="407" t="s">
        <v>6730</v>
      </c>
      <c r="E982" s="407" t="s">
        <v>6731</v>
      </c>
      <c r="F982" s="407" t="s">
        <v>6732</v>
      </c>
      <c r="G982" s="407" t="s">
        <v>6733</v>
      </c>
      <c r="H982" s="460" t="e">
        <v>#N/A</v>
      </c>
      <c r="I982" s="460" t="e">
        <v>#N/A</v>
      </c>
      <c r="J982" s="460" t="e">
        <v>#N/A</v>
      </c>
      <c r="K982" s="460" t="e">
        <v>#N/A</v>
      </c>
      <c r="L982" s="459" t="e">
        <v>#N/A</v>
      </c>
      <c r="M982" s="340" t="s">
        <v>571</v>
      </c>
      <c r="O982">
        <v>0.37584000000000001</v>
      </c>
      <c r="P982" t="s">
        <v>11200</v>
      </c>
    </row>
    <row r="983" spans="1:16" ht="14.4" x14ac:dyDescent="0.3">
      <c r="A983">
        <v>265343</v>
      </c>
      <c r="B983" t="str">
        <f t="shared" si="30"/>
        <v>IC-rączka Rome 10mm alu EU 5,3m srebrna</v>
      </c>
      <c r="C983" s="185" t="e">
        <f t="shared" si="31"/>
        <v>#N/A</v>
      </c>
      <c r="D983" s="407" t="s">
        <v>6773</v>
      </c>
      <c r="E983" s="407" t="s">
        <v>6774</v>
      </c>
      <c r="F983" s="407" t="s">
        <v>6775</v>
      </c>
      <c r="G983" s="407" t="s">
        <v>6776</v>
      </c>
      <c r="H983" s="460" t="e">
        <v>#N/A</v>
      </c>
      <c r="I983" s="460" t="e">
        <v>#N/A</v>
      </c>
      <c r="J983" s="460" t="e">
        <v>#N/A</v>
      </c>
      <c r="K983" s="460" t="e">
        <v>#N/A</v>
      </c>
      <c r="L983" s="459" t="e">
        <v>#N/A</v>
      </c>
      <c r="O983">
        <v>0</v>
      </c>
      <c r="P983" t="s">
        <v>9544</v>
      </c>
    </row>
    <row r="984" spans="1:16" ht="14.4" x14ac:dyDescent="0.3">
      <c r="A984">
        <v>328426</v>
      </c>
      <c r="B984" t="str">
        <f t="shared" si="30"/>
        <v>S-Softclose S30/S42 Slidix T25</v>
      </c>
      <c r="C984" s="185">
        <f t="shared" si="31"/>
        <v>81.098039999999997</v>
      </c>
      <c r="D984" s="407" t="s">
        <v>6777</v>
      </c>
      <c r="E984" s="407" t="s">
        <v>6777</v>
      </c>
      <c r="F984" s="407" t="s">
        <v>6777</v>
      </c>
      <c r="G984" s="407" t="s">
        <v>6777</v>
      </c>
      <c r="H984" s="460">
        <v>430.71</v>
      </c>
      <c r="I984" s="460">
        <v>18.382560000000002</v>
      </c>
      <c r="J984" s="460">
        <v>81.098039999999997</v>
      </c>
      <c r="K984" s="460" t="e">
        <v>#N/A</v>
      </c>
      <c r="L984" s="459" t="s">
        <v>537</v>
      </c>
      <c r="O984">
        <v>15.493169999999999</v>
      </c>
      <c r="P984" t="s">
        <v>6777</v>
      </c>
    </row>
    <row r="985" spans="1:16" ht="14.4" x14ac:dyDescent="0.3">
      <c r="A985">
        <v>328628</v>
      </c>
      <c r="B985" t="e">
        <f t="shared" si="30"/>
        <v>#N/A</v>
      </c>
      <c r="C985" s="185" t="e">
        <f t="shared" si="31"/>
        <v>#N/A</v>
      </c>
      <c r="D985" s="407" t="e">
        <v>#N/A</v>
      </c>
      <c r="E985" s="407" t="e">
        <v>#N/A</v>
      </c>
      <c r="F985" s="407" t="e">
        <v>#N/A</v>
      </c>
      <c r="G985" s="407" t="e">
        <v>#N/A</v>
      </c>
      <c r="H985" s="460" t="e">
        <v>#N/A</v>
      </c>
      <c r="I985" s="460" t="e">
        <v>#N/A</v>
      </c>
      <c r="J985" s="460" t="e">
        <v>#N/A</v>
      </c>
      <c r="K985" s="460" t="e">
        <v>#N/A</v>
      </c>
      <c r="L985" s="459" t="e">
        <v>#N/A</v>
      </c>
      <c r="O985" t="e">
        <v>#N/A</v>
      </c>
      <c r="P985" t="e">
        <v>#N/A</v>
      </c>
    </row>
    <row r="986" spans="1:16" ht="14.4" x14ac:dyDescent="0.3">
      <c r="A986">
        <v>328633</v>
      </c>
      <c r="B986" t="e">
        <f t="shared" si="30"/>
        <v>#N/A</v>
      </c>
      <c r="C986" s="185" t="e">
        <f t="shared" si="31"/>
        <v>#N/A</v>
      </c>
      <c r="D986" s="407" t="e">
        <v>#N/A</v>
      </c>
      <c r="E986" s="407" t="e">
        <v>#N/A</v>
      </c>
      <c r="F986" s="407" t="e">
        <v>#N/A</v>
      </c>
      <c r="G986" s="407" t="e">
        <v>#N/A</v>
      </c>
      <c r="H986" s="460" t="e">
        <v>#N/A</v>
      </c>
      <c r="I986" s="460" t="e">
        <v>#N/A</v>
      </c>
      <c r="J986" s="460" t="e">
        <v>#N/A</v>
      </c>
      <c r="K986" s="460" t="e">
        <v>#N/A</v>
      </c>
      <c r="L986" s="459" t="e">
        <v>#N/A</v>
      </c>
      <c r="O986" t="e">
        <v>#N/A</v>
      </c>
      <c r="P986" t="e">
        <v>#N/A</v>
      </c>
    </row>
    <row r="987" spans="1:16" ht="14.4" x14ac:dyDescent="0.3">
      <c r="A987">
        <v>328661</v>
      </c>
      <c r="B987" t="str">
        <f t="shared" si="30"/>
        <v>SEVROLL wiertło stopniowe 6,5/9,5mm (promocja)</v>
      </c>
      <c r="C987" s="185" t="e">
        <f t="shared" si="31"/>
        <v>#N/A</v>
      </c>
      <c r="D987" s="407" t="s">
        <v>1274</v>
      </c>
      <c r="E987" s="407" t="s">
        <v>1726</v>
      </c>
      <c r="F987" s="407" t="s">
        <v>68</v>
      </c>
      <c r="G987" s="407" t="s">
        <v>2310</v>
      </c>
      <c r="H987" s="460" t="e">
        <v>#N/A</v>
      </c>
      <c r="I987" s="460" t="e">
        <v>#N/A</v>
      </c>
      <c r="J987" s="460" t="e">
        <v>#N/A</v>
      </c>
      <c r="K987" s="460" t="e">
        <v>#N/A</v>
      </c>
      <c r="L987" s="459" t="e">
        <v>#N/A</v>
      </c>
      <c r="O987" t="e">
        <v>#N/A</v>
      </c>
      <c r="P987" t="e">
        <v>#N/A</v>
      </c>
    </row>
    <row r="988" spans="1:16" ht="14.4" x14ac:dyDescent="0.3">
      <c r="A988">
        <v>328662</v>
      </c>
      <c r="B988" t="str">
        <f t="shared" si="30"/>
        <v>SEVROLL element montażowy do płyty laminowanej 10mm mały (promocja)</v>
      </c>
      <c r="C988" s="185" t="e">
        <f t="shared" si="31"/>
        <v>#N/A</v>
      </c>
      <c r="D988" s="407" t="s">
        <v>1275</v>
      </c>
      <c r="E988" s="407" t="s">
        <v>1727</v>
      </c>
      <c r="F988" s="407" t="s">
        <v>68</v>
      </c>
      <c r="G988" s="407" t="s">
        <v>2311</v>
      </c>
      <c r="H988" s="460" t="e">
        <v>#N/A</v>
      </c>
      <c r="I988" s="460" t="e">
        <v>#N/A</v>
      </c>
      <c r="J988" s="460" t="e">
        <v>#N/A</v>
      </c>
      <c r="K988" s="460" t="e">
        <v>#N/A</v>
      </c>
      <c r="L988" s="459" t="e">
        <v>#N/A</v>
      </c>
      <c r="O988">
        <v>9.0640000000000001</v>
      </c>
      <c r="P988" t="s">
        <v>9545</v>
      </c>
    </row>
    <row r="989" spans="1:16" ht="14.4" x14ac:dyDescent="0.3">
      <c r="A989">
        <v>328807</v>
      </c>
      <c r="B989" t="str">
        <f t="shared" si="30"/>
        <v>S-szcotka przezciwkurzowa wysoka 4,8x12mm szary</v>
      </c>
      <c r="C989" s="185" t="e">
        <f t="shared" si="31"/>
        <v>#N/A</v>
      </c>
      <c r="D989" s="407" t="s">
        <v>6778</v>
      </c>
      <c r="E989" s="407" t="s">
        <v>6779</v>
      </c>
      <c r="F989" s="407" t="s">
        <v>6780</v>
      </c>
      <c r="G989" s="407" t="s">
        <v>6781</v>
      </c>
      <c r="H989" s="460" t="e">
        <v>#N/A</v>
      </c>
      <c r="I989" s="460" t="e">
        <v>#N/A</v>
      </c>
      <c r="J989" s="460" t="e">
        <v>#N/A</v>
      </c>
      <c r="K989" s="460" t="e">
        <v>#N/A</v>
      </c>
      <c r="L989" s="459" t="e">
        <v>#N/A</v>
      </c>
      <c r="O989">
        <v>0</v>
      </c>
      <c r="P989" t="s">
        <v>9546</v>
      </c>
    </row>
    <row r="990" spans="1:16" ht="14.4" x14ac:dyDescent="0.3">
      <c r="A990">
        <v>263201</v>
      </c>
      <c r="B990" t="str">
        <f t="shared" si="30"/>
        <v>IC-10mm Profil pionowy szeroki Classic arktyczny srebrny</v>
      </c>
      <c r="C990" s="185" t="e">
        <f t="shared" si="31"/>
        <v>#N/A</v>
      </c>
      <c r="D990" s="407" t="s">
        <v>6782</v>
      </c>
      <c r="E990" s="407" t="s">
        <v>6783</v>
      </c>
      <c r="F990" s="407" t="s">
        <v>6784</v>
      </c>
      <c r="G990" s="407" t="s">
        <v>6785</v>
      </c>
      <c r="H990" s="460" t="e">
        <v>#N/A</v>
      </c>
      <c r="I990" s="460" t="e">
        <v>#N/A</v>
      </c>
      <c r="J990" s="460" t="e">
        <v>#N/A</v>
      </c>
      <c r="K990" s="460" t="e">
        <v>#N/A</v>
      </c>
      <c r="L990" s="459" t="e">
        <v>#N/A</v>
      </c>
      <c r="O990">
        <v>0</v>
      </c>
      <c r="P990" t="s">
        <v>9547</v>
      </c>
    </row>
    <row r="991" spans="1:16" ht="14.4" x14ac:dyDescent="0.3">
      <c r="A991">
        <v>263202</v>
      </c>
      <c r="B991" t="str">
        <f t="shared" si="30"/>
        <v>IC-tor górny arktyczny srebrny 2m</v>
      </c>
      <c r="C991" s="185" t="e">
        <f t="shared" si="31"/>
        <v>#N/A</v>
      </c>
      <c r="D991" s="407" t="s">
        <v>6786</v>
      </c>
      <c r="E991" s="407" t="s">
        <v>6787</v>
      </c>
      <c r="F991" s="407" t="s">
        <v>6788</v>
      </c>
      <c r="G991" s="407" t="s">
        <v>6789</v>
      </c>
      <c r="H991" s="460" t="e">
        <v>#N/A</v>
      </c>
      <c r="I991" s="460" t="e">
        <v>#N/A</v>
      </c>
      <c r="J991" s="460" t="e">
        <v>#N/A</v>
      </c>
      <c r="K991" s="460" t="e">
        <v>#N/A</v>
      </c>
      <c r="L991" s="459" t="e">
        <v>#N/A</v>
      </c>
      <c r="O991">
        <v>0</v>
      </c>
      <c r="P991" t="s">
        <v>9548</v>
      </c>
    </row>
    <row r="992" spans="1:16" ht="14.4" x14ac:dyDescent="0.3">
      <c r="A992">
        <v>263203</v>
      </c>
      <c r="B992" t="str">
        <f t="shared" si="30"/>
        <v>IC-tor dolny arktyczny srebrny 2m</v>
      </c>
      <c r="C992" s="185" t="e">
        <f t="shared" si="31"/>
        <v>#N/A</v>
      </c>
      <c r="D992" s="407" t="s">
        <v>6790</v>
      </c>
      <c r="E992" s="407" t="s">
        <v>6791</v>
      </c>
      <c r="F992" s="407" t="s">
        <v>6792</v>
      </c>
      <c r="G992" s="407" t="s">
        <v>6793</v>
      </c>
      <c r="H992" s="460" t="e">
        <v>#N/A</v>
      </c>
      <c r="I992" s="460" t="e">
        <v>#N/A</v>
      </c>
      <c r="J992" s="460" t="e">
        <v>#N/A</v>
      </c>
      <c r="K992" s="460" t="e">
        <v>#N/A</v>
      </c>
      <c r="L992" s="459" t="e">
        <v>#N/A</v>
      </c>
      <c r="O992">
        <v>0</v>
      </c>
      <c r="P992" t="s">
        <v>9549</v>
      </c>
    </row>
    <row r="993" spans="1:16" ht="14.4" x14ac:dyDescent="0.3">
      <c r="A993">
        <v>263209</v>
      </c>
      <c r="B993" t="str">
        <f t="shared" si="30"/>
        <v>IC-10 mm Profil pionowy standard, biały, 2,75 m</v>
      </c>
      <c r="C993" s="185" t="e">
        <f t="shared" si="31"/>
        <v>#N/A</v>
      </c>
      <c r="D993" s="407" t="s">
        <v>6794</v>
      </c>
      <c r="E993" s="407" t="s">
        <v>6795</v>
      </c>
      <c r="F993" s="407" t="s">
        <v>6796</v>
      </c>
      <c r="G993" s="407" t="s">
        <v>6797</v>
      </c>
      <c r="H993" s="460" t="e">
        <v>#N/A</v>
      </c>
      <c r="I993" s="460" t="e">
        <v>#N/A</v>
      </c>
      <c r="J993" s="460" t="e">
        <v>#N/A</v>
      </c>
      <c r="K993" s="460" t="e">
        <v>#N/A</v>
      </c>
      <c r="L993" s="459" t="e">
        <v>#N/A</v>
      </c>
      <c r="O993">
        <v>0</v>
      </c>
      <c r="P993" t="s">
        <v>9550</v>
      </c>
    </row>
    <row r="994" spans="1:16" ht="14.4" x14ac:dyDescent="0.3">
      <c r="A994">
        <v>263210</v>
      </c>
      <c r="B994" t="str">
        <f t="shared" si="30"/>
        <v>IC-tor górny biały 2m</v>
      </c>
      <c r="C994" s="185" t="e">
        <f t="shared" si="31"/>
        <v>#N/A</v>
      </c>
      <c r="D994" s="407" t="s">
        <v>6798</v>
      </c>
      <c r="E994" s="407" t="s">
        <v>6799</v>
      </c>
      <c r="F994" s="407" t="s">
        <v>6800</v>
      </c>
      <c r="G994" s="407" t="s">
        <v>6801</v>
      </c>
      <c r="H994" s="460" t="e">
        <v>#N/A</v>
      </c>
      <c r="I994" s="460" t="e">
        <v>#N/A</v>
      </c>
      <c r="J994" s="460" t="e">
        <v>#N/A</v>
      </c>
      <c r="K994" s="460" t="e">
        <v>#N/A</v>
      </c>
      <c r="L994" s="459" t="e">
        <v>#N/A</v>
      </c>
      <c r="O994">
        <v>0</v>
      </c>
      <c r="P994" t="s">
        <v>9551</v>
      </c>
    </row>
    <row r="995" spans="1:16" ht="14.4" x14ac:dyDescent="0.3">
      <c r="A995">
        <v>263211</v>
      </c>
      <c r="B995" t="str">
        <f t="shared" si="30"/>
        <v>IC-tor dolny biały 2m</v>
      </c>
      <c r="C995" s="185" t="e">
        <f t="shared" si="31"/>
        <v>#N/A</v>
      </c>
      <c r="D995" s="407" t="s">
        <v>6802</v>
      </c>
      <c r="E995" s="407" t="s">
        <v>6803</v>
      </c>
      <c r="F995" s="407" t="s">
        <v>6804</v>
      </c>
      <c r="G995" s="407" t="s">
        <v>6805</v>
      </c>
      <c r="H995" s="460" t="e">
        <v>#N/A</v>
      </c>
      <c r="I995" s="460" t="e">
        <v>#N/A</v>
      </c>
      <c r="J995" s="460" t="e">
        <v>#N/A</v>
      </c>
      <c r="K995" s="460" t="e">
        <v>#N/A</v>
      </c>
      <c r="L995" s="459" t="e">
        <v>#N/A</v>
      </c>
      <c r="O995">
        <v>0</v>
      </c>
      <c r="P995" t="s">
        <v>9552</v>
      </c>
    </row>
    <row r="996" spans="1:16" ht="14.4" x14ac:dyDescent="0.3">
      <c r="A996">
        <v>263213</v>
      </c>
      <c r="B996" t="str">
        <f t="shared" si="30"/>
        <v>IC-10 mm Profil prowadzący, biały, 2,4 m</v>
      </c>
      <c r="C996" s="185" t="e">
        <f t="shared" si="31"/>
        <v>#N/A</v>
      </c>
      <c r="D996" s="407" t="s">
        <v>6806</v>
      </c>
      <c r="E996" s="407" t="s">
        <v>6807</v>
      </c>
      <c r="F996" s="407" t="s">
        <v>6808</v>
      </c>
      <c r="G996" s="407" t="s">
        <v>6809</v>
      </c>
      <c r="H996" s="460" t="e">
        <v>#N/A</v>
      </c>
      <c r="I996" s="460" t="e">
        <v>#N/A</v>
      </c>
      <c r="J996" s="460" t="e">
        <v>#N/A</v>
      </c>
      <c r="K996" s="460" t="e">
        <v>#N/A</v>
      </c>
      <c r="L996" s="459" t="e">
        <v>#N/A</v>
      </c>
      <c r="O996">
        <v>0</v>
      </c>
      <c r="P996" t="s">
        <v>9553</v>
      </c>
    </row>
    <row r="997" spans="1:16" ht="14.4" x14ac:dyDescent="0.3">
      <c r="A997">
        <v>263215</v>
      </c>
      <c r="B997" t="str">
        <f t="shared" si="30"/>
        <v>IC-10mm profil dzielący biały 2,75m</v>
      </c>
      <c r="C997" s="185" t="e">
        <f t="shared" si="31"/>
        <v>#N/A</v>
      </c>
      <c r="D997" s="407" t="s">
        <v>6810</v>
      </c>
      <c r="E997" s="407" t="s">
        <v>6811</v>
      </c>
      <c r="F997" s="407" t="s">
        <v>6812</v>
      </c>
      <c r="G997" s="407" t="s">
        <v>6813</v>
      </c>
      <c r="H997" s="460" t="e">
        <v>#N/A</v>
      </c>
      <c r="I997" s="460" t="e">
        <v>#N/A</v>
      </c>
      <c r="J997" s="460" t="e">
        <v>#N/A</v>
      </c>
      <c r="K997" s="460" t="e">
        <v>#N/A</v>
      </c>
      <c r="L997" s="459" t="e">
        <v>#N/A</v>
      </c>
      <c r="O997">
        <v>0</v>
      </c>
      <c r="P997" t="s">
        <v>9554</v>
      </c>
    </row>
    <row r="998" spans="1:16" ht="14.4" x14ac:dyDescent="0.3">
      <c r="A998">
        <v>263217</v>
      </c>
      <c r="B998" t="str">
        <f t="shared" si="30"/>
        <v>IC-pozycjoner do drzwi przesuwnych transparentny</v>
      </c>
      <c r="C998" s="185" t="e">
        <f t="shared" si="31"/>
        <v>#N/A</v>
      </c>
      <c r="D998" s="407" t="s">
        <v>6814</v>
      </c>
      <c r="E998" s="407" t="s">
        <v>6815</v>
      </c>
      <c r="F998" s="407" t="s">
        <v>6816</v>
      </c>
      <c r="G998" s="407" t="s">
        <v>6817</v>
      </c>
      <c r="H998" s="460" t="e">
        <v>#N/A</v>
      </c>
      <c r="I998" s="460" t="e">
        <v>#N/A</v>
      </c>
      <c r="J998" s="460" t="e">
        <v>#N/A</v>
      </c>
      <c r="K998" s="460" t="e">
        <v>#N/A</v>
      </c>
      <c r="L998" s="459" t="e">
        <v>#N/A</v>
      </c>
      <c r="O998">
        <v>0</v>
      </c>
      <c r="P998" t="s">
        <v>9555</v>
      </c>
    </row>
    <row r="999" spans="1:16" ht="14.4" x14ac:dyDescent="0.3">
      <c r="A999">
        <v>372424</v>
      </c>
      <c r="B999" t="str">
        <f t="shared" si="30"/>
        <v>SEVROLL klucz imbusowy SEVROLL</v>
      </c>
      <c r="C999" s="185">
        <f t="shared" si="31"/>
        <v>13.870189999999999</v>
      </c>
      <c r="D999" s="407" t="s">
        <v>1276</v>
      </c>
      <c r="E999" s="407" t="s">
        <v>1728</v>
      </c>
      <c r="F999" s="407" t="s">
        <v>2147</v>
      </c>
      <c r="G999" s="407" t="s">
        <v>2312</v>
      </c>
      <c r="H999" s="460">
        <v>112.18095</v>
      </c>
      <c r="I999" s="460">
        <v>4.0335000000000001</v>
      </c>
      <c r="J999" s="460">
        <v>13.870189999999999</v>
      </c>
      <c r="K999" s="460">
        <v>1552.4376</v>
      </c>
      <c r="L999" s="459" t="s">
        <v>539</v>
      </c>
      <c r="O999">
        <v>3.0139999999999998</v>
      </c>
      <c r="P999" t="s">
        <v>9556</v>
      </c>
    </row>
    <row r="1000" spans="1:16" ht="14.4" x14ac:dyDescent="0.3">
      <c r="A1000">
        <v>372603</v>
      </c>
      <c r="B1000" t="str">
        <f t="shared" si="30"/>
        <v>Sevroll Rączka Era 18 mm 2,70 m, biała połysk</v>
      </c>
      <c r="C1000" s="185">
        <f t="shared" si="31"/>
        <v>55.817450000000001</v>
      </c>
      <c r="D1000" s="407" t="s">
        <v>1277</v>
      </c>
      <c r="E1000" s="407" t="s">
        <v>1729</v>
      </c>
      <c r="F1000" s="407" t="s">
        <v>5738</v>
      </c>
      <c r="G1000" s="407" t="s">
        <v>5739</v>
      </c>
      <c r="H1000" s="460">
        <v>437.43795999999998</v>
      </c>
      <c r="I1000" s="460">
        <v>15.89981</v>
      </c>
      <c r="J1000" s="460">
        <v>55.817450000000001</v>
      </c>
      <c r="K1000" s="460">
        <v>6215.6025399999999</v>
      </c>
      <c r="L1000" s="459" t="s">
        <v>538</v>
      </c>
      <c r="O1000">
        <v>14.938000000000001</v>
      </c>
      <c r="P1000" t="s">
        <v>9557</v>
      </c>
    </row>
    <row r="1001" spans="1:16" ht="14.4" x14ac:dyDescent="0.3">
      <c r="A1001">
        <v>372604</v>
      </c>
      <c r="B1001" t="str">
        <f t="shared" si="30"/>
        <v>SEVROLL Rączka Vitara 2,7m srebrna</v>
      </c>
      <c r="C1001" s="185">
        <f t="shared" si="31"/>
        <v>57.018000000000001</v>
      </c>
      <c r="D1001" s="407" t="s">
        <v>1278</v>
      </c>
      <c r="E1001" s="407" t="s">
        <v>1730</v>
      </c>
      <c r="F1001" s="407" t="s">
        <v>5740</v>
      </c>
      <c r="G1001" s="407" t="s">
        <v>2313</v>
      </c>
      <c r="H1001" s="460">
        <v>404.57512000000003</v>
      </c>
      <c r="I1001" s="460">
        <v>14.54663</v>
      </c>
      <c r="J1001" s="460">
        <v>57.018000000000001</v>
      </c>
      <c r="K1001" s="460">
        <v>5598.7912200000001</v>
      </c>
      <c r="L1001" s="459" t="s">
        <v>538</v>
      </c>
      <c r="O1001">
        <v>13.772</v>
      </c>
      <c r="P1001" t="s">
        <v>9558</v>
      </c>
    </row>
    <row r="1002" spans="1:16" ht="14.4" x14ac:dyDescent="0.3">
      <c r="A1002">
        <v>372605</v>
      </c>
      <c r="B1002" t="str">
        <f t="shared" si="30"/>
        <v>SEVROLL Rączka Vitara 2,7m oliwka</v>
      </c>
      <c r="C1002" s="185">
        <f t="shared" si="31"/>
        <v>63.872399999999999</v>
      </c>
      <c r="D1002" s="407" t="s">
        <v>1279</v>
      </c>
      <c r="E1002" s="407" t="s">
        <v>1731</v>
      </c>
      <c r="F1002" s="407" t="s">
        <v>1279</v>
      </c>
      <c r="G1002" s="407" t="s">
        <v>2314</v>
      </c>
      <c r="H1002" s="460">
        <v>507.34733</v>
      </c>
      <c r="I1002" s="460">
        <v>18.24184</v>
      </c>
      <c r="J1002" s="460">
        <v>63.872399999999999</v>
      </c>
      <c r="K1002" s="460">
        <v>7021.0240599999997</v>
      </c>
      <c r="L1002" s="459" t="s">
        <v>538</v>
      </c>
      <c r="O1002">
        <v>15.422000000000001</v>
      </c>
      <c r="P1002" t="s">
        <v>9559</v>
      </c>
    </row>
    <row r="1003" spans="1:16" ht="14.4" x14ac:dyDescent="0.3">
      <c r="A1003">
        <v>372606</v>
      </c>
      <c r="B1003" t="str">
        <f t="shared" si="30"/>
        <v>SEVROLL Rączka Vitara 2,7m biały błyszczący</v>
      </c>
      <c r="C1003" s="185">
        <f t="shared" si="31"/>
        <v>74.143799999999999</v>
      </c>
      <c r="D1003" s="407" t="s">
        <v>1280</v>
      </c>
      <c r="E1003" s="407" t="s">
        <v>1732</v>
      </c>
      <c r="F1003" s="407" t="s">
        <v>5741</v>
      </c>
      <c r="G1003" s="407" t="s">
        <v>2315</v>
      </c>
      <c r="H1003" s="460">
        <v>525.44104000000004</v>
      </c>
      <c r="I1003" s="460">
        <v>18.892410000000002</v>
      </c>
      <c r="J1003" s="460">
        <v>74.143799999999999</v>
      </c>
      <c r="K1003" s="460">
        <v>7271.4172099999996</v>
      </c>
      <c r="L1003" s="459" t="s">
        <v>538</v>
      </c>
      <c r="O1003">
        <v>17.885999999999999</v>
      </c>
      <c r="P1003" t="s">
        <v>9560</v>
      </c>
    </row>
    <row r="1004" spans="1:16" ht="14.4" x14ac:dyDescent="0.3">
      <c r="A1004">
        <v>421952</v>
      </c>
      <c r="B1004" t="str">
        <f t="shared" si="30"/>
        <v>SEVROLL Elegant II tor dolny 150mm biały matowy (wzorek)</v>
      </c>
      <c r="C1004" s="185" t="e">
        <f t="shared" si="31"/>
        <v>#N/A</v>
      </c>
      <c r="D1004" s="407" t="s">
        <v>1281</v>
      </c>
      <c r="E1004" s="407" t="s">
        <v>1733</v>
      </c>
      <c r="F1004" s="407" t="s">
        <v>2148</v>
      </c>
      <c r="G1004" s="407" t="s">
        <v>2316</v>
      </c>
      <c r="H1004" s="460" t="e">
        <v>#N/A</v>
      </c>
      <c r="I1004" s="460" t="e">
        <v>#N/A</v>
      </c>
      <c r="J1004" s="460" t="e">
        <v>#N/A</v>
      </c>
      <c r="K1004" s="460" t="e">
        <v>#N/A</v>
      </c>
      <c r="L1004" s="459" t="e">
        <v>#N/A</v>
      </c>
      <c r="O1004">
        <v>0</v>
      </c>
      <c r="P1004" t="s">
        <v>9561</v>
      </c>
    </row>
    <row r="1005" spans="1:16" ht="14.4" x14ac:dyDescent="0.3">
      <c r="A1005">
        <v>421953</v>
      </c>
      <c r="B1005" t="str">
        <f t="shared" si="30"/>
        <v>SEVROLL Elegant II tor dolny 150mm czarny połysk (wzorek)</v>
      </c>
      <c r="C1005" s="185" t="e">
        <f t="shared" si="31"/>
        <v>#N/A</v>
      </c>
      <c r="D1005" s="407" t="s">
        <v>1282</v>
      </c>
      <c r="E1005" s="407" t="s">
        <v>1734</v>
      </c>
      <c r="F1005" s="407" t="s">
        <v>5742</v>
      </c>
      <c r="G1005" s="407" t="s">
        <v>2317</v>
      </c>
      <c r="H1005" s="460" t="e">
        <v>#N/A</v>
      </c>
      <c r="I1005" s="460" t="e">
        <v>#N/A</v>
      </c>
      <c r="J1005" s="460" t="e">
        <v>#N/A</v>
      </c>
      <c r="K1005" s="460" t="e">
        <v>#N/A</v>
      </c>
      <c r="L1005" s="459" t="e">
        <v>#N/A</v>
      </c>
      <c r="O1005">
        <v>0</v>
      </c>
      <c r="P1005" t="s">
        <v>9562</v>
      </c>
    </row>
    <row r="1006" spans="1:16" ht="14.4" x14ac:dyDescent="0.3">
      <c r="A1006">
        <v>421985</v>
      </c>
      <c r="B1006" t="str">
        <f t="shared" si="30"/>
        <v>HAWA 061.3070.371 Eku-Forte 480mm, RAL 7035, nośność 170 kg</v>
      </c>
      <c r="C1006" s="185" t="e">
        <f t="shared" si="31"/>
        <v>#N/A</v>
      </c>
      <c r="D1006" s="407" t="s">
        <v>6818</v>
      </c>
      <c r="E1006" s="407" t="s">
        <v>6819</v>
      </c>
      <c r="F1006" s="407" t="s">
        <v>6820</v>
      </c>
      <c r="G1006" s="407" t="s">
        <v>6821</v>
      </c>
      <c r="H1006" s="460" t="e">
        <v>#N/A</v>
      </c>
      <c r="I1006" s="460" t="e">
        <v>#N/A</v>
      </c>
      <c r="J1006" s="460" t="e">
        <v>#N/A</v>
      </c>
      <c r="K1006" s="460" t="e">
        <v>#N/A</v>
      </c>
      <c r="L1006" s="459" t="e">
        <v>#N/A</v>
      </c>
      <c r="O1006">
        <v>342.62637999999998</v>
      </c>
      <c r="P1006" t="s">
        <v>9563</v>
      </c>
    </row>
    <row r="1007" spans="1:16" ht="14.4" x14ac:dyDescent="0.3">
      <c r="A1007">
        <v>422007</v>
      </c>
      <c r="B1007" t="str">
        <f t="shared" si="30"/>
        <v>SEVROLL Elegant II tor dolny 1,7 m czarny mat</v>
      </c>
      <c r="C1007" s="185">
        <f t="shared" si="31"/>
        <v>40.698</v>
      </c>
      <c r="D1007" s="407" t="s">
        <v>1283</v>
      </c>
      <c r="E1007" s="407" t="s">
        <v>1735</v>
      </c>
      <c r="F1007" s="407" t="s">
        <v>5743</v>
      </c>
      <c r="G1007" s="407" t="s">
        <v>5744</v>
      </c>
      <c r="H1007" s="460">
        <v>301.80291999999997</v>
      </c>
      <c r="I1007" s="460">
        <v>10.851419999999999</v>
      </c>
      <c r="J1007" s="460">
        <v>40.698</v>
      </c>
      <c r="K1007" s="460">
        <v>4176.5579900000002</v>
      </c>
      <c r="L1007" s="459" t="s">
        <v>538</v>
      </c>
      <c r="O1007">
        <v>10.714</v>
      </c>
      <c r="P1007" t="s">
        <v>9564</v>
      </c>
    </row>
    <row r="1008" spans="1:16" ht="14.4" x14ac:dyDescent="0.3">
      <c r="A1008">
        <v>422008</v>
      </c>
      <c r="B1008" t="str">
        <f t="shared" si="30"/>
        <v>SEVROLL Gemini tor górny 1,7 m czarny mat</v>
      </c>
      <c r="C1008" s="185">
        <f t="shared" si="31"/>
        <v>74.653800000000004</v>
      </c>
      <c r="D1008" s="407" t="s">
        <v>1284</v>
      </c>
      <c r="E1008" s="407" t="s">
        <v>1736</v>
      </c>
      <c r="F1008" s="407" t="s">
        <v>5745</v>
      </c>
      <c r="G1008" s="407" t="s">
        <v>5746</v>
      </c>
      <c r="H1008" s="460">
        <v>511.68982999999997</v>
      </c>
      <c r="I1008" s="460">
        <v>18.39798</v>
      </c>
      <c r="J1008" s="460">
        <v>74.653800000000004</v>
      </c>
      <c r="K1008" s="460">
        <v>7081.1186600000001</v>
      </c>
      <c r="L1008" s="459" t="s">
        <v>538</v>
      </c>
      <c r="O1008">
        <v>19.492000000000001</v>
      </c>
      <c r="P1008" t="s">
        <v>9565</v>
      </c>
    </row>
    <row r="1009" spans="1:16" ht="14.4" x14ac:dyDescent="0.3">
      <c r="A1009">
        <v>422009</v>
      </c>
      <c r="B1009" t="str">
        <f t="shared" si="30"/>
        <v>SEVROLL Pax uchwyt przyklejany czarny polysk</v>
      </c>
      <c r="C1009" s="185">
        <f t="shared" si="31"/>
        <v>32.751550000000002</v>
      </c>
      <c r="D1009" s="407" t="s">
        <v>1285</v>
      </c>
      <c r="E1009" s="407" t="s">
        <v>1737</v>
      </c>
      <c r="F1009" s="407" t="s">
        <v>5747</v>
      </c>
      <c r="G1009" s="407" t="s">
        <v>2318</v>
      </c>
      <c r="H1009" s="460">
        <v>264.89177000000001</v>
      </c>
      <c r="I1009" s="460">
        <v>9.5242699999999996</v>
      </c>
      <c r="J1009" s="460">
        <v>32.751550000000002</v>
      </c>
      <c r="K1009" s="460">
        <v>3665.7557099999999</v>
      </c>
      <c r="L1009" s="459" t="s">
        <v>539</v>
      </c>
      <c r="O1009">
        <v>8.4700000000000006</v>
      </c>
      <c r="P1009" t="s">
        <v>9566</v>
      </c>
    </row>
    <row r="1010" spans="1:16" ht="14.4" x14ac:dyDescent="0.3">
      <c r="A1010">
        <v>422012</v>
      </c>
      <c r="B1010" t="str">
        <f t="shared" si="30"/>
        <v>SEVROLL Pax zaślepka do rączki (4 szt.), czarny mat</v>
      </c>
      <c r="C1010" s="185">
        <f t="shared" si="31"/>
        <v>34.68</v>
      </c>
      <c r="D1010" s="407" t="s">
        <v>1286</v>
      </c>
      <c r="E1010" s="407" t="s">
        <v>1738</v>
      </c>
      <c r="F1010" s="407" t="s">
        <v>5748</v>
      </c>
      <c r="G1010" s="407" t="s">
        <v>2319</v>
      </c>
      <c r="H1010" s="460">
        <v>267.26607999999999</v>
      </c>
      <c r="I1010" s="460">
        <v>9.0558599999999991</v>
      </c>
      <c r="J1010" s="460">
        <v>34.68</v>
      </c>
      <c r="K1010" s="460">
        <v>3567.4838199999999</v>
      </c>
      <c r="L1010" s="459" t="s">
        <v>539</v>
      </c>
      <c r="O1010">
        <v>9.3059999999999992</v>
      </c>
      <c r="P1010" t="s">
        <v>9567</v>
      </c>
    </row>
    <row r="1011" spans="1:16" ht="14.4" x14ac:dyDescent="0.3">
      <c r="A1011">
        <v>422013</v>
      </c>
      <c r="B1011" t="str">
        <f t="shared" si="30"/>
        <v>SEVROLL profil "U" do płyty laminowanej 18mm 3m czarny mat</v>
      </c>
      <c r="C1011" s="185">
        <f t="shared" si="31"/>
        <v>27.009599999999999</v>
      </c>
      <c r="D1011" s="407" t="s">
        <v>1287</v>
      </c>
      <c r="E1011" s="407" t="s">
        <v>1739</v>
      </c>
      <c r="F1011" s="407" t="s">
        <v>2149</v>
      </c>
      <c r="G1011" s="407" t="s">
        <v>2320</v>
      </c>
      <c r="H1011" s="460">
        <v>172.25201999999999</v>
      </c>
      <c r="I1011" s="460">
        <v>6.1933800000000003</v>
      </c>
      <c r="J1011" s="460">
        <v>27.009599999999999</v>
      </c>
      <c r="K1011" s="460">
        <v>2383.7428100000002</v>
      </c>
      <c r="L1011" s="459" t="s">
        <v>538</v>
      </c>
      <c r="O1011">
        <v>6.5339999999999998</v>
      </c>
      <c r="P1011" t="s">
        <v>9568</v>
      </c>
    </row>
    <row r="1012" spans="1:16" ht="14.4" x14ac:dyDescent="0.3">
      <c r="A1012">
        <v>422014</v>
      </c>
      <c r="B1012" t="str">
        <f t="shared" si="30"/>
        <v>SEVROLL 05296 kątownik Mini 17x11 mm 1,7 m czarny mat</v>
      </c>
      <c r="C1012" s="185">
        <f t="shared" si="31"/>
        <v>12.2094</v>
      </c>
      <c r="D1012" s="407" t="s">
        <v>5749</v>
      </c>
      <c r="E1012" s="407" t="s">
        <v>5750</v>
      </c>
      <c r="F1012" s="407" t="s">
        <v>5751</v>
      </c>
      <c r="G1012" s="407" t="s">
        <v>5752</v>
      </c>
      <c r="H1012" s="460">
        <v>88.297250000000005</v>
      </c>
      <c r="I1012" s="460">
        <v>3.17476</v>
      </c>
      <c r="J1012" s="460">
        <v>12.2094</v>
      </c>
      <c r="K1012" s="460">
        <v>1221.9187199999999</v>
      </c>
      <c r="L1012" s="459" t="s">
        <v>538</v>
      </c>
      <c r="O1012">
        <v>3.2559999999999998</v>
      </c>
      <c r="P1012" t="s">
        <v>9569</v>
      </c>
    </row>
    <row r="1013" spans="1:16" ht="14.4" x14ac:dyDescent="0.3">
      <c r="A1013">
        <v>422027</v>
      </c>
      <c r="B1013" t="str">
        <f t="shared" si="30"/>
        <v>SEVROLL listwa pozioma dolna 1,7m 10mm czarny mat</v>
      </c>
      <c r="C1013" s="185">
        <f t="shared" si="31"/>
        <v>70.369799999999998</v>
      </c>
      <c r="D1013" s="407" t="s">
        <v>3446</v>
      </c>
      <c r="E1013" s="407" t="s">
        <v>1740</v>
      </c>
      <c r="F1013" s="407" t="s">
        <v>5753</v>
      </c>
      <c r="G1013" s="407" t="s">
        <v>2321</v>
      </c>
      <c r="H1013" s="460">
        <v>529.78351999999995</v>
      </c>
      <c r="I1013" s="460">
        <v>19.048539999999999</v>
      </c>
      <c r="J1013" s="460">
        <v>70.369799999999998</v>
      </c>
      <c r="K1013" s="460">
        <v>7331.51181</v>
      </c>
      <c r="L1013" s="459" t="s">
        <v>538</v>
      </c>
      <c r="O1013">
        <v>18.282</v>
      </c>
      <c r="P1013" t="s">
        <v>9570</v>
      </c>
    </row>
    <row r="1014" spans="1:16" ht="14.4" x14ac:dyDescent="0.3">
      <c r="A1014">
        <v>422029</v>
      </c>
      <c r="B1014" t="str">
        <f t="shared" si="30"/>
        <v>SEVROLL listwa pozioma dolna 2,35m 10mm czarny mat</v>
      </c>
      <c r="C1014" s="185">
        <f t="shared" si="31"/>
        <v>97.287599999999998</v>
      </c>
      <c r="D1014" s="407" t="s">
        <v>3447</v>
      </c>
      <c r="E1014" s="407" t="s">
        <v>1741</v>
      </c>
      <c r="F1014" s="407" t="s">
        <v>5754</v>
      </c>
      <c r="G1014" s="407" t="s">
        <v>2322</v>
      </c>
      <c r="H1014" s="460">
        <v>731.70920999999998</v>
      </c>
      <c r="I1014" s="460">
        <v>26.30885</v>
      </c>
      <c r="J1014" s="460">
        <v>97.287599999999998</v>
      </c>
      <c r="K1014" s="460">
        <v>10125.899240000001</v>
      </c>
      <c r="L1014" s="459" t="s">
        <v>538</v>
      </c>
      <c r="O1014">
        <v>25.3</v>
      </c>
      <c r="P1014" t="s">
        <v>9571</v>
      </c>
    </row>
    <row r="1015" spans="1:16" ht="14.4" x14ac:dyDescent="0.3">
      <c r="A1015">
        <v>422030</v>
      </c>
      <c r="B1015" t="str">
        <f t="shared" si="30"/>
        <v>SEVROLL listaw pozioma dolna 3m 10mm czarny mat</v>
      </c>
      <c r="C1015" s="185">
        <f t="shared" si="31"/>
        <v>124.22580000000001</v>
      </c>
      <c r="D1015" s="407" t="s">
        <v>3448</v>
      </c>
      <c r="E1015" s="407" t="s">
        <v>1742</v>
      </c>
      <c r="F1015" s="407" t="s">
        <v>5755</v>
      </c>
      <c r="G1015" s="407" t="s">
        <v>2323</v>
      </c>
      <c r="H1015" s="460">
        <v>936.52988000000005</v>
      </c>
      <c r="I1015" s="460">
        <v>33.67324</v>
      </c>
      <c r="J1015" s="460">
        <v>124.22580000000001</v>
      </c>
      <c r="K1015" s="460">
        <v>12960.35014</v>
      </c>
      <c r="L1015" s="459" t="s">
        <v>538</v>
      </c>
      <c r="O1015">
        <v>32.317999999999998</v>
      </c>
      <c r="P1015" t="s">
        <v>9572</v>
      </c>
    </row>
    <row r="1016" spans="1:16" ht="14.4" x14ac:dyDescent="0.3">
      <c r="A1016">
        <v>422032</v>
      </c>
      <c r="B1016" t="str">
        <f t="shared" si="30"/>
        <v>SEVROLL Pax maskownica dolna 3m 4mm czarny mat</v>
      </c>
      <c r="C1016" s="185">
        <f t="shared" si="31"/>
        <v>129.11160000000001</v>
      </c>
      <c r="D1016" s="407" t="s">
        <v>3449</v>
      </c>
      <c r="E1016" s="407" t="s">
        <v>1743</v>
      </c>
      <c r="F1016" s="407" t="s">
        <v>5756</v>
      </c>
      <c r="G1016" s="407" t="s">
        <v>2324</v>
      </c>
      <c r="H1016" s="460">
        <v>940.87237000000005</v>
      </c>
      <c r="I1016" s="460">
        <v>33.82938</v>
      </c>
      <c r="J1016" s="460">
        <v>129.11160000000001</v>
      </c>
      <c r="K1016" s="460">
        <v>13020.44433</v>
      </c>
      <c r="L1016" s="459" t="s">
        <v>539</v>
      </c>
      <c r="O1016">
        <v>34.671999999999997</v>
      </c>
      <c r="P1016" t="s">
        <v>9573</v>
      </c>
    </row>
    <row r="1017" spans="1:16" ht="14.4" x14ac:dyDescent="0.3">
      <c r="A1017">
        <v>422033</v>
      </c>
      <c r="B1017" t="str">
        <f t="shared" si="30"/>
        <v>SEVROLL Pax XL maskownica dolna 3m 4mm bialy polysk</v>
      </c>
      <c r="C1017" s="185" t="e">
        <f t="shared" si="31"/>
        <v>#N/A</v>
      </c>
      <c r="D1017" s="407" t="s">
        <v>3450</v>
      </c>
      <c r="E1017" s="407" t="s">
        <v>1744</v>
      </c>
      <c r="F1017" s="407" t="s">
        <v>3560</v>
      </c>
      <c r="G1017" s="407" t="s">
        <v>2325</v>
      </c>
      <c r="H1017" s="460" t="e">
        <v>#N/A</v>
      </c>
      <c r="I1017" s="460" t="e">
        <v>#N/A</v>
      </c>
      <c r="J1017" s="460" t="e">
        <v>#N/A</v>
      </c>
      <c r="K1017" s="460" t="e">
        <v>#N/A</v>
      </c>
      <c r="L1017" s="459" t="e">
        <v>#N/A</v>
      </c>
      <c r="O1017">
        <v>38.962000000000003</v>
      </c>
      <c r="P1017" t="s">
        <v>9574</v>
      </c>
    </row>
    <row r="1018" spans="1:16" ht="14.4" x14ac:dyDescent="0.3">
      <c r="A1018">
        <v>422036</v>
      </c>
      <c r="B1018" t="str">
        <f t="shared" si="30"/>
        <v>SEVROLL Pax XL maskownica dolna 3m 4mm czarny mat</v>
      </c>
      <c r="C1018" s="185">
        <f t="shared" si="31"/>
        <v>145.11539999999999</v>
      </c>
      <c r="D1018" s="407" t="s">
        <v>3451</v>
      </c>
      <c r="E1018" s="407" t="s">
        <v>1745</v>
      </c>
      <c r="F1018" s="407" t="s">
        <v>5757</v>
      </c>
      <c r="G1018" s="407" t="s">
        <v>2326</v>
      </c>
      <c r="H1018" s="460">
        <v>1051.60581</v>
      </c>
      <c r="I1018" s="460">
        <v>37.810839999999999</v>
      </c>
      <c r="J1018" s="460">
        <v>145.11539999999999</v>
      </c>
      <c r="K1018" s="460">
        <v>14552.850409999999</v>
      </c>
      <c r="L1018" s="459" t="s">
        <v>539</v>
      </c>
      <c r="O1018">
        <v>38.962000000000003</v>
      </c>
      <c r="P1018" t="s">
        <v>9575</v>
      </c>
    </row>
    <row r="1019" spans="1:16" ht="14.4" x14ac:dyDescent="0.3">
      <c r="A1019">
        <v>422043</v>
      </c>
      <c r="B1019" t="str">
        <f t="shared" si="30"/>
        <v>SEVROLL listwa pozioma górna 1,7m czarny mat</v>
      </c>
      <c r="C1019" s="185">
        <f t="shared" si="31"/>
        <v>59.986199999999997</v>
      </c>
      <c r="D1019" s="407" t="s">
        <v>1293</v>
      </c>
      <c r="E1019" s="407" t="s">
        <v>1746</v>
      </c>
      <c r="F1019" s="407" t="s">
        <v>5758</v>
      </c>
      <c r="G1019" s="407" t="s">
        <v>2327</v>
      </c>
      <c r="H1019" s="460">
        <v>291.67043000000001</v>
      </c>
      <c r="I1019" s="460">
        <v>10.487109999999999</v>
      </c>
      <c r="J1019" s="460">
        <v>59.986199999999997</v>
      </c>
      <c r="K1019" s="460">
        <v>4036.3376800000001</v>
      </c>
      <c r="L1019" s="459" t="s">
        <v>538</v>
      </c>
      <c r="O1019">
        <v>11.33</v>
      </c>
      <c r="P1019" t="s">
        <v>9576</v>
      </c>
    </row>
    <row r="1020" spans="1:16" ht="14.4" x14ac:dyDescent="0.3">
      <c r="A1020">
        <v>283627</v>
      </c>
      <c r="B1020" t="str">
        <f t="shared" si="30"/>
        <v>IC-4mm Profil pionowy Standard klon UP 2,75m</v>
      </c>
      <c r="C1020" s="185" t="e">
        <f t="shared" si="31"/>
        <v>#N/A</v>
      </c>
      <c r="D1020" s="407" t="s">
        <v>6822</v>
      </c>
      <c r="E1020" s="407" t="s">
        <v>6823</v>
      </c>
      <c r="F1020" s="407" t="s">
        <v>6824</v>
      </c>
      <c r="G1020" s="407" t="s">
        <v>6825</v>
      </c>
      <c r="H1020" s="460" t="e">
        <v>#N/A</v>
      </c>
      <c r="I1020" s="460" t="e">
        <v>#N/A</v>
      </c>
      <c r="J1020" s="460" t="e">
        <v>#N/A</v>
      </c>
      <c r="K1020" s="460" t="e">
        <v>#N/A</v>
      </c>
      <c r="L1020" s="459" t="e">
        <v>#N/A</v>
      </c>
      <c r="O1020">
        <v>0</v>
      </c>
      <c r="P1020" t="s">
        <v>9577</v>
      </c>
    </row>
    <row r="1021" spans="1:16" ht="14.4" x14ac:dyDescent="0.3">
      <c r="A1021">
        <v>283628</v>
      </c>
      <c r="B1021" t="str">
        <f t="shared" si="30"/>
        <v>IC-Profil Standard 10 mm klon UP 2,75 m</v>
      </c>
      <c r="C1021" s="185" t="e">
        <f t="shared" si="31"/>
        <v>#N/A</v>
      </c>
      <c r="D1021" s="407" t="s">
        <v>6826</v>
      </c>
      <c r="E1021" s="407" t="s">
        <v>6827</v>
      </c>
      <c r="F1021" s="407" t="s">
        <v>6826</v>
      </c>
      <c r="G1021" s="407" t="s">
        <v>6828</v>
      </c>
      <c r="H1021" s="460" t="e">
        <v>#N/A</v>
      </c>
      <c r="I1021" s="460" t="e">
        <v>#N/A</v>
      </c>
      <c r="J1021" s="460" t="e">
        <v>#N/A</v>
      </c>
      <c r="K1021" s="460" t="e">
        <v>#N/A</v>
      </c>
      <c r="L1021" s="459" t="e">
        <v>#N/A</v>
      </c>
      <c r="O1021">
        <v>0</v>
      </c>
      <c r="P1021" t="s">
        <v>9578</v>
      </c>
    </row>
    <row r="1022" spans="1:16" ht="14.4" x14ac:dyDescent="0.3">
      <c r="A1022">
        <v>283629</v>
      </c>
      <c r="B1022" t="str">
        <f t="shared" si="30"/>
        <v>IC-tor górny klon 2m</v>
      </c>
      <c r="C1022" s="185" t="e">
        <f t="shared" si="31"/>
        <v>#N/A</v>
      </c>
      <c r="D1022" s="407" t="s">
        <v>6829</v>
      </c>
      <c r="E1022" s="407" t="s">
        <v>6830</v>
      </c>
      <c r="F1022" s="407" t="s">
        <v>6831</v>
      </c>
      <c r="G1022" s="407" t="s">
        <v>6832</v>
      </c>
      <c r="H1022" s="460" t="e">
        <v>#N/A</v>
      </c>
      <c r="I1022" s="460" t="e">
        <v>#N/A</v>
      </c>
      <c r="J1022" s="460" t="e">
        <v>#N/A</v>
      </c>
      <c r="K1022" s="460" t="e">
        <v>#N/A</v>
      </c>
      <c r="L1022" s="459" t="e">
        <v>#N/A</v>
      </c>
      <c r="O1022">
        <v>0</v>
      </c>
      <c r="P1022" t="s">
        <v>9579</v>
      </c>
    </row>
    <row r="1023" spans="1:16" ht="14.4" x14ac:dyDescent="0.3">
      <c r="A1023">
        <v>283631</v>
      </c>
      <c r="B1023" t="str">
        <f t="shared" si="30"/>
        <v>IC-tor dolny koln 2m</v>
      </c>
      <c r="C1023" s="185" t="e">
        <f t="shared" si="31"/>
        <v>#N/A</v>
      </c>
      <c r="D1023" s="407" t="s">
        <v>6833</v>
      </c>
      <c r="E1023" s="407" t="s">
        <v>6834</v>
      </c>
      <c r="F1023" s="407" t="s">
        <v>6835</v>
      </c>
      <c r="G1023" s="407" t="s">
        <v>6836</v>
      </c>
      <c r="H1023" s="460" t="e">
        <v>#N/A</v>
      </c>
      <c r="I1023" s="460" t="e">
        <v>#N/A</v>
      </c>
      <c r="J1023" s="460" t="e">
        <v>#N/A</v>
      </c>
      <c r="K1023" s="460" t="e">
        <v>#N/A</v>
      </c>
      <c r="L1023" s="459" t="e">
        <v>#N/A</v>
      </c>
      <c r="O1023">
        <v>0</v>
      </c>
      <c r="P1023" t="s">
        <v>9580</v>
      </c>
    </row>
    <row r="1024" spans="1:16" ht="14.4" x14ac:dyDescent="0.3">
      <c r="A1024">
        <v>283640</v>
      </c>
      <c r="B1024" t="str">
        <f t="shared" si="30"/>
        <v>IC-10mm Profil poziomy klon 2,4m</v>
      </c>
      <c r="C1024" s="185" t="e">
        <f t="shared" si="31"/>
        <v>#N/A</v>
      </c>
      <c r="D1024" s="407" t="s">
        <v>6837</v>
      </c>
      <c r="E1024" s="407" t="s">
        <v>6838</v>
      </c>
      <c r="F1024" s="407" t="s">
        <v>6837</v>
      </c>
      <c r="G1024" s="407" t="s">
        <v>6839</v>
      </c>
      <c r="H1024" s="460" t="e">
        <v>#N/A</v>
      </c>
      <c r="I1024" s="460" t="e">
        <v>#N/A</v>
      </c>
      <c r="J1024" s="460" t="e">
        <v>#N/A</v>
      </c>
      <c r="K1024" s="460" t="e">
        <v>#N/A</v>
      </c>
      <c r="L1024" s="459" t="e">
        <v>#N/A</v>
      </c>
      <c r="O1024">
        <v>0</v>
      </c>
      <c r="P1024" t="s">
        <v>9581</v>
      </c>
    </row>
    <row r="1025" spans="1:16" ht="14.4" x14ac:dyDescent="0.3">
      <c r="A1025">
        <v>283641</v>
      </c>
      <c r="B1025" t="str">
        <f t="shared" si="30"/>
        <v>IC-4mm Profil poziomy klon 2,4m</v>
      </c>
      <c r="C1025" s="185" t="e">
        <f t="shared" si="31"/>
        <v>#N/A</v>
      </c>
      <c r="D1025" s="407" t="s">
        <v>6840</v>
      </c>
      <c r="E1025" s="407" t="s">
        <v>6841</v>
      </c>
      <c r="F1025" s="407" t="s">
        <v>6840</v>
      </c>
      <c r="G1025" s="407" t="s">
        <v>6842</v>
      </c>
      <c r="H1025" s="460" t="e">
        <v>#N/A</v>
      </c>
      <c r="I1025" s="460" t="e">
        <v>#N/A</v>
      </c>
      <c r="J1025" s="460" t="e">
        <v>#N/A</v>
      </c>
      <c r="K1025" s="460" t="e">
        <v>#N/A</v>
      </c>
      <c r="L1025" s="459" t="e">
        <v>#N/A</v>
      </c>
      <c r="O1025">
        <v>0</v>
      </c>
      <c r="P1025" t="s">
        <v>9582</v>
      </c>
    </row>
    <row r="1026" spans="1:16" ht="14.4" x14ac:dyDescent="0.3">
      <c r="A1026">
        <v>283976</v>
      </c>
      <c r="B1026" t="e">
        <f t="shared" si="30"/>
        <v>#N/A</v>
      </c>
      <c r="C1026" s="185" t="e">
        <f t="shared" si="31"/>
        <v>#N/A</v>
      </c>
      <c r="D1026" s="407" t="e">
        <v>#N/A</v>
      </c>
      <c r="E1026" s="407" t="e">
        <v>#N/A</v>
      </c>
      <c r="F1026" s="407" t="e">
        <v>#N/A</v>
      </c>
      <c r="G1026" s="407" t="e">
        <v>#N/A</v>
      </c>
      <c r="H1026" s="460" t="e">
        <v>#N/A</v>
      </c>
      <c r="I1026" s="460" t="e">
        <v>#N/A</v>
      </c>
      <c r="J1026" s="460" t="e">
        <v>#N/A</v>
      </c>
      <c r="K1026" s="460" t="e">
        <v>#N/A</v>
      </c>
      <c r="L1026" s="459" t="e">
        <v>#N/A</v>
      </c>
      <c r="O1026" t="e">
        <v>#N/A</v>
      </c>
      <c r="P1026" t="e">
        <v>#N/A</v>
      </c>
    </row>
    <row r="1027" spans="1:16" ht="14.4" x14ac:dyDescent="0.3">
      <c r="A1027">
        <v>283982</v>
      </c>
      <c r="B1027" t="e">
        <f t="shared" si="30"/>
        <v>#N/A</v>
      </c>
      <c r="C1027" s="185" t="e">
        <f t="shared" si="31"/>
        <v>#N/A</v>
      </c>
      <c r="D1027" s="407" t="e">
        <v>#N/A</v>
      </c>
      <c r="E1027" s="407" t="e">
        <v>#N/A</v>
      </c>
      <c r="F1027" s="407" t="e">
        <v>#N/A</v>
      </c>
      <c r="G1027" s="407" t="e">
        <v>#N/A</v>
      </c>
      <c r="H1027" s="460" t="e">
        <v>#N/A</v>
      </c>
      <c r="I1027" s="460" t="e">
        <v>#N/A</v>
      </c>
      <c r="J1027" s="460" t="e">
        <v>#N/A</v>
      </c>
      <c r="K1027" s="460" t="e">
        <v>#N/A</v>
      </c>
      <c r="L1027" s="459" t="e">
        <v>#N/A</v>
      </c>
      <c r="O1027" t="e">
        <v>#N/A</v>
      </c>
      <c r="P1027" t="e">
        <v>#N/A</v>
      </c>
    </row>
    <row r="1028" spans="1:16" ht="14.4" x14ac:dyDescent="0.3">
      <c r="A1028">
        <v>283984</v>
      </c>
      <c r="B1028" t="e">
        <f t="shared" ref="B1028:B1091" si="32">IF($A$2=1,D1028,IF($A$2=2,F1028,IF($A$2=3,G1028,IF($A$2=4,E1028,IF($A$2&gt;4,P1028,"zadat jazyk")))))</f>
        <v>#N/A</v>
      </c>
      <c r="C1028" s="185" t="e">
        <f t="shared" ref="C1028:C1091" si="33">IF($A$2=1,H1028,IF($A$2=2,I1028,IF($A$2=3,J1028,IF($A$2=4,K1028,IF($A$2&gt;4,O1028,"zadat jazyk")))))</f>
        <v>#N/A</v>
      </c>
      <c r="D1028" s="407" t="e">
        <v>#N/A</v>
      </c>
      <c r="E1028" s="407" t="e">
        <v>#N/A</v>
      </c>
      <c r="F1028" s="407" t="e">
        <v>#N/A</v>
      </c>
      <c r="G1028" s="407" t="e">
        <v>#N/A</v>
      </c>
      <c r="H1028" s="460" t="e">
        <v>#N/A</v>
      </c>
      <c r="I1028" s="460" t="e">
        <v>#N/A</v>
      </c>
      <c r="J1028" s="460" t="e">
        <v>#N/A</v>
      </c>
      <c r="K1028" s="460" t="e">
        <v>#N/A</v>
      </c>
      <c r="L1028" s="459" t="e">
        <v>#N/A</v>
      </c>
      <c r="O1028" t="e">
        <v>#N/A</v>
      </c>
      <c r="P1028" t="e">
        <v>#N/A</v>
      </c>
    </row>
    <row r="1029" spans="1:16" ht="14.4" x14ac:dyDescent="0.3">
      <c r="A1029">
        <v>283986</v>
      </c>
      <c r="B1029" t="e">
        <f t="shared" si="32"/>
        <v>#N/A</v>
      </c>
      <c r="C1029" s="185" t="e">
        <f t="shared" si="33"/>
        <v>#N/A</v>
      </c>
      <c r="D1029" s="407" t="e">
        <v>#N/A</v>
      </c>
      <c r="E1029" s="407" t="e">
        <v>#N/A</v>
      </c>
      <c r="F1029" s="407" t="e">
        <v>#N/A</v>
      </c>
      <c r="G1029" s="407" t="e">
        <v>#N/A</v>
      </c>
      <c r="H1029" s="460" t="e">
        <v>#N/A</v>
      </c>
      <c r="I1029" s="460" t="e">
        <v>#N/A</v>
      </c>
      <c r="J1029" s="460" t="e">
        <v>#N/A</v>
      </c>
      <c r="K1029" s="460" t="e">
        <v>#N/A</v>
      </c>
      <c r="L1029" s="459" t="e">
        <v>#N/A</v>
      </c>
      <c r="O1029" t="e">
        <v>#N/A</v>
      </c>
      <c r="P1029" t="e">
        <v>#N/A</v>
      </c>
    </row>
    <row r="1030" spans="1:16" ht="14.4" x14ac:dyDescent="0.3">
      <c r="A1030">
        <v>283987</v>
      </c>
      <c r="B1030" t="e">
        <f t="shared" si="32"/>
        <v>#N/A</v>
      </c>
      <c r="C1030" s="185" t="e">
        <f t="shared" si="33"/>
        <v>#N/A</v>
      </c>
      <c r="D1030" s="407" t="e">
        <v>#N/A</v>
      </c>
      <c r="E1030" s="407" t="e">
        <v>#N/A</v>
      </c>
      <c r="F1030" s="407" t="e">
        <v>#N/A</v>
      </c>
      <c r="G1030" s="407" t="e">
        <v>#N/A</v>
      </c>
      <c r="H1030" s="460" t="e">
        <v>#N/A</v>
      </c>
      <c r="I1030" s="460" t="e">
        <v>#N/A</v>
      </c>
      <c r="J1030" s="460" t="e">
        <v>#N/A</v>
      </c>
      <c r="K1030" s="460" t="e">
        <v>#N/A</v>
      </c>
      <c r="L1030" s="459" t="e">
        <v>#N/A</v>
      </c>
      <c r="O1030" t="e">
        <v>#N/A</v>
      </c>
      <c r="P1030" t="e">
        <v>#N/A</v>
      </c>
    </row>
    <row r="1031" spans="1:16" ht="14.4" x14ac:dyDescent="0.3">
      <c r="A1031">
        <v>283989</v>
      </c>
      <c r="B1031" t="e">
        <f t="shared" si="32"/>
        <v>#N/A</v>
      </c>
      <c r="C1031" s="185" t="e">
        <f t="shared" si="33"/>
        <v>#N/A</v>
      </c>
      <c r="D1031" s="407" t="e">
        <v>#N/A</v>
      </c>
      <c r="E1031" s="407" t="e">
        <v>#N/A</v>
      </c>
      <c r="F1031" s="407" t="e">
        <v>#N/A</v>
      </c>
      <c r="G1031" s="407" t="e">
        <v>#N/A</v>
      </c>
      <c r="H1031" s="460" t="e">
        <v>#N/A</v>
      </c>
      <c r="I1031" s="460" t="e">
        <v>#N/A</v>
      </c>
      <c r="J1031" s="460" t="e">
        <v>#N/A</v>
      </c>
      <c r="K1031" s="460" t="e">
        <v>#N/A</v>
      </c>
      <c r="L1031" s="459" t="e">
        <v>#N/A</v>
      </c>
      <c r="O1031" t="e">
        <v>#N/A</v>
      </c>
      <c r="P1031" t="e">
        <v>#N/A</v>
      </c>
    </row>
    <row r="1032" spans="1:16" ht="14.4" x14ac:dyDescent="0.3">
      <c r="A1032">
        <v>284383</v>
      </c>
      <c r="B1032" t="str">
        <f t="shared" si="32"/>
        <v>IC-10mm Profil pionowy szeroki Classic buk</v>
      </c>
      <c r="C1032" s="185" t="e">
        <f t="shared" si="33"/>
        <v>#N/A</v>
      </c>
      <c r="D1032" s="407" t="s">
        <v>6843</v>
      </c>
      <c r="E1032" s="407" t="s">
        <v>6844</v>
      </c>
      <c r="F1032" s="407" t="s">
        <v>6845</v>
      </c>
      <c r="G1032" s="407" t="s">
        <v>6846</v>
      </c>
      <c r="H1032" s="460" t="e">
        <v>#N/A</v>
      </c>
      <c r="I1032" s="460" t="e">
        <v>#N/A</v>
      </c>
      <c r="J1032" s="460" t="e">
        <v>#N/A</v>
      </c>
      <c r="K1032" s="460" t="e">
        <v>#N/A</v>
      </c>
      <c r="L1032" s="459" t="e">
        <v>#N/A</v>
      </c>
      <c r="O1032">
        <v>0</v>
      </c>
      <c r="P1032" t="s">
        <v>9583</v>
      </c>
    </row>
    <row r="1033" spans="1:16" ht="14.4" x14ac:dyDescent="0.3">
      <c r="A1033">
        <v>284385</v>
      </c>
      <c r="B1033" t="str">
        <f t="shared" si="32"/>
        <v>IC-tor górny buk 3m</v>
      </c>
      <c r="C1033" s="185" t="e">
        <f t="shared" si="33"/>
        <v>#N/A</v>
      </c>
      <c r="D1033" s="407" t="s">
        <v>6847</v>
      </c>
      <c r="E1033" s="407" t="s">
        <v>6848</v>
      </c>
      <c r="F1033" s="407" t="s">
        <v>6849</v>
      </c>
      <c r="G1033" s="407" t="s">
        <v>6850</v>
      </c>
      <c r="H1033" s="460" t="e">
        <v>#N/A</v>
      </c>
      <c r="I1033" s="460" t="e">
        <v>#N/A</v>
      </c>
      <c r="J1033" s="460" t="e">
        <v>#N/A</v>
      </c>
      <c r="K1033" s="460" t="e">
        <v>#N/A</v>
      </c>
      <c r="L1033" s="459" t="e">
        <v>#N/A</v>
      </c>
      <c r="O1033">
        <v>0</v>
      </c>
      <c r="P1033" t="s">
        <v>9584</v>
      </c>
    </row>
    <row r="1034" spans="1:16" ht="14.4" x14ac:dyDescent="0.3">
      <c r="A1034">
        <v>284386</v>
      </c>
      <c r="B1034" t="str">
        <f t="shared" si="32"/>
        <v>IC-tor dolny buk 3m</v>
      </c>
      <c r="C1034" s="185" t="e">
        <f t="shared" si="33"/>
        <v>#N/A</v>
      </c>
      <c r="D1034" s="407" t="s">
        <v>6851</v>
      </c>
      <c r="E1034" s="407" t="s">
        <v>6852</v>
      </c>
      <c r="F1034" s="407" t="s">
        <v>6853</v>
      </c>
      <c r="G1034" s="407" t="s">
        <v>6854</v>
      </c>
      <c r="H1034" s="460" t="e">
        <v>#N/A</v>
      </c>
      <c r="I1034" s="460" t="e">
        <v>#N/A</v>
      </c>
      <c r="J1034" s="460" t="e">
        <v>#N/A</v>
      </c>
      <c r="K1034" s="460" t="e">
        <v>#N/A</v>
      </c>
      <c r="L1034" s="459" t="e">
        <v>#N/A</v>
      </c>
      <c r="O1034">
        <v>0</v>
      </c>
      <c r="P1034" t="s">
        <v>9585</v>
      </c>
    </row>
    <row r="1035" spans="1:16" ht="14.4" x14ac:dyDescent="0.3">
      <c r="A1035">
        <v>284387</v>
      </c>
      <c r="B1035" t="str">
        <f t="shared" si="32"/>
        <v>IC-10mm Profil poziomy buk 2,4m</v>
      </c>
      <c r="C1035" s="185" t="e">
        <f t="shared" si="33"/>
        <v>#N/A</v>
      </c>
      <c r="D1035" s="407" t="s">
        <v>6855</v>
      </c>
      <c r="E1035" s="407" t="s">
        <v>6856</v>
      </c>
      <c r="F1035" s="407" t="s">
        <v>6855</v>
      </c>
      <c r="G1035" s="407" t="s">
        <v>6857</v>
      </c>
      <c r="H1035" s="460" t="e">
        <v>#N/A</v>
      </c>
      <c r="I1035" s="460" t="e">
        <v>#N/A</v>
      </c>
      <c r="J1035" s="460" t="e">
        <v>#N/A</v>
      </c>
      <c r="K1035" s="460" t="e">
        <v>#N/A</v>
      </c>
      <c r="L1035" s="459" t="e">
        <v>#N/A</v>
      </c>
      <c r="O1035">
        <v>0</v>
      </c>
      <c r="P1035" t="s">
        <v>9586</v>
      </c>
    </row>
    <row r="1036" spans="1:16" ht="14.4" x14ac:dyDescent="0.3">
      <c r="A1036">
        <v>336187</v>
      </c>
      <c r="B1036" t="e">
        <f t="shared" si="32"/>
        <v>#N/A</v>
      </c>
      <c r="C1036" s="185" t="e">
        <f t="shared" si="33"/>
        <v>#N/A</v>
      </c>
      <c r="D1036" s="407" t="e">
        <v>#N/A</v>
      </c>
      <c r="E1036" s="407" t="e">
        <v>#N/A</v>
      </c>
      <c r="F1036" s="407" t="e">
        <v>#N/A</v>
      </c>
      <c r="G1036" s="407" t="e">
        <v>#N/A</v>
      </c>
      <c r="H1036" s="460" t="e">
        <v>#N/A</v>
      </c>
      <c r="I1036" s="460" t="e">
        <v>#N/A</v>
      </c>
      <c r="J1036" s="460" t="e">
        <v>#N/A</v>
      </c>
      <c r="K1036" s="460" t="e">
        <v>#N/A</v>
      </c>
      <c r="L1036" s="459" t="e">
        <v>#N/A</v>
      </c>
      <c r="O1036" t="e">
        <v>#N/A</v>
      </c>
      <c r="P1036" t="e">
        <v>#N/A</v>
      </c>
    </row>
    <row r="1037" spans="1:16" ht="14.4" x14ac:dyDescent="0.3">
      <c r="A1037">
        <v>336386</v>
      </c>
      <c r="B1037" t="e">
        <f t="shared" si="32"/>
        <v>#N/A</v>
      </c>
      <c r="C1037" s="185" t="e">
        <f t="shared" si="33"/>
        <v>#N/A</v>
      </c>
      <c r="D1037" s="407" t="e">
        <v>#N/A</v>
      </c>
      <c r="E1037" s="407" t="e">
        <v>#N/A</v>
      </c>
      <c r="F1037" s="407" t="e">
        <v>#N/A</v>
      </c>
      <c r="G1037" s="407" t="e">
        <v>#N/A</v>
      </c>
      <c r="H1037" s="460" t="e">
        <v>#N/A</v>
      </c>
      <c r="I1037" s="460" t="e">
        <v>#N/A</v>
      </c>
      <c r="J1037" s="460" t="e">
        <v>#N/A</v>
      </c>
      <c r="K1037" s="460" t="e">
        <v>#N/A</v>
      </c>
      <c r="L1037" s="459" t="e">
        <v>#N/A</v>
      </c>
      <c r="O1037" t="e">
        <v>#N/A</v>
      </c>
      <c r="P1037" t="e">
        <v>#N/A</v>
      </c>
    </row>
    <row r="1038" spans="1:16" ht="14.4" x14ac:dyDescent="0.3">
      <c r="A1038">
        <v>336387</v>
      </c>
      <c r="B1038" t="e">
        <f t="shared" si="32"/>
        <v>#N/A</v>
      </c>
      <c r="C1038" s="185" t="e">
        <f t="shared" si="33"/>
        <v>#N/A</v>
      </c>
      <c r="D1038" s="407" t="e">
        <v>#N/A</v>
      </c>
      <c r="E1038" s="407" t="e">
        <v>#N/A</v>
      </c>
      <c r="F1038" s="407" t="e">
        <v>#N/A</v>
      </c>
      <c r="G1038" s="407" t="e">
        <v>#N/A</v>
      </c>
      <c r="H1038" s="460" t="e">
        <v>#N/A</v>
      </c>
      <c r="I1038" s="460" t="e">
        <v>#N/A</v>
      </c>
      <c r="J1038" s="460" t="e">
        <v>#N/A</v>
      </c>
      <c r="K1038" s="460" t="e">
        <v>#N/A</v>
      </c>
      <c r="L1038" s="459" t="e">
        <v>#N/A</v>
      </c>
      <c r="O1038" t="e">
        <v>#N/A</v>
      </c>
      <c r="P1038" t="e">
        <v>#N/A</v>
      </c>
    </row>
    <row r="1039" spans="1:16" ht="14.4" x14ac:dyDescent="0.3">
      <c r="A1039">
        <v>336389</v>
      </c>
      <c r="B1039" t="str">
        <f t="shared" si="32"/>
        <v>S-Softclose S36 Slidix T25</v>
      </c>
      <c r="C1039" s="185" t="e">
        <f t="shared" si="33"/>
        <v>#N/A</v>
      </c>
      <c r="D1039" s="407" t="s">
        <v>6858</v>
      </c>
      <c r="E1039" s="407" t="s">
        <v>6858</v>
      </c>
      <c r="F1039" s="407" t="s">
        <v>6858</v>
      </c>
      <c r="G1039" s="407" t="s">
        <v>6858</v>
      </c>
      <c r="H1039" s="460" t="e">
        <v>#N/A</v>
      </c>
      <c r="I1039" s="460" t="e">
        <v>#N/A</v>
      </c>
      <c r="J1039" s="460" t="e">
        <v>#N/A</v>
      </c>
      <c r="K1039" s="460" t="e">
        <v>#N/A</v>
      </c>
      <c r="L1039" s="459" t="e">
        <v>#N/A</v>
      </c>
      <c r="O1039">
        <v>0</v>
      </c>
      <c r="P1039" t="s">
        <v>6858</v>
      </c>
    </row>
    <row r="1040" spans="1:16" ht="14.4" x14ac:dyDescent="0.3">
      <c r="A1040">
        <v>336390</v>
      </c>
      <c r="B1040" t="str">
        <f t="shared" si="32"/>
        <v>S-Softclose S36 Slidix T40</v>
      </c>
      <c r="C1040" s="185" t="e">
        <f t="shared" si="33"/>
        <v>#N/A</v>
      </c>
      <c r="D1040" s="407" t="s">
        <v>6859</v>
      </c>
      <c r="E1040" s="407" t="s">
        <v>6859</v>
      </c>
      <c r="F1040" s="407" t="s">
        <v>6859</v>
      </c>
      <c r="G1040" s="407" t="s">
        <v>6859</v>
      </c>
      <c r="H1040" s="460" t="e">
        <v>#N/A</v>
      </c>
      <c r="I1040" s="460" t="e">
        <v>#N/A</v>
      </c>
      <c r="J1040" s="460" t="e">
        <v>#N/A</v>
      </c>
      <c r="K1040" s="460" t="e">
        <v>#N/A</v>
      </c>
      <c r="L1040" s="459" t="e">
        <v>#N/A</v>
      </c>
      <c r="O1040">
        <v>0</v>
      </c>
      <c r="P1040" t="s">
        <v>6859</v>
      </c>
    </row>
    <row r="1041" spans="1:16" ht="14.4" x14ac:dyDescent="0.3">
      <c r="A1041">
        <v>315067</v>
      </c>
      <c r="B1041" t="e">
        <f t="shared" si="32"/>
        <v>#N/A</v>
      </c>
      <c r="C1041" s="185" t="e">
        <f t="shared" si="33"/>
        <v>#N/A</v>
      </c>
      <c r="D1041" s="407" t="e">
        <v>#N/A</v>
      </c>
      <c r="E1041" s="407" t="e">
        <v>#N/A</v>
      </c>
      <c r="F1041" s="407" t="e">
        <v>#N/A</v>
      </c>
      <c r="G1041" s="407" t="e">
        <v>#N/A</v>
      </c>
      <c r="H1041" s="460" t="e">
        <v>#N/A</v>
      </c>
      <c r="I1041" s="460" t="e">
        <v>#N/A</v>
      </c>
      <c r="J1041" s="460" t="e">
        <v>#N/A</v>
      </c>
      <c r="K1041" s="460" t="e">
        <v>#N/A</v>
      </c>
      <c r="L1041" s="459" t="e">
        <v>#N/A</v>
      </c>
      <c r="O1041" t="e">
        <v>#N/A</v>
      </c>
      <c r="P1041" t="e">
        <v>#N/A</v>
      </c>
    </row>
    <row r="1042" spans="1:16" ht="14.4" x14ac:dyDescent="0.3">
      <c r="A1042">
        <v>386764</v>
      </c>
      <c r="B1042" t="e">
        <f t="shared" si="32"/>
        <v>#N/A</v>
      </c>
      <c r="C1042" s="185" t="e">
        <f t="shared" si="33"/>
        <v>#N/A</v>
      </c>
      <c r="D1042" s="407" t="e">
        <v>#N/A</v>
      </c>
      <c r="E1042" s="407" t="e">
        <v>#N/A</v>
      </c>
      <c r="F1042" s="407" t="e">
        <v>#N/A</v>
      </c>
      <c r="G1042" s="407" t="e">
        <v>#N/A</v>
      </c>
      <c r="H1042" s="460" t="e">
        <v>#N/A</v>
      </c>
      <c r="I1042" s="460" t="e">
        <v>#N/A</v>
      </c>
      <c r="J1042" s="460" t="e">
        <v>#N/A</v>
      </c>
      <c r="K1042" s="460" t="e">
        <v>#N/A</v>
      </c>
      <c r="L1042" s="459" t="e">
        <v>#N/A</v>
      </c>
      <c r="O1042" t="e">
        <v>#N/A</v>
      </c>
      <c r="P1042" t="e">
        <v>#N/A</v>
      </c>
    </row>
    <row r="1043" spans="1:16" ht="14.4" x14ac:dyDescent="0.3">
      <c r="A1043">
        <v>387239</v>
      </c>
      <c r="B1043" t="e">
        <f t="shared" si="32"/>
        <v>#N/A</v>
      </c>
      <c r="C1043" s="185" t="e">
        <f t="shared" si="33"/>
        <v>#N/A</v>
      </c>
      <c r="D1043" s="407" t="e">
        <v>#N/A</v>
      </c>
      <c r="E1043" s="407" t="e">
        <v>#N/A</v>
      </c>
      <c r="F1043" s="407" t="e">
        <v>#N/A</v>
      </c>
      <c r="G1043" s="407" t="e">
        <v>#N/A</v>
      </c>
      <c r="H1043" s="460" t="e">
        <v>#N/A</v>
      </c>
      <c r="I1043" s="460" t="e">
        <v>#N/A</v>
      </c>
      <c r="J1043" s="460" t="e">
        <v>#N/A</v>
      </c>
      <c r="K1043" s="460" t="e">
        <v>#N/A</v>
      </c>
      <c r="L1043" s="459" t="e">
        <v>#N/A</v>
      </c>
      <c r="O1043" t="e">
        <v>#N/A</v>
      </c>
      <c r="P1043" t="e">
        <v>#N/A</v>
      </c>
    </row>
    <row r="1044" spans="1:16" ht="14.4" x14ac:dyDescent="0.3">
      <c r="A1044">
        <v>387290</v>
      </c>
      <c r="B1044" t="str">
        <f t="shared" si="32"/>
        <v/>
      </c>
      <c r="C1044" s="185" t="e">
        <f t="shared" si="33"/>
        <v>#N/A</v>
      </c>
      <c r="D1044" s="407" t="s">
        <v>6860</v>
      </c>
      <c r="E1044" s="407" t="s">
        <v>6861</v>
      </c>
      <c r="F1044" s="407" t="s">
        <v>6862</v>
      </c>
      <c r="G1044" s="407" t="s">
        <v>68</v>
      </c>
      <c r="H1044" s="460" t="e">
        <v>#N/A</v>
      </c>
      <c r="I1044" s="460" t="e">
        <v>#N/A</v>
      </c>
      <c r="J1044" s="460" t="e">
        <v>#N/A</v>
      </c>
      <c r="K1044" s="460" t="e">
        <v>#N/A</v>
      </c>
      <c r="L1044" s="459" t="e">
        <v>#N/A</v>
      </c>
      <c r="O1044">
        <v>0</v>
      </c>
      <c r="P1044" t="s">
        <v>9587</v>
      </c>
    </row>
    <row r="1045" spans="1:16" ht="14.4" x14ac:dyDescent="0.3">
      <c r="A1045">
        <v>387397</v>
      </c>
      <c r="B1045" t="str">
        <f t="shared" si="32"/>
        <v/>
      </c>
      <c r="C1045" s="185" t="e">
        <f t="shared" si="33"/>
        <v>#N/A</v>
      </c>
      <c r="D1045" s="407" t="s">
        <v>1294</v>
      </c>
      <c r="E1045" s="407" t="s">
        <v>1747</v>
      </c>
      <c r="F1045" s="407" t="s">
        <v>68</v>
      </c>
      <c r="G1045" s="407" t="s">
        <v>68</v>
      </c>
      <c r="H1045" s="460" t="e">
        <v>#N/A</v>
      </c>
      <c r="I1045" s="460" t="e">
        <v>#N/A</v>
      </c>
      <c r="J1045" s="460" t="e">
        <v>#N/A</v>
      </c>
      <c r="K1045" s="460" t="e">
        <v>#N/A</v>
      </c>
      <c r="L1045" s="459" t="e">
        <v>#N/A</v>
      </c>
      <c r="O1045">
        <v>0</v>
      </c>
      <c r="P1045" t="s">
        <v>9588</v>
      </c>
    </row>
    <row r="1046" spans="1:16" ht="14.4" x14ac:dyDescent="0.3">
      <c r="A1046">
        <v>408419</v>
      </c>
      <c r="B1046" t="e">
        <f t="shared" si="32"/>
        <v>#N/A</v>
      </c>
      <c r="C1046" s="185" t="e">
        <f t="shared" si="33"/>
        <v>#N/A</v>
      </c>
      <c r="D1046" s="407" t="e">
        <v>#N/A</v>
      </c>
      <c r="E1046" s="407" t="e">
        <v>#N/A</v>
      </c>
      <c r="F1046" s="407" t="e">
        <v>#N/A</v>
      </c>
      <c r="G1046" s="407" t="e">
        <v>#N/A</v>
      </c>
      <c r="H1046" s="460" t="e">
        <v>#N/A</v>
      </c>
      <c r="I1046" s="460" t="e">
        <v>#N/A</v>
      </c>
      <c r="J1046" s="460" t="e">
        <v>#N/A</v>
      </c>
      <c r="K1046" s="460" t="e">
        <v>#N/A</v>
      </c>
      <c r="L1046" s="459" t="e">
        <v>#N/A</v>
      </c>
      <c r="O1046" t="e">
        <v>#N/A</v>
      </c>
      <c r="P1046" t="e">
        <v>#N/A</v>
      </c>
    </row>
    <row r="1047" spans="1:16" ht="14.4" x14ac:dyDescent="0.3">
      <c r="A1047">
        <v>408420</v>
      </c>
      <c r="B1047" t="e">
        <f t="shared" si="32"/>
        <v>#N/A</v>
      </c>
      <c r="C1047" s="185" t="e">
        <f t="shared" si="33"/>
        <v>#N/A</v>
      </c>
      <c r="D1047" s="407" t="e">
        <v>#N/A</v>
      </c>
      <c r="E1047" s="407" t="e">
        <v>#N/A</v>
      </c>
      <c r="F1047" s="407" t="e">
        <v>#N/A</v>
      </c>
      <c r="G1047" s="407" t="e">
        <v>#N/A</v>
      </c>
      <c r="H1047" s="460" t="e">
        <v>#N/A</v>
      </c>
      <c r="I1047" s="460" t="e">
        <v>#N/A</v>
      </c>
      <c r="J1047" s="460" t="e">
        <v>#N/A</v>
      </c>
      <c r="K1047" s="460" t="e">
        <v>#N/A</v>
      </c>
      <c r="L1047" s="459" t="e">
        <v>#N/A</v>
      </c>
      <c r="O1047" t="e">
        <v>#N/A</v>
      </c>
      <c r="P1047" t="e">
        <v>#N/A</v>
      </c>
    </row>
    <row r="1048" spans="1:16" ht="14.4" x14ac:dyDescent="0.3">
      <c r="A1048">
        <v>299606</v>
      </c>
      <c r="B1048" t="str">
        <f t="shared" si="32"/>
        <v>S-S45 górny profil prowadzący 2,5m, srebrny</v>
      </c>
      <c r="C1048" s="185" t="e">
        <f t="shared" si="33"/>
        <v>#N/A</v>
      </c>
      <c r="D1048" s="407" t="s">
        <v>6863</v>
      </c>
      <c r="E1048" s="407" t="s">
        <v>6864</v>
      </c>
      <c r="F1048" s="407" t="s">
        <v>6865</v>
      </c>
      <c r="G1048" s="407" t="s">
        <v>6866</v>
      </c>
      <c r="H1048" s="460" t="e">
        <v>#N/A</v>
      </c>
      <c r="I1048" s="460" t="e">
        <v>#N/A</v>
      </c>
      <c r="J1048" s="460" t="e">
        <v>#N/A</v>
      </c>
      <c r="K1048" s="460" t="e">
        <v>#N/A</v>
      </c>
      <c r="L1048" s="459" t="e">
        <v>#N/A</v>
      </c>
      <c r="O1048">
        <v>54.999780000000001</v>
      </c>
      <c r="P1048" t="s">
        <v>9589</v>
      </c>
    </row>
    <row r="1049" spans="1:16" ht="14.4" x14ac:dyDescent="0.3">
      <c r="A1049">
        <v>299607</v>
      </c>
      <c r="B1049" t="str">
        <f t="shared" si="32"/>
        <v>S-profil S30/45 dolny elox 2,5m</v>
      </c>
      <c r="C1049" s="185" t="e">
        <f t="shared" si="33"/>
        <v>#N/A</v>
      </c>
      <c r="D1049" s="407" t="s">
        <v>6867</v>
      </c>
      <c r="E1049" s="407" t="s">
        <v>6868</v>
      </c>
      <c r="F1049" s="407" t="s">
        <v>6869</v>
      </c>
      <c r="G1049" s="407" t="s">
        <v>6870</v>
      </c>
      <c r="H1049" s="460" t="e">
        <v>#N/A</v>
      </c>
      <c r="I1049" s="460" t="e">
        <v>#N/A</v>
      </c>
      <c r="J1049" s="460" t="e">
        <v>#N/A</v>
      </c>
      <c r="K1049" s="460" t="e">
        <v>#N/A</v>
      </c>
      <c r="L1049" s="459" t="e">
        <v>#N/A</v>
      </c>
      <c r="O1049">
        <v>14.022729999999999</v>
      </c>
      <c r="P1049" t="s">
        <v>9590</v>
      </c>
    </row>
    <row r="1050" spans="1:16" ht="14.4" x14ac:dyDescent="0.3">
      <c r="A1050">
        <v>299608</v>
      </c>
      <c r="B1050" t="str">
        <f t="shared" si="32"/>
        <v>S-Slidix T40 tłumienie do kompletu S45 przednie</v>
      </c>
      <c r="C1050" s="185" t="e">
        <f t="shared" si="33"/>
        <v>#N/A</v>
      </c>
      <c r="D1050" s="407" t="s">
        <v>6871</v>
      </c>
      <c r="E1050" s="407" t="s">
        <v>6872</v>
      </c>
      <c r="F1050" s="407" t="s">
        <v>6873</v>
      </c>
      <c r="G1050" s="407" t="s">
        <v>6874</v>
      </c>
      <c r="H1050" s="460" t="e">
        <v>#N/A</v>
      </c>
      <c r="I1050" s="460" t="e">
        <v>#N/A</v>
      </c>
      <c r="J1050" s="460" t="e">
        <v>#N/A</v>
      </c>
      <c r="K1050" s="460" t="e">
        <v>#N/A</v>
      </c>
      <c r="L1050" s="459" t="e">
        <v>#N/A</v>
      </c>
      <c r="O1050">
        <v>13.694979999999999</v>
      </c>
      <c r="P1050" t="s">
        <v>9591</v>
      </c>
    </row>
    <row r="1051" spans="1:16" ht="14.4" x14ac:dyDescent="0.3">
      <c r="A1051">
        <v>299609</v>
      </c>
      <c r="B1051" t="str">
        <f t="shared" si="32"/>
        <v>S-Slidix T40 tłumienie do kompletu S45 tylne</v>
      </c>
      <c r="C1051" s="185" t="e">
        <f t="shared" si="33"/>
        <v>#N/A</v>
      </c>
      <c r="D1051" s="407" t="s">
        <v>6875</v>
      </c>
      <c r="E1051" s="407" t="s">
        <v>6876</v>
      </c>
      <c r="F1051" s="407" t="s">
        <v>6877</v>
      </c>
      <c r="G1051" s="407" t="s">
        <v>6878</v>
      </c>
      <c r="H1051" s="460" t="e">
        <v>#N/A</v>
      </c>
      <c r="I1051" s="460" t="e">
        <v>#N/A</v>
      </c>
      <c r="J1051" s="460" t="e">
        <v>#N/A</v>
      </c>
      <c r="K1051" s="460" t="e">
        <v>#N/A</v>
      </c>
      <c r="L1051" s="459" t="e">
        <v>#N/A</v>
      </c>
      <c r="O1051">
        <v>13.694979999999999</v>
      </c>
      <c r="P1051" t="s">
        <v>9592</v>
      </c>
    </row>
    <row r="1052" spans="1:16" ht="14.4" x14ac:dyDescent="0.3">
      <c r="A1052">
        <v>347156</v>
      </c>
      <c r="B1052" t="e">
        <f t="shared" si="32"/>
        <v>#N/A</v>
      </c>
      <c r="C1052" s="185" t="e">
        <f t="shared" si="33"/>
        <v>#N/A</v>
      </c>
      <c r="D1052" s="407" t="e">
        <v>#N/A</v>
      </c>
      <c r="E1052" s="407" t="e">
        <v>#N/A</v>
      </c>
      <c r="F1052" s="407" t="e">
        <v>#N/A</v>
      </c>
      <c r="G1052" s="407" t="e">
        <v>#N/A</v>
      </c>
      <c r="H1052" s="460" t="e">
        <v>#N/A</v>
      </c>
      <c r="I1052" s="460" t="e">
        <v>#N/A</v>
      </c>
      <c r="J1052" s="460" t="e">
        <v>#N/A</v>
      </c>
      <c r="K1052" s="460" t="e">
        <v>#N/A</v>
      </c>
      <c r="L1052" s="459" t="e">
        <v>#N/A</v>
      </c>
      <c r="O1052" t="e">
        <v>#N/A</v>
      </c>
      <c r="P1052" t="e">
        <v>#N/A</v>
      </c>
    </row>
    <row r="1053" spans="1:16" ht="14.4" x14ac:dyDescent="0.3">
      <c r="A1053">
        <v>347159</v>
      </c>
      <c r="B1053" t="e">
        <f t="shared" si="32"/>
        <v>#N/A</v>
      </c>
      <c r="C1053" s="185" t="e">
        <f t="shared" si="33"/>
        <v>#N/A</v>
      </c>
      <c r="D1053" s="407" t="e">
        <v>#N/A</v>
      </c>
      <c r="E1053" s="407" t="e">
        <v>#N/A</v>
      </c>
      <c r="F1053" s="407" t="e">
        <v>#N/A</v>
      </c>
      <c r="G1053" s="407" t="e">
        <v>#N/A</v>
      </c>
      <c r="H1053" s="460" t="e">
        <v>#N/A</v>
      </c>
      <c r="I1053" s="460" t="e">
        <v>#N/A</v>
      </c>
      <c r="J1053" s="460" t="e">
        <v>#N/A</v>
      </c>
      <c r="K1053" s="460" t="e">
        <v>#N/A</v>
      </c>
      <c r="L1053" s="459" t="e">
        <v>#N/A</v>
      </c>
      <c r="O1053" t="e">
        <v>#N/A</v>
      </c>
      <c r="P1053" t="e">
        <v>#N/A</v>
      </c>
    </row>
    <row r="1054" spans="1:16" ht="14.4" x14ac:dyDescent="0.3">
      <c r="A1054">
        <v>347160</v>
      </c>
      <c r="B1054" t="e">
        <f t="shared" si="32"/>
        <v>#N/A</v>
      </c>
      <c r="C1054" s="185" t="e">
        <f t="shared" si="33"/>
        <v>#N/A</v>
      </c>
      <c r="D1054" s="407" t="e">
        <v>#N/A</v>
      </c>
      <c r="E1054" s="407" t="e">
        <v>#N/A</v>
      </c>
      <c r="F1054" s="407" t="e">
        <v>#N/A</v>
      </c>
      <c r="G1054" s="407" t="e">
        <v>#N/A</v>
      </c>
      <c r="H1054" s="460" t="e">
        <v>#N/A</v>
      </c>
      <c r="I1054" s="460" t="e">
        <v>#N/A</v>
      </c>
      <c r="J1054" s="460" t="e">
        <v>#N/A</v>
      </c>
      <c r="K1054" s="460" t="e">
        <v>#N/A</v>
      </c>
      <c r="L1054" s="459" t="e">
        <v>#N/A</v>
      </c>
      <c r="O1054" t="e">
        <v>#N/A</v>
      </c>
      <c r="P1054" t="e">
        <v>#N/A</v>
      </c>
    </row>
    <row r="1055" spans="1:16" ht="14.4" x14ac:dyDescent="0.3">
      <c r="A1055">
        <v>347161</v>
      </c>
      <c r="B1055" t="e">
        <f t="shared" si="32"/>
        <v>#N/A</v>
      </c>
      <c r="C1055" s="185" t="e">
        <f t="shared" si="33"/>
        <v>#N/A</v>
      </c>
      <c r="D1055" s="407" t="e">
        <v>#N/A</v>
      </c>
      <c r="E1055" s="407" t="e">
        <v>#N/A</v>
      </c>
      <c r="F1055" s="407" t="e">
        <v>#N/A</v>
      </c>
      <c r="G1055" s="407" t="e">
        <v>#N/A</v>
      </c>
      <c r="H1055" s="460" t="e">
        <v>#N/A</v>
      </c>
      <c r="I1055" s="460" t="e">
        <v>#N/A</v>
      </c>
      <c r="J1055" s="460" t="e">
        <v>#N/A</v>
      </c>
      <c r="K1055" s="460" t="e">
        <v>#N/A</v>
      </c>
      <c r="L1055" s="459" t="e">
        <v>#N/A</v>
      </c>
      <c r="O1055" t="e">
        <v>#N/A</v>
      </c>
      <c r="P1055" t="e">
        <v>#N/A</v>
      </c>
    </row>
    <row r="1056" spans="1:16" ht="14.4" x14ac:dyDescent="0.3">
      <c r="A1056">
        <v>347163</v>
      </c>
      <c r="B1056" t="e">
        <f t="shared" si="32"/>
        <v>#N/A</v>
      </c>
      <c r="C1056" s="185" t="e">
        <f t="shared" si="33"/>
        <v>#N/A</v>
      </c>
      <c r="D1056" s="407" t="e">
        <v>#N/A</v>
      </c>
      <c r="E1056" s="407" t="e">
        <v>#N/A</v>
      </c>
      <c r="F1056" s="407" t="e">
        <v>#N/A</v>
      </c>
      <c r="G1056" s="407" t="e">
        <v>#N/A</v>
      </c>
      <c r="H1056" s="460" t="e">
        <v>#N/A</v>
      </c>
      <c r="I1056" s="460" t="e">
        <v>#N/A</v>
      </c>
      <c r="J1056" s="460" t="e">
        <v>#N/A</v>
      </c>
      <c r="K1056" s="460" t="e">
        <v>#N/A</v>
      </c>
      <c r="L1056" s="459" t="e">
        <v>#N/A</v>
      </c>
      <c r="O1056" t="e">
        <v>#N/A</v>
      </c>
      <c r="P1056" t="e">
        <v>#N/A</v>
      </c>
    </row>
    <row r="1057" spans="1:16" ht="14.4" x14ac:dyDescent="0.3">
      <c r="A1057">
        <v>367470</v>
      </c>
      <c r="B1057" t="e">
        <f t="shared" si="32"/>
        <v>#N/A</v>
      </c>
      <c r="C1057" s="185" t="e">
        <f t="shared" si="33"/>
        <v>#N/A</v>
      </c>
      <c r="D1057" s="407" t="e">
        <v>#N/A</v>
      </c>
      <c r="E1057" s="407" t="e">
        <v>#N/A</v>
      </c>
      <c r="F1057" s="407" t="e">
        <v>#N/A</v>
      </c>
      <c r="G1057" s="407" t="e">
        <v>#N/A</v>
      </c>
      <c r="H1057" s="460" t="e">
        <v>#N/A</v>
      </c>
      <c r="I1057" s="460" t="e">
        <v>#N/A</v>
      </c>
      <c r="J1057" s="460" t="e">
        <v>#N/A</v>
      </c>
      <c r="K1057" s="460" t="e">
        <v>#N/A</v>
      </c>
      <c r="L1057" s="459" t="e">
        <v>#N/A</v>
      </c>
      <c r="O1057" t="e">
        <v>#N/A</v>
      </c>
      <c r="P1057" t="e">
        <v>#N/A</v>
      </c>
    </row>
    <row r="1058" spans="1:16" ht="14.4" x14ac:dyDescent="0.3">
      <c r="A1058">
        <v>367472</v>
      </c>
      <c r="B1058" t="e">
        <f t="shared" si="32"/>
        <v>#N/A</v>
      </c>
      <c r="C1058" s="185" t="e">
        <f t="shared" si="33"/>
        <v>#N/A</v>
      </c>
      <c r="D1058" s="407" t="e">
        <v>#N/A</v>
      </c>
      <c r="E1058" s="407" t="e">
        <v>#N/A</v>
      </c>
      <c r="F1058" s="407" t="e">
        <v>#N/A</v>
      </c>
      <c r="G1058" s="407" t="e">
        <v>#N/A</v>
      </c>
      <c r="H1058" s="460" t="e">
        <v>#N/A</v>
      </c>
      <c r="I1058" s="460" t="e">
        <v>#N/A</v>
      </c>
      <c r="J1058" s="460" t="e">
        <v>#N/A</v>
      </c>
      <c r="K1058" s="460" t="e">
        <v>#N/A</v>
      </c>
      <c r="L1058" s="459" t="e">
        <v>#N/A</v>
      </c>
      <c r="O1058" t="e">
        <v>#N/A</v>
      </c>
      <c r="P1058" t="e">
        <v>#N/A</v>
      </c>
    </row>
    <row r="1059" spans="1:16" ht="14.4" x14ac:dyDescent="0.3">
      <c r="A1059">
        <v>367474</v>
      </c>
      <c r="B1059" t="e">
        <f t="shared" si="32"/>
        <v>#N/A</v>
      </c>
      <c r="C1059" s="185" t="e">
        <f t="shared" si="33"/>
        <v>#N/A</v>
      </c>
      <c r="D1059" s="407" t="e">
        <v>#N/A</v>
      </c>
      <c r="E1059" s="407" t="e">
        <v>#N/A</v>
      </c>
      <c r="F1059" s="407" t="e">
        <v>#N/A</v>
      </c>
      <c r="G1059" s="407" t="e">
        <v>#N/A</v>
      </c>
      <c r="H1059" s="460" t="e">
        <v>#N/A</v>
      </c>
      <c r="I1059" s="460" t="e">
        <v>#N/A</v>
      </c>
      <c r="J1059" s="460" t="e">
        <v>#N/A</v>
      </c>
      <c r="K1059" s="460" t="e">
        <v>#N/A</v>
      </c>
      <c r="L1059" s="459" t="e">
        <v>#N/A</v>
      </c>
      <c r="O1059" t="e">
        <v>#N/A</v>
      </c>
      <c r="P1059" t="e">
        <v>#N/A</v>
      </c>
    </row>
    <row r="1060" spans="1:16" ht="14.4" x14ac:dyDescent="0.3">
      <c r="A1060">
        <v>367475</v>
      </c>
      <c r="B1060" t="e">
        <f t="shared" si="32"/>
        <v>#N/A</v>
      </c>
      <c r="C1060" s="185" t="e">
        <f t="shared" si="33"/>
        <v>#N/A</v>
      </c>
      <c r="D1060" s="407" t="e">
        <v>#N/A</v>
      </c>
      <c r="E1060" s="407" t="e">
        <v>#N/A</v>
      </c>
      <c r="F1060" s="407" t="e">
        <v>#N/A</v>
      </c>
      <c r="G1060" s="407" t="e">
        <v>#N/A</v>
      </c>
      <c r="H1060" s="460" t="e">
        <v>#N/A</v>
      </c>
      <c r="I1060" s="460" t="e">
        <v>#N/A</v>
      </c>
      <c r="J1060" s="460" t="e">
        <v>#N/A</v>
      </c>
      <c r="K1060" s="460" t="e">
        <v>#N/A</v>
      </c>
      <c r="L1060" s="459" t="e">
        <v>#N/A</v>
      </c>
      <c r="O1060" t="e">
        <v>#N/A</v>
      </c>
      <c r="P1060" t="e">
        <v>#N/A</v>
      </c>
    </row>
    <row r="1061" spans="1:16" ht="14.4" x14ac:dyDescent="0.3">
      <c r="A1061">
        <v>367537</v>
      </c>
      <c r="B1061" t="str">
        <f t="shared" si="32"/>
        <v>SEVROLL Oxford rączka 2,7m srebrny</v>
      </c>
      <c r="C1061" s="185" t="e">
        <f t="shared" si="33"/>
        <v>#N/A</v>
      </c>
      <c r="D1061" s="407" t="s">
        <v>1295</v>
      </c>
      <c r="E1061" s="407" t="s">
        <v>1748</v>
      </c>
      <c r="F1061" s="407" t="s">
        <v>5759</v>
      </c>
      <c r="G1061" s="407" t="s">
        <v>2328</v>
      </c>
      <c r="H1061" s="460" t="e">
        <v>#N/A</v>
      </c>
      <c r="I1061" s="460" t="e">
        <v>#N/A</v>
      </c>
      <c r="J1061" s="460" t="e">
        <v>#N/A</v>
      </c>
      <c r="K1061" s="460" t="e">
        <v>#N/A</v>
      </c>
      <c r="L1061" s="459" t="e">
        <v>#N/A</v>
      </c>
      <c r="O1061">
        <v>25.431999999999999</v>
      </c>
      <c r="P1061" t="s">
        <v>9593</v>
      </c>
    </row>
    <row r="1062" spans="1:16" ht="14.4" x14ac:dyDescent="0.3">
      <c r="A1062">
        <v>367887</v>
      </c>
      <c r="B1062" t="e">
        <f t="shared" si="32"/>
        <v>#N/A</v>
      </c>
      <c r="C1062" s="185" t="e">
        <f t="shared" si="33"/>
        <v>#N/A</v>
      </c>
      <c r="D1062" s="407" t="e">
        <v>#N/A</v>
      </c>
      <c r="E1062" s="407" t="e">
        <v>#N/A</v>
      </c>
      <c r="F1062" s="407" t="e">
        <v>#N/A</v>
      </c>
      <c r="G1062" s="407" t="e">
        <v>#N/A</v>
      </c>
      <c r="H1062" s="460" t="e">
        <v>#N/A</v>
      </c>
      <c r="I1062" s="460" t="e">
        <v>#N/A</v>
      </c>
      <c r="J1062" s="460" t="e">
        <v>#N/A</v>
      </c>
      <c r="K1062" s="460" t="e">
        <v>#N/A</v>
      </c>
      <c r="L1062" s="459" t="e">
        <v>#N/A</v>
      </c>
      <c r="O1062" t="e">
        <v>#N/A</v>
      </c>
      <c r="P1062" t="e">
        <v>#N/A</v>
      </c>
    </row>
    <row r="1063" spans="1:16" ht="14.4" x14ac:dyDescent="0.3">
      <c r="A1063">
        <v>367888</v>
      </c>
      <c r="B1063" t="e">
        <f t="shared" si="32"/>
        <v>#N/A</v>
      </c>
      <c r="C1063" s="185" t="e">
        <f t="shared" si="33"/>
        <v>#N/A</v>
      </c>
      <c r="D1063" s="407" t="e">
        <v>#N/A</v>
      </c>
      <c r="E1063" s="407" t="e">
        <v>#N/A</v>
      </c>
      <c r="F1063" s="407" t="e">
        <v>#N/A</v>
      </c>
      <c r="G1063" s="407" t="e">
        <v>#N/A</v>
      </c>
      <c r="H1063" s="460" t="e">
        <v>#N/A</v>
      </c>
      <c r="I1063" s="460" t="e">
        <v>#N/A</v>
      </c>
      <c r="J1063" s="460" t="e">
        <v>#N/A</v>
      </c>
      <c r="K1063" s="460" t="e">
        <v>#N/A</v>
      </c>
      <c r="L1063" s="459" t="e">
        <v>#N/A</v>
      </c>
      <c r="O1063" t="e">
        <v>#N/A</v>
      </c>
      <c r="P1063" t="e">
        <v>#N/A</v>
      </c>
    </row>
    <row r="1064" spans="1:16" ht="14.4" x14ac:dyDescent="0.3">
      <c r="A1064">
        <v>367889</v>
      </c>
      <c r="B1064" t="e">
        <f t="shared" si="32"/>
        <v>#N/A</v>
      </c>
      <c r="C1064" s="185" t="e">
        <f t="shared" si="33"/>
        <v>#N/A</v>
      </c>
      <c r="D1064" s="407" t="e">
        <v>#N/A</v>
      </c>
      <c r="E1064" s="407" t="e">
        <v>#N/A</v>
      </c>
      <c r="F1064" s="407" t="e">
        <v>#N/A</v>
      </c>
      <c r="G1064" s="407" t="e">
        <v>#N/A</v>
      </c>
      <c r="H1064" s="460" t="e">
        <v>#N/A</v>
      </c>
      <c r="I1064" s="460" t="e">
        <v>#N/A</v>
      </c>
      <c r="J1064" s="460" t="e">
        <v>#N/A</v>
      </c>
      <c r="K1064" s="460" t="e">
        <v>#N/A</v>
      </c>
      <c r="L1064" s="459" t="e">
        <v>#N/A</v>
      </c>
      <c r="O1064" t="e">
        <v>#N/A</v>
      </c>
      <c r="P1064" t="e">
        <v>#N/A</v>
      </c>
    </row>
    <row r="1065" spans="1:16" ht="14.4" x14ac:dyDescent="0.3">
      <c r="A1065">
        <v>367890</v>
      </c>
      <c r="B1065" t="e">
        <f t="shared" si="32"/>
        <v>#N/A</v>
      </c>
      <c r="C1065" s="185" t="e">
        <f t="shared" si="33"/>
        <v>#N/A</v>
      </c>
      <c r="D1065" s="407" t="e">
        <v>#N/A</v>
      </c>
      <c r="E1065" s="407" t="e">
        <v>#N/A</v>
      </c>
      <c r="F1065" s="407" t="e">
        <v>#N/A</v>
      </c>
      <c r="G1065" s="407" t="e">
        <v>#N/A</v>
      </c>
      <c r="H1065" s="460" t="e">
        <v>#N/A</v>
      </c>
      <c r="I1065" s="460" t="e">
        <v>#N/A</v>
      </c>
      <c r="J1065" s="460" t="e">
        <v>#N/A</v>
      </c>
      <c r="K1065" s="460" t="e">
        <v>#N/A</v>
      </c>
      <c r="L1065" s="459" t="e">
        <v>#N/A</v>
      </c>
      <c r="O1065" t="e">
        <v>#N/A</v>
      </c>
      <c r="P1065" t="e">
        <v>#N/A</v>
      </c>
    </row>
    <row r="1066" spans="1:16" ht="14.4" x14ac:dyDescent="0.3">
      <c r="A1066">
        <v>367929</v>
      </c>
      <c r="B1066" t="str">
        <f t="shared" si="32"/>
        <v>TWIN wzmocnienie 2090mm</v>
      </c>
      <c r="C1066" s="185">
        <f t="shared" si="33"/>
        <v>27.606100000000001</v>
      </c>
      <c r="D1066" s="407" t="s">
        <v>6879</v>
      </c>
      <c r="E1066" s="407" t="s">
        <v>6880</v>
      </c>
      <c r="F1066" s="407" t="s">
        <v>6881</v>
      </c>
      <c r="G1066" s="407" t="s">
        <v>6882</v>
      </c>
      <c r="H1066" s="460">
        <v>799</v>
      </c>
      <c r="I1066" s="460">
        <v>32.700000000000003</v>
      </c>
      <c r="J1066" s="460">
        <v>27.606100000000001</v>
      </c>
      <c r="K1066" s="460" t="e">
        <v>#N/A</v>
      </c>
      <c r="L1066" s="459" t="s">
        <v>538</v>
      </c>
      <c r="O1066">
        <v>5.5899299999999998</v>
      </c>
      <c r="P1066" t="s">
        <v>9594</v>
      </c>
    </row>
    <row r="1067" spans="1:16" ht="14.4" x14ac:dyDescent="0.3">
      <c r="A1067">
        <v>368066</v>
      </c>
      <c r="B1067" t="str">
        <f t="shared" si="32"/>
        <v>SEVROLL Ekonomik rączka 2,7m srebrny</v>
      </c>
      <c r="C1067" s="185" t="e">
        <f t="shared" si="33"/>
        <v>#N/A</v>
      </c>
      <c r="D1067" s="407" t="s">
        <v>1296</v>
      </c>
      <c r="E1067" s="407" t="s">
        <v>1749</v>
      </c>
      <c r="F1067" s="407" t="s">
        <v>5760</v>
      </c>
      <c r="G1067" s="407" t="s">
        <v>2329</v>
      </c>
      <c r="H1067" s="460" t="e">
        <v>#N/A</v>
      </c>
      <c r="I1067" s="460" t="e">
        <v>#N/A</v>
      </c>
      <c r="J1067" s="460" t="e">
        <v>#N/A</v>
      </c>
      <c r="K1067" s="460" t="e">
        <v>#N/A</v>
      </c>
      <c r="L1067" s="459" t="e">
        <v>#N/A</v>
      </c>
      <c r="O1067">
        <v>11.044</v>
      </c>
      <c r="P1067" t="s">
        <v>9595</v>
      </c>
    </row>
    <row r="1068" spans="1:16" ht="14.4" x14ac:dyDescent="0.3">
      <c r="A1068">
        <v>368068</v>
      </c>
      <c r="B1068" t="str">
        <f t="shared" si="32"/>
        <v>SEVROLL Ekonomik tor górny 2m srebrny</v>
      </c>
      <c r="C1068" s="185" t="e">
        <f t="shared" si="33"/>
        <v>#N/A</v>
      </c>
      <c r="D1068" s="407" t="s">
        <v>1297</v>
      </c>
      <c r="E1068" s="407" t="s">
        <v>1750</v>
      </c>
      <c r="F1068" s="407" t="s">
        <v>5761</v>
      </c>
      <c r="G1068" s="407" t="s">
        <v>2330</v>
      </c>
      <c r="H1068" s="460" t="e">
        <v>#N/A</v>
      </c>
      <c r="I1068" s="460" t="e">
        <v>#N/A</v>
      </c>
      <c r="J1068" s="460" t="e">
        <v>#N/A</v>
      </c>
      <c r="K1068" s="460" t="e">
        <v>#N/A</v>
      </c>
      <c r="L1068" s="459" t="e">
        <v>#N/A</v>
      </c>
      <c r="O1068">
        <v>15.95</v>
      </c>
      <c r="P1068" t="s">
        <v>9596</v>
      </c>
    </row>
    <row r="1069" spans="1:16" ht="14.4" x14ac:dyDescent="0.3">
      <c r="A1069">
        <v>368069</v>
      </c>
      <c r="B1069" t="str">
        <f t="shared" si="32"/>
        <v>SEVROLL Ekonomik tor górny 3m srebrny</v>
      </c>
      <c r="C1069" s="185">
        <f t="shared" si="33"/>
        <v>89.086799999999997</v>
      </c>
      <c r="D1069" s="407" t="s">
        <v>1298</v>
      </c>
      <c r="E1069" s="407" t="s">
        <v>1751</v>
      </c>
      <c r="F1069" s="407" t="s">
        <v>5762</v>
      </c>
      <c r="G1069" s="407" t="s">
        <v>2331</v>
      </c>
      <c r="H1069" s="460">
        <v>709.99676999999997</v>
      </c>
      <c r="I1069" s="460">
        <v>25.528169999999999</v>
      </c>
      <c r="J1069" s="460">
        <v>89.086799999999997</v>
      </c>
      <c r="K1069" s="460">
        <v>9825.4274700000005</v>
      </c>
      <c r="L1069" s="459" t="s">
        <v>539</v>
      </c>
      <c r="O1069">
        <v>23.914000000000001</v>
      </c>
      <c r="P1069" t="s">
        <v>9597</v>
      </c>
    </row>
    <row r="1070" spans="1:16" ht="14.4" x14ac:dyDescent="0.3">
      <c r="A1070">
        <v>368070</v>
      </c>
      <c r="B1070" t="str">
        <f t="shared" si="32"/>
        <v>SEVROLL Ekonomik tor górny 6m srebrny</v>
      </c>
      <c r="C1070" s="185" t="e">
        <f t="shared" si="33"/>
        <v>#N/A</v>
      </c>
      <c r="D1070" s="407" t="s">
        <v>1299</v>
      </c>
      <c r="E1070" s="407" t="s">
        <v>1752</v>
      </c>
      <c r="F1070" s="407" t="s">
        <v>5763</v>
      </c>
      <c r="G1070" s="407" t="s">
        <v>2332</v>
      </c>
      <c r="H1070" s="460" t="e">
        <v>#N/A</v>
      </c>
      <c r="I1070" s="460" t="e">
        <v>#N/A</v>
      </c>
      <c r="J1070" s="460" t="e">
        <v>#N/A</v>
      </c>
      <c r="K1070" s="460" t="e">
        <v>#N/A</v>
      </c>
      <c r="L1070" s="459" t="e">
        <v>#N/A</v>
      </c>
      <c r="O1070">
        <v>47.828000000000003</v>
      </c>
      <c r="P1070" t="s">
        <v>9598</v>
      </c>
    </row>
    <row r="1071" spans="1:16" ht="14.4" x14ac:dyDescent="0.3">
      <c r="A1071">
        <v>368071</v>
      </c>
      <c r="B1071" t="str">
        <f t="shared" si="32"/>
        <v>SEVROLL Ekonomik tor dolny 2m srebrny</v>
      </c>
      <c r="C1071" s="185" t="e">
        <f t="shared" si="33"/>
        <v>#N/A</v>
      </c>
      <c r="D1071" s="407" t="s">
        <v>1300</v>
      </c>
      <c r="E1071" s="407" t="s">
        <v>1753</v>
      </c>
      <c r="F1071" s="407" t="s">
        <v>5764</v>
      </c>
      <c r="G1071" s="407" t="s">
        <v>2333</v>
      </c>
      <c r="H1071" s="460" t="e">
        <v>#N/A</v>
      </c>
      <c r="I1071" s="460" t="e">
        <v>#N/A</v>
      </c>
      <c r="J1071" s="460" t="e">
        <v>#N/A</v>
      </c>
      <c r="K1071" s="460" t="e">
        <v>#N/A</v>
      </c>
      <c r="L1071" s="459" t="e">
        <v>#N/A</v>
      </c>
      <c r="O1071">
        <v>8.7560000000000002</v>
      </c>
      <c r="P1071" t="s">
        <v>9599</v>
      </c>
    </row>
    <row r="1072" spans="1:16" ht="14.4" x14ac:dyDescent="0.3">
      <c r="A1072">
        <v>368072</v>
      </c>
      <c r="B1072" t="str">
        <f t="shared" si="32"/>
        <v>SEVROLL Ekonomik tor dolny 3m srebrny</v>
      </c>
      <c r="C1072" s="185">
        <f t="shared" si="33"/>
        <v>49.225200000000001</v>
      </c>
      <c r="D1072" s="407" t="s">
        <v>1301</v>
      </c>
      <c r="E1072" s="407" t="s">
        <v>1754</v>
      </c>
      <c r="F1072" s="407" t="s">
        <v>5765</v>
      </c>
      <c r="G1072" s="407" t="s">
        <v>2334</v>
      </c>
      <c r="H1072" s="460">
        <v>392.27140000000003</v>
      </c>
      <c r="I1072" s="460">
        <v>14.10425</v>
      </c>
      <c r="J1072" s="460">
        <v>49.225200000000001</v>
      </c>
      <c r="K1072" s="460">
        <v>5428.5237900000002</v>
      </c>
      <c r="L1072" s="459" t="s">
        <v>539</v>
      </c>
      <c r="O1072">
        <v>13.222</v>
      </c>
      <c r="P1072" t="s">
        <v>9600</v>
      </c>
    </row>
    <row r="1073" spans="1:16" ht="14.4" x14ac:dyDescent="0.3">
      <c r="A1073">
        <v>368073</v>
      </c>
      <c r="B1073" t="str">
        <f t="shared" si="32"/>
        <v>SEVROLL Ekonomik tor dolny 6m srebrny</v>
      </c>
      <c r="C1073" s="185" t="e">
        <f t="shared" si="33"/>
        <v>#N/A</v>
      </c>
      <c r="D1073" s="407" t="s">
        <v>1302</v>
      </c>
      <c r="E1073" s="407" t="s">
        <v>1755</v>
      </c>
      <c r="F1073" s="407" t="s">
        <v>5766</v>
      </c>
      <c r="G1073" s="407" t="s">
        <v>2335</v>
      </c>
      <c r="H1073" s="460" t="e">
        <v>#N/A</v>
      </c>
      <c r="I1073" s="460" t="e">
        <v>#N/A</v>
      </c>
      <c r="J1073" s="460" t="e">
        <v>#N/A</v>
      </c>
      <c r="K1073" s="460" t="e">
        <v>#N/A</v>
      </c>
      <c r="L1073" s="459" t="e">
        <v>#N/A</v>
      </c>
      <c r="O1073" t="e">
        <v>#N/A</v>
      </c>
      <c r="P1073" t="e">
        <v>#N/A</v>
      </c>
    </row>
    <row r="1074" spans="1:16" ht="14.4" x14ac:dyDescent="0.3">
      <c r="A1074">
        <v>368074</v>
      </c>
      <c r="B1074" t="e">
        <f t="shared" si="32"/>
        <v>#N/A</v>
      </c>
      <c r="C1074" s="185" t="e">
        <f t="shared" si="33"/>
        <v>#N/A</v>
      </c>
      <c r="D1074" s="407" t="e">
        <v>#N/A</v>
      </c>
      <c r="E1074" s="407" t="e">
        <v>#N/A</v>
      </c>
      <c r="F1074" s="407" t="e">
        <v>#N/A</v>
      </c>
      <c r="G1074" s="407" t="e">
        <v>#N/A</v>
      </c>
      <c r="H1074" s="460" t="e">
        <v>#N/A</v>
      </c>
      <c r="I1074" s="460" t="e">
        <v>#N/A</v>
      </c>
      <c r="J1074" s="460" t="e">
        <v>#N/A</v>
      </c>
      <c r="K1074" s="460" t="e">
        <v>#N/A</v>
      </c>
      <c r="L1074" s="459" t="e">
        <v>#N/A</v>
      </c>
      <c r="O1074" t="e">
        <v>#N/A</v>
      </c>
      <c r="P1074" t="e">
        <v>#N/A</v>
      </c>
    </row>
    <row r="1075" spans="1:16" ht="14.4" x14ac:dyDescent="0.3">
      <c r="A1075">
        <v>368077</v>
      </c>
      <c r="B1075" t="str">
        <f t="shared" si="32"/>
        <v>SEVROLL wózek górny Ekonomik Duo</v>
      </c>
      <c r="C1075" s="185">
        <f t="shared" si="33"/>
        <v>6.8120000000000003</v>
      </c>
      <c r="D1075" s="407" t="s">
        <v>1303</v>
      </c>
      <c r="E1075" s="407" t="s">
        <v>1756</v>
      </c>
      <c r="F1075" s="407" t="s">
        <v>5767</v>
      </c>
      <c r="G1075" s="407" t="s">
        <v>2336</v>
      </c>
      <c r="H1075" s="460">
        <v>59.904470000000003</v>
      </c>
      <c r="I1075" s="460">
        <v>2.02976</v>
      </c>
      <c r="J1075" s="460">
        <v>6.8120000000000003</v>
      </c>
      <c r="K1075" s="460">
        <v>799.60839999999996</v>
      </c>
      <c r="L1075" s="459" t="s">
        <v>539</v>
      </c>
      <c r="O1075">
        <v>1.804</v>
      </c>
      <c r="P1075" t="s">
        <v>9601</v>
      </c>
    </row>
    <row r="1076" spans="1:16" ht="14.4" x14ac:dyDescent="0.3">
      <c r="A1076">
        <v>368078</v>
      </c>
      <c r="B1076" t="str">
        <f t="shared" si="32"/>
        <v>SEVROLL wózek dolny Ekonomik WD10V</v>
      </c>
      <c r="C1076" s="185">
        <f t="shared" si="33"/>
        <v>11.543100000000001</v>
      </c>
      <c r="D1076" s="407" t="s">
        <v>1304</v>
      </c>
      <c r="E1076" s="407" t="s">
        <v>1757</v>
      </c>
      <c r="F1076" s="407" t="s">
        <v>5768</v>
      </c>
      <c r="G1076" s="407" t="s">
        <v>2337</v>
      </c>
      <c r="H1076" s="460">
        <v>101.37678</v>
      </c>
      <c r="I1076" s="460">
        <v>3.4349799999999999</v>
      </c>
      <c r="J1076" s="460">
        <v>11.543100000000001</v>
      </c>
      <c r="K1076" s="460">
        <v>1353.18363</v>
      </c>
      <c r="L1076" s="459" t="s">
        <v>539</v>
      </c>
      <c r="O1076">
        <v>2.9039999999999999</v>
      </c>
      <c r="P1076" t="s">
        <v>9602</v>
      </c>
    </row>
    <row r="1077" spans="1:16" ht="14.4" x14ac:dyDescent="0.3">
      <c r="A1077">
        <v>368089</v>
      </c>
      <c r="B1077" t="str">
        <f t="shared" si="32"/>
        <v>SEVROLL blachowkręt 2,9x6,5 Ekonomik (100 szt)</v>
      </c>
      <c r="C1077" s="185">
        <f t="shared" si="33"/>
        <v>8.67</v>
      </c>
      <c r="D1077" s="407" t="s">
        <v>1305</v>
      </c>
      <c r="E1077" s="407" t="s">
        <v>1758</v>
      </c>
      <c r="F1077" s="407" t="s">
        <v>5769</v>
      </c>
      <c r="G1077" s="407" t="s">
        <v>2338</v>
      </c>
      <c r="H1077" s="460">
        <v>66.048519999999996</v>
      </c>
      <c r="I1077" s="460">
        <v>2.23794</v>
      </c>
      <c r="J1077" s="460">
        <v>8.67</v>
      </c>
      <c r="K1077" s="460">
        <v>881.61941999999999</v>
      </c>
      <c r="L1077" s="459" t="s">
        <v>539</v>
      </c>
      <c r="O1077">
        <v>2.1120000000000001</v>
      </c>
      <c r="P1077" t="s">
        <v>9603</v>
      </c>
    </row>
    <row r="1078" spans="1:16" ht="14.4" x14ac:dyDescent="0.3">
      <c r="A1078">
        <v>368096</v>
      </c>
      <c r="B1078" t="str">
        <f t="shared" si="32"/>
        <v>SEVROLL Ekonomik zestaw okuć dla 2 drzwi</v>
      </c>
      <c r="C1078" s="185" t="e">
        <f t="shared" si="33"/>
        <v>#N/A</v>
      </c>
      <c r="D1078" s="407" t="s">
        <v>1306</v>
      </c>
      <c r="E1078" s="407" t="s">
        <v>1759</v>
      </c>
      <c r="F1078" s="407" t="s">
        <v>5770</v>
      </c>
      <c r="G1078" s="407" t="s">
        <v>2339</v>
      </c>
      <c r="H1078" s="460" t="e">
        <v>#N/A</v>
      </c>
      <c r="I1078" s="460" t="e">
        <v>#N/A</v>
      </c>
      <c r="J1078" s="460" t="e">
        <v>#N/A</v>
      </c>
      <c r="K1078" s="460" t="e">
        <v>#N/A</v>
      </c>
      <c r="L1078" s="459" t="e">
        <v>#N/A</v>
      </c>
      <c r="O1078">
        <v>0</v>
      </c>
      <c r="P1078" t="s">
        <v>9604</v>
      </c>
    </row>
    <row r="1079" spans="1:16" ht="14.4" x14ac:dyDescent="0.3">
      <c r="A1079">
        <v>368090</v>
      </c>
      <c r="B1079" t="str">
        <f t="shared" si="32"/>
        <v>SEVROLL wkręt Unix 3x10mm (1000 szt)</v>
      </c>
      <c r="C1079" s="185" t="e">
        <f t="shared" si="33"/>
        <v>#N/A</v>
      </c>
      <c r="D1079" s="407" t="s">
        <v>1307</v>
      </c>
      <c r="E1079" s="407" t="s">
        <v>1760</v>
      </c>
      <c r="F1079" s="407" t="s">
        <v>1307</v>
      </c>
      <c r="G1079" s="407" t="s">
        <v>2340</v>
      </c>
      <c r="H1079" s="460" t="e">
        <v>#N/A</v>
      </c>
      <c r="I1079" s="460" t="e">
        <v>#N/A</v>
      </c>
      <c r="J1079" s="460" t="e">
        <v>#N/A</v>
      </c>
      <c r="K1079" s="460" t="e">
        <v>#N/A</v>
      </c>
      <c r="L1079" s="459" t="e">
        <v>#N/A</v>
      </c>
      <c r="O1079">
        <v>11.638</v>
      </c>
      <c r="P1079" t="s">
        <v>9605</v>
      </c>
    </row>
    <row r="1080" spans="1:16" ht="14.4" x14ac:dyDescent="0.3">
      <c r="A1080">
        <v>368091</v>
      </c>
      <c r="B1080" t="str">
        <f t="shared" si="32"/>
        <v>SEVROLL wkręt Unix 3x16mm (100 szt)</v>
      </c>
      <c r="C1080" s="185" t="e">
        <f t="shared" si="33"/>
        <v>#N/A</v>
      </c>
      <c r="D1080" s="407" t="s">
        <v>1308</v>
      </c>
      <c r="E1080" s="407" t="s">
        <v>1761</v>
      </c>
      <c r="F1080" s="407" t="s">
        <v>1308</v>
      </c>
      <c r="G1080" s="407" t="s">
        <v>2341</v>
      </c>
      <c r="H1080" s="460" t="e">
        <v>#N/A</v>
      </c>
      <c r="I1080" s="460" t="e">
        <v>#N/A</v>
      </c>
      <c r="J1080" s="460" t="e">
        <v>#N/A</v>
      </c>
      <c r="K1080" s="460" t="e">
        <v>#N/A</v>
      </c>
      <c r="L1080" s="459" t="e">
        <v>#N/A</v>
      </c>
      <c r="O1080">
        <v>1.1439999999999999</v>
      </c>
      <c r="P1080" t="s">
        <v>9606</v>
      </c>
    </row>
    <row r="1081" spans="1:16" ht="14.4" x14ac:dyDescent="0.3">
      <c r="A1081">
        <v>368092</v>
      </c>
      <c r="B1081" t="str">
        <f t="shared" si="32"/>
        <v>SEVROLL podkładka okrągła 3x6mm (100 szt)</v>
      </c>
      <c r="C1081" s="185">
        <f t="shared" si="33"/>
        <v>17.718050000000002</v>
      </c>
      <c r="D1081" s="407" t="s">
        <v>1309</v>
      </c>
      <c r="E1081" s="407" t="s">
        <v>1762</v>
      </c>
      <c r="F1081" s="407" t="s">
        <v>5771</v>
      </c>
      <c r="G1081" s="407" t="s">
        <v>2342</v>
      </c>
      <c r="H1081" s="460">
        <v>143.30211</v>
      </c>
      <c r="I1081" s="460">
        <v>5.1524700000000001</v>
      </c>
      <c r="J1081" s="460">
        <v>17.718050000000002</v>
      </c>
      <c r="K1081" s="460">
        <v>1983.11376</v>
      </c>
      <c r="L1081" s="459" t="s">
        <v>539</v>
      </c>
      <c r="O1081">
        <v>4.3559999999999999</v>
      </c>
      <c r="P1081" t="s">
        <v>9607</v>
      </c>
    </row>
    <row r="1082" spans="1:16" ht="14.4" x14ac:dyDescent="0.3">
      <c r="A1082">
        <v>368097</v>
      </c>
      <c r="B1082" t="str">
        <f t="shared" si="32"/>
        <v>SEVROLL Ekonomik zestaw okuć dla 3 drzwi</v>
      </c>
      <c r="C1082" s="185" t="e">
        <f t="shared" si="33"/>
        <v>#N/A</v>
      </c>
      <c r="D1082" s="407" t="s">
        <v>1310</v>
      </c>
      <c r="E1082" s="407" t="s">
        <v>1763</v>
      </c>
      <c r="F1082" s="407" t="s">
        <v>5772</v>
      </c>
      <c r="G1082" s="407" t="s">
        <v>2343</v>
      </c>
      <c r="H1082" s="460" t="e">
        <v>#N/A</v>
      </c>
      <c r="I1082" s="460" t="e">
        <v>#N/A</v>
      </c>
      <c r="J1082" s="460" t="e">
        <v>#N/A</v>
      </c>
      <c r="K1082" s="460" t="e">
        <v>#N/A</v>
      </c>
      <c r="L1082" s="459" t="e">
        <v>#N/A</v>
      </c>
      <c r="O1082" t="e">
        <v>#N/A</v>
      </c>
      <c r="P1082" t="e">
        <v>#N/A</v>
      </c>
    </row>
    <row r="1083" spans="1:16" ht="14.4" x14ac:dyDescent="0.3">
      <c r="A1083">
        <v>368443</v>
      </c>
      <c r="B1083" t="str">
        <f t="shared" si="32"/>
        <v>SEVROLL Herkules plus tor górny 3 m alu</v>
      </c>
      <c r="C1083" s="185" t="e">
        <f t="shared" si="33"/>
        <v>#N/A</v>
      </c>
      <c r="D1083" s="407" t="s">
        <v>1311</v>
      </c>
      <c r="E1083" s="407" t="s">
        <v>1764</v>
      </c>
      <c r="F1083" s="407" t="s">
        <v>5773</v>
      </c>
      <c r="G1083" s="407" t="s">
        <v>2344</v>
      </c>
      <c r="H1083" s="460" t="e">
        <v>#N/A</v>
      </c>
      <c r="I1083" s="460" t="e">
        <v>#N/A</v>
      </c>
      <c r="J1083" s="460" t="e">
        <v>#N/A</v>
      </c>
      <c r="K1083" s="460" t="e">
        <v>#N/A</v>
      </c>
      <c r="L1083" s="459" t="e">
        <v>#N/A</v>
      </c>
      <c r="O1083" t="e">
        <v>#N/A</v>
      </c>
      <c r="P1083" t="e">
        <v>#N/A</v>
      </c>
    </row>
    <row r="1084" spans="1:16" ht="14.4" x14ac:dyDescent="0.3">
      <c r="A1084">
        <v>313412</v>
      </c>
      <c r="B1084" t="e">
        <f t="shared" si="32"/>
        <v>#N/A</v>
      </c>
      <c r="C1084" s="185" t="e">
        <f t="shared" si="33"/>
        <v>#N/A</v>
      </c>
      <c r="D1084" s="407" t="e">
        <v>#N/A</v>
      </c>
      <c r="E1084" s="407" t="e">
        <v>#N/A</v>
      </c>
      <c r="F1084" s="407" t="e">
        <v>#N/A</v>
      </c>
      <c r="G1084" s="407" t="e">
        <v>#N/A</v>
      </c>
      <c r="H1084" s="460" t="e">
        <v>#N/A</v>
      </c>
      <c r="I1084" s="460" t="e">
        <v>#N/A</v>
      </c>
      <c r="J1084" s="460" t="e">
        <v>#N/A</v>
      </c>
      <c r="K1084" s="460" t="e">
        <v>#N/A</v>
      </c>
      <c r="L1084" s="459" t="e">
        <v>#N/A</v>
      </c>
      <c r="O1084" t="e">
        <v>#N/A</v>
      </c>
      <c r="P1084" t="e">
        <v>#N/A</v>
      </c>
    </row>
    <row r="1085" spans="1:16" ht="14.4" x14ac:dyDescent="0.3">
      <c r="A1085">
        <v>313416</v>
      </c>
      <c r="B1085" t="e">
        <f t="shared" si="32"/>
        <v>#N/A</v>
      </c>
      <c r="C1085" s="185" t="e">
        <f t="shared" si="33"/>
        <v>#N/A</v>
      </c>
      <c r="D1085" s="407" t="e">
        <v>#N/A</v>
      </c>
      <c r="E1085" s="407" t="e">
        <v>#N/A</v>
      </c>
      <c r="F1085" s="407" t="e">
        <v>#N/A</v>
      </c>
      <c r="G1085" s="407" t="e">
        <v>#N/A</v>
      </c>
      <c r="H1085" s="460" t="e">
        <v>#N/A</v>
      </c>
      <c r="I1085" s="460" t="e">
        <v>#N/A</v>
      </c>
      <c r="J1085" s="460" t="e">
        <v>#N/A</v>
      </c>
      <c r="K1085" s="460" t="e">
        <v>#N/A</v>
      </c>
      <c r="L1085" s="459" t="e">
        <v>#N/A</v>
      </c>
      <c r="O1085" t="e">
        <v>#N/A</v>
      </c>
      <c r="P1085" t="e">
        <v>#N/A</v>
      </c>
    </row>
    <row r="1086" spans="1:16" ht="14.4" x14ac:dyDescent="0.3">
      <c r="A1086">
        <v>313417</v>
      </c>
      <c r="B1086" t="e">
        <f t="shared" si="32"/>
        <v>#N/A</v>
      </c>
      <c r="C1086" s="185" t="e">
        <f t="shared" si="33"/>
        <v>#N/A</v>
      </c>
      <c r="D1086" s="407" t="e">
        <v>#N/A</v>
      </c>
      <c r="E1086" s="407" t="e">
        <v>#N/A</v>
      </c>
      <c r="F1086" s="407" t="e">
        <v>#N/A</v>
      </c>
      <c r="G1086" s="407" t="e">
        <v>#N/A</v>
      </c>
      <c r="H1086" s="460" t="e">
        <v>#N/A</v>
      </c>
      <c r="I1086" s="460" t="e">
        <v>#N/A</v>
      </c>
      <c r="J1086" s="460" t="e">
        <v>#N/A</v>
      </c>
      <c r="K1086" s="460" t="e">
        <v>#N/A</v>
      </c>
      <c r="L1086" s="459" t="e">
        <v>#N/A</v>
      </c>
      <c r="O1086" t="e">
        <v>#N/A</v>
      </c>
      <c r="P1086" t="e">
        <v>#N/A</v>
      </c>
    </row>
    <row r="1087" spans="1:16" ht="14.4" x14ac:dyDescent="0.3">
      <c r="A1087">
        <v>313418</v>
      </c>
      <c r="B1087" t="e">
        <f t="shared" si="32"/>
        <v>#N/A</v>
      </c>
      <c r="C1087" s="185" t="e">
        <f t="shared" si="33"/>
        <v>#N/A</v>
      </c>
      <c r="D1087" s="407" t="e">
        <v>#N/A</v>
      </c>
      <c r="E1087" s="407" t="e">
        <v>#N/A</v>
      </c>
      <c r="F1087" s="407" t="e">
        <v>#N/A</v>
      </c>
      <c r="G1087" s="407" t="e">
        <v>#N/A</v>
      </c>
      <c r="H1087" s="460" t="e">
        <v>#N/A</v>
      </c>
      <c r="I1087" s="460" t="e">
        <v>#N/A</v>
      </c>
      <c r="J1087" s="460" t="e">
        <v>#N/A</v>
      </c>
      <c r="K1087" s="460" t="e">
        <v>#N/A</v>
      </c>
      <c r="L1087" s="459" t="e">
        <v>#N/A</v>
      </c>
      <c r="O1087" t="e">
        <v>#N/A</v>
      </c>
      <c r="P1087" t="e">
        <v>#N/A</v>
      </c>
    </row>
    <row r="1088" spans="1:16" ht="14.4" x14ac:dyDescent="0.3">
      <c r="A1088">
        <v>313436</v>
      </c>
      <c r="B1088" t="e">
        <f t="shared" si="32"/>
        <v>#N/A</v>
      </c>
      <c r="C1088" s="185" t="e">
        <f t="shared" si="33"/>
        <v>#N/A</v>
      </c>
      <c r="D1088" s="407" t="e">
        <v>#N/A</v>
      </c>
      <c r="E1088" s="407" t="e">
        <v>#N/A</v>
      </c>
      <c r="F1088" s="407" t="e">
        <v>#N/A</v>
      </c>
      <c r="G1088" s="407" t="e">
        <v>#N/A</v>
      </c>
      <c r="H1088" s="460" t="e">
        <v>#N/A</v>
      </c>
      <c r="I1088" s="460" t="e">
        <v>#N/A</v>
      </c>
      <c r="J1088" s="460" t="e">
        <v>#N/A</v>
      </c>
      <c r="K1088" s="460" t="e">
        <v>#N/A</v>
      </c>
      <c r="L1088" s="459" t="e">
        <v>#N/A</v>
      </c>
      <c r="O1088" t="e">
        <v>#N/A</v>
      </c>
      <c r="P1088" t="e">
        <v>#N/A</v>
      </c>
    </row>
    <row r="1089" spans="1:16" ht="14.4" x14ac:dyDescent="0.3">
      <c r="A1089">
        <v>313437</v>
      </c>
      <c r="B1089" t="e">
        <f t="shared" si="32"/>
        <v>#N/A</v>
      </c>
      <c r="C1089" s="185" t="e">
        <f t="shared" si="33"/>
        <v>#N/A</v>
      </c>
      <c r="D1089" s="407" t="e">
        <v>#N/A</v>
      </c>
      <c r="E1089" s="407" t="e">
        <v>#N/A</v>
      </c>
      <c r="F1089" s="407" t="e">
        <v>#N/A</v>
      </c>
      <c r="G1089" s="407" t="e">
        <v>#N/A</v>
      </c>
      <c r="H1089" s="460" t="e">
        <v>#N/A</v>
      </c>
      <c r="I1089" s="460" t="e">
        <v>#N/A</v>
      </c>
      <c r="J1089" s="460" t="e">
        <v>#N/A</v>
      </c>
      <c r="K1089" s="460" t="e">
        <v>#N/A</v>
      </c>
      <c r="L1089" s="459" t="e">
        <v>#N/A</v>
      </c>
      <c r="O1089" t="e">
        <v>#N/A</v>
      </c>
      <c r="P1089" t="e">
        <v>#N/A</v>
      </c>
    </row>
    <row r="1090" spans="1:16" ht="14.4" x14ac:dyDescent="0.3">
      <c r="A1090">
        <v>456332</v>
      </c>
      <c r="B1090" t="str">
        <f t="shared" si="32"/>
        <v>SEVROLL Pax rączka 2,7 m, czarny mat</v>
      </c>
      <c r="C1090" s="185">
        <f t="shared" si="33"/>
        <v>102.67319999999999</v>
      </c>
      <c r="D1090" s="407" t="s">
        <v>1312</v>
      </c>
      <c r="E1090" s="407" t="s">
        <v>1765</v>
      </c>
      <c r="F1090" s="407" t="s">
        <v>5774</v>
      </c>
      <c r="G1090" s="407" t="s">
        <v>2345</v>
      </c>
      <c r="H1090" s="460">
        <v>748.35540000000003</v>
      </c>
      <c r="I1090" s="460">
        <v>26.90737</v>
      </c>
      <c r="J1090" s="460">
        <v>102.67319999999999</v>
      </c>
      <c r="K1090" s="460">
        <v>10356.261270000001</v>
      </c>
      <c r="L1090" s="459" t="s">
        <v>539</v>
      </c>
      <c r="O1090">
        <v>27.565999999999999</v>
      </c>
      <c r="P1090" t="s">
        <v>9608</v>
      </c>
    </row>
    <row r="1091" spans="1:16" ht="14.4" x14ac:dyDescent="0.3">
      <c r="A1091">
        <v>456333</v>
      </c>
      <c r="B1091" t="str">
        <f t="shared" si="32"/>
        <v>SEVROLL Pax rączka 3m, czarny mat</v>
      </c>
      <c r="C1091" s="185" t="e">
        <f t="shared" si="33"/>
        <v>#N/A</v>
      </c>
      <c r="D1091" s="407" t="s">
        <v>1313</v>
      </c>
      <c r="E1091" s="407" t="s">
        <v>1766</v>
      </c>
      <c r="F1091" s="407" t="s">
        <v>5775</v>
      </c>
      <c r="G1091" s="407" t="s">
        <v>2346</v>
      </c>
      <c r="H1091" s="460" t="e">
        <v>#N/A</v>
      </c>
      <c r="I1091" s="460" t="e">
        <v>#N/A</v>
      </c>
      <c r="J1091" s="460" t="e">
        <v>#N/A</v>
      </c>
      <c r="K1091" s="460" t="e">
        <v>#N/A</v>
      </c>
      <c r="L1091" s="459" t="e">
        <v>#N/A</v>
      </c>
      <c r="O1091">
        <v>30.623999999999999</v>
      </c>
      <c r="P1091" t="s">
        <v>9609</v>
      </c>
    </row>
    <row r="1092" spans="1:16" ht="14.4" x14ac:dyDescent="0.3">
      <c r="A1092">
        <v>405993</v>
      </c>
      <c r="B1092" t="e">
        <f t="shared" ref="B1092:B1155" si="34">IF($A$2=1,D1092,IF($A$2=2,F1092,IF($A$2=3,G1092,IF($A$2=4,E1092,IF($A$2&gt;4,P1092,"zadat jazyk")))))</f>
        <v>#N/A</v>
      </c>
      <c r="C1092" s="185" t="e">
        <f t="shared" ref="C1092:C1155" si="35">IF($A$2=1,H1092,IF($A$2=2,I1092,IF($A$2=3,J1092,IF($A$2=4,K1092,IF($A$2&gt;4,O1092,"zadat jazyk")))))</f>
        <v>#N/A</v>
      </c>
      <c r="D1092" s="407" t="e">
        <v>#N/A</v>
      </c>
      <c r="E1092" s="407" t="e">
        <v>#N/A</v>
      </c>
      <c r="F1092" s="407" t="e">
        <v>#N/A</v>
      </c>
      <c r="G1092" s="407" t="e">
        <v>#N/A</v>
      </c>
      <c r="H1092" s="460" t="e">
        <v>#N/A</v>
      </c>
      <c r="I1092" s="460" t="e">
        <v>#N/A</v>
      </c>
      <c r="J1092" s="460" t="e">
        <v>#N/A</v>
      </c>
      <c r="K1092" s="460" t="e">
        <v>#N/A</v>
      </c>
      <c r="L1092" s="459" t="e">
        <v>#N/A</v>
      </c>
      <c r="O1092" t="e">
        <v>#N/A</v>
      </c>
      <c r="P1092" t="e">
        <v>#N/A</v>
      </c>
    </row>
    <row r="1093" spans="1:16" ht="14.4" x14ac:dyDescent="0.3">
      <c r="A1093">
        <v>406342</v>
      </c>
      <c r="B1093" t="str">
        <f t="shared" si="34"/>
        <v>SEVROLL Porto rączka 3m srebrny</v>
      </c>
      <c r="C1093" s="185" t="e">
        <f t="shared" si="35"/>
        <v>#N/A</v>
      </c>
      <c r="D1093" s="407" t="s">
        <v>1314</v>
      </c>
      <c r="E1093" s="407" t="s">
        <v>1767</v>
      </c>
      <c r="F1093" s="407" t="s">
        <v>2150</v>
      </c>
      <c r="G1093" s="407" t="s">
        <v>2347</v>
      </c>
      <c r="H1093" s="460" t="e">
        <v>#N/A</v>
      </c>
      <c r="I1093" s="460" t="e">
        <v>#N/A</v>
      </c>
      <c r="J1093" s="460" t="e">
        <v>#N/A</v>
      </c>
      <c r="K1093" s="460" t="e">
        <v>#N/A</v>
      </c>
      <c r="L1093" s="459" t="e">
        <v>#N/A</v>
      </c>
      <c r="O1093" t="e">
        <v>#N/A</v>
      </c>
      <c r="P1093" t="e">
        <v>#N/A</v>
      </c>
    </row>
    <row r="1094" spans="1:16" ht="14.4" x14ac:dyDescent="0.3">
      <c r="A1094">
        <v>406343</v>
      </c>
      <c r="B1094" t="str">
        <f t="shared" si="34"/>
        <v>SEVROLL Porto rączka 3m jasny brąz</v>
      </c>
      <c r="C1094" s="185" t="e">
        <f t="shared" si="35"/>
        <v>#N/A</v>
      </c>
      <c r="D1094" s="407" t="s">
        <v>1315</v>
      </c>
      <c r="E1094" s="407" t="s">
        <v>1768</v>
      </c>
      <c r="F1094" s="407" t="s">
        <v>2151</v>
      </c>
      <c r="G1094" s="407" t="s">
        <v>2348</v>
      </c>
      <c r="H1094" s="460" t="e">
        <v>#N/A</v>
      </c>
      <c r="I1094" s="460" t="e">
        <v>#N/A</v>
      </c>
      <c r="J1094" s="460" t="e">
        <v>#N/A</v>
      </c>
      <c r="K1094" s="460" t="e">
        <v>#N/A</v>
      </c>
      <c r="L1094" s="459" t="e">
        <v>#N/A</v>
      </c>
      <c r="O1094" t="e">
        <v>#N/A</v>
      </c>
      <c r="P1094" t="e">
        <v>#N/A</v>
      </c>
    </row>
    <row r="1095" spans="1:16" ht="14.4" x14ac:dyDescent="0.3">
      <c r="A1095">
        <v>406344</v>
      </c>
      <c r="B1095" t="str">
        <f t="shared" si="34"/>
        <v>SEVROLL Maxim tor górny 1,8m jasny brąz</v>
      </c>
      <c r="C1095" s="185" t="e">
        <f t="shared" si="35"/>
        <v>#N/A</v>
      </c>
      <c r="D1095" s="407" t="s">
        <v>1316</v>
      </c>
      <c r="E1095" s="407" t="s">
        <v>1769</v>
      </c>
      <c r="F1095" s="407" t="s">
        <v>2152</v>
      </c>
      <c r="G1095" s="407" t="s">
        <v>2349</v>
      </c>
      <c r="H1095" s="460" t="e">
        <v>#N/A</v>
      </c>
      <c r="I1095" s="460" t="e">
        <v>#N/A</v>
      </c>
      <c r="J1095" s="460" t="e">
        <v>#N/A</v>
      </c>
      <c r="K1095" s="460" t="e">
        <v>#N/A</v>
      </c>
      <c r="L1095" s="459" t="e">
        <v>#N/A</v>
      </c>
      <c r="O1095" t="e">
        <v>#N/A</v>
      </c>
      <c r="P1095" t="e">
        <v>#N/A</v>
      </c>
    </row>
    <row r="1096" spans="1:16" ht="14.4" x14ac:dyDescent="0.3">
      <c r="A1096">
        <v>406463</v>
      </c>
      <c r="B1096" t="str">
        <f t="shared" si="34"/>
        <v>SEVROLL listwa łącząca H18 3m biały matowy</v>
      </c>
      <c r="C1096" s="185">
        <f t="shared" si="35"/>
        <v>62.464799999999997</v>
      </c>
      <c r="D1096" s="407" t="s">
        <v>1317</v>
      </c>
      <c r="E1096" s="407" t="s">
        <v>1770</v>
      </c>
      <c r="F1096" s="407" t="s">
        <v>5776</v>
      </c>
      <c r="G1096" s="407" t="s">
        <v>2350</v>
      </c>
      <c r="H1096" s="460">
        <v>433.52503999999999</v>
      </c>
      <c r="I1096" s="460">
        <v>15.587540000000001</v>
      </c>
      <c r="J1096" s="460">
        <v>62.464799999999997</v>
      </c>
      <c r="K1096" s="460">
        <v>5999.42029</v>
      </c>
      <c r="L1096" s="459" t="s">
        <v>538</v>
      </c>
      <c r="O1096">
        <v>16.5</v>
      </c>
      <c r="P1096" t="s">
        <v>9610</v>
      </c>
    </row>
    <row r="1097" spans="1:16" ht="14.4" x14ac:dyDescent="0.3">
      <c r="A1097">
        <v>406464</v>
      </c>
      <c r="B1097" t="str">
        <f t="shared" si="34"/>
        <v>SEVROLL profil "U" do płyty laminowanej 18mm 3m biały matowy</v>
      </c>
      <c r="C1097" s="185">
        <f t="shared" si="35"/>
        <v>27.009599999999999</v>
      </c>
      <c r="D1097" s="407" t="s">
        <v>1318</v>
      </c>
      <c r="E1097" s="407" t="s">
        <v>1771</v>
      </c>
      <c r="F1097" s="407" t="s">
        <v>5777</v>
      </c>
      <c r="G1097" s="407" t="s">
        <v>2351</v>
      </c>
      <c r="H1097" s="460">
        <v>172.25201999999999</v>
      </c>
      <c r="I1097" s="460">
        <v>6.1933800000000003</v>
      </c>
      <c r="J1097" s="460">
        <v>27.009599999999999</v>
      </c>
      <c r="K1097" s="460">
        <v>2383.7428100000002</v>
      </c>
      <c r="L1097" s="459" t="s">
        <v>539</v>
      </c>
      <c r="O1097">
        <v>6.5339999999999998</v>
      </c>
      <c r="P1097" t="s">
        <v>9611</v>
      </c>
    </row>
    <row r="1098" spans="1:16" ht="14.4" x14ac:dyDescent="0.3">
      <c r="A1098">
        <v>296081</v>
      </c>
      <c r="B1098" t="e">
        <f t="shared" si="34"/>
        <v>#N/A</v>
      </c>
      <c r="C1098" s="185" t="e">
        <f t="shared" si="35"/>
        <v>#N/A</v>
      </c>
      <c r="D1098" s="407" t="e">
        <v>#N/A</v>
      </c>
      <c r="E1098" s="407" t="e">
        <v>#N/A</v>
      </c>
      <c r="F1098" s="407" t="e">
        <v>#N/A</v>
      </c>
      <c r="G1098" s="407" t="e">
        <v>#N/A</v>
      </c>
      <c r="H1098" s="460" t="e">
        <v>#N/A</v>
      </c>
      <c r="I1098" s="460" t="e">
        <v>#N/A</v>
      </c>
      <c r="J1098" s="460" t="e">
        <v>#N/A</v>
      </c>
      <c r="K1098" s="460" t="e">
        <v>#N/A</v>
      </c>
      <c r="L1098" s="459" t="e">
        <v>#N/A</v>
      </c>
      <c r="O1098" t="e">
        <v>#N/A</v>
      </c>
      <c r="P1098" t="e">
        <v>#N/A</v>
      </c>
    </row>
    <row r="1099" spans="1:16" ht="14.4" x14ac:dyDescent="0.3">
      <c r="A1099">
        <v>296087</v>
      </c>
      <c r="B1099" t="e">
        <f t="shared" si="34"/>
        <v>#N/A</v>
      </c>
      <c r="C1099" s="185" t="e">
        <f t="shared" si="35"/>
        <v>#N/A</v>
      </c>
      <c r="D1099" s="407" t="e">
        <v>#N/A</v>
      </c>
      <c r="E1099" s="407" t="e">
        <v>#N/A</v>
      </c>
      <c r="F1099" s="407" t="e">
        <v>#N/A</v>
      </c>
      <c r="G1099" s="407" t="e">
        <v>#N/A</v>
      </c>
      <c r="H1099" s="460" t="e">
        <v>#N/A</v>
      </c>
      <c r="I1099" s="460" t="e">
        <v>#N/A</v>
      </c>
      <c r="J1099" s="460" t="e">
        <v>#N/A</v>
      </c>
      <c r="K1099" s="460" t="e">
        <v>#N/A</v>
      </c>
      <c r="L1099" s="459" t="e">
        <v>#N/A</v>
      </c>
      <c r="O1099" t="e">
        <v>#N/A</v>
      </c>
      <c r="P1099" t="e">
        <v>#N/A</v>
      </c>
    </row>
    <row r="1100" spans="1:16" ht="14.4" x14ac:dyDescent="0.3">
      <c r="A1100">
        <v>296182</v>
      </c>
      <c r="B1100" t="e">
        <f t="shared" si="34"/>
        <v>#N/A</v>
      </c>
      <c r="C1100" s="185" t="e">
        <f t="shared" si="35"/>
        <v>#N/A</v>
      </c>
      <c r="D1100" s="407" t="e">
        <v>#N/A</v>
      </c>
      <c r="E1100" s="407" t="e">
        <v>#N/A</v>
      </c>
      <c r="F1100" s="407" t="e">
        <v>#N/A</v>
      </c>
      <c r="G1100" s="407" t="e">
        <v>#N/A</v>
      </c>
      <c r="H1100" s="460" t="e">
        <v>#N/A</v>
      </c>
      <c r="I1100" s="460" t="e">
        <v>#N/A</v>
      </c>
      <c r="J1100" s="460" t="e">
        <v>#N/A</v>
      </c>
      <c r="K1100" s="460" t="e">
        <v>#N/A</v>
      </c>
      <c r="L1100" s="459" t="e">
        <v>#N/A</v>
      </c>
      <c r="O1100" t="e">
        <v>#N/A</v>
      </c>
      <c r="P1100" t="e">
        <v>#N/A</v>
      </c>
    </row>
    <row r="1101" spans="1:16" ht="14.4" x14ac:dyDescent="0.3">
      <c r="A1101">
        <v>296183</v>
      </c>
      <c r="B1101" t="e">
        <f t="shared" si="34"/>
        <v>#N/A</v>
      </c>
      <c r="C1101" s="185" t="e">
        <f t="shared" si="35"/>
        <v>#N/A</v>
      </c>
      <c r="D1101" s="407" t="e">
        <v>#N/A</v>
      </c>
      <c r="E1101" s="407" t="e">
        <v>#N/A</v>
      </c>
      <c r="F1101" s="407" t="e">
        <v>#N/A</v>
      </c>
      <c r="G1101" s="407" t="e">
        <v>#N/A</v>
      </c>
      <c r="H1101" s="460" t="e">
        <v>#N/A</v>
      </c>
      <c r="I1101" s="460" t="e">
        <v>#N/A</v>
      </c>
      <c r="J1101" s="460" t="e">
        <v>#N/A</v>
      </c>
      <c r="K1101" s="460" t="e">
        <v>#N/A</v>
      </c>
      <c r="L1101" s="459" t="e">
        <v>#N/A</v>
      </c>
      <c r="O1101" t="e">
        <v>#N/A</v>
      </c>
      <c r="P1101" t="e">
        <v>#N/A</v>
      </c>
    </row>
    <row r="1102" spans="1:16" ht="14.4" x14ac:dyDescent="0.3">
      <c r="A1102">
        <v>296186</v>
      </c>
      <c r="B1102" t="str">
        <f t="shared" si="34"/>
        <v>S-S50 górna listwa alu elox 2m</v>
      </c>
      <c r="C1102" s="185" t="e">
        <f t="shared" si="35"/>
        <v>#N/A</v>
      </c>
      <c r="D1102" s="407" t="s">
        <v>6883</v>
      </c>
      <c r="E1102" s="407" t="s">
        <v>6884</v>
      </c>
      <c r="F1102" s="407" t="s">
        <v>6885</v>
      </c>
      <c r="G1102" s="407" t="s">
        <v>6886</v>
      </c>
      <c r="H1102" s="460" t="e">
        <v>#N/A</v>
      </c>
      <c r="I1102" s="460" t="e">
        <v>#N/A</v>
      </c>
      <c r="J1102" s="460" t="e">
        <v>#N/A</v>
      </c>
      <c r="K1102" s="460" t="e">
        <v>#N/A</v>
      </c>
      <c r="L1102" s="459" t="e">
        <v>#N/A</v>
      </c>
      <c r="O1102">
        <v>0</v>
      </c>
      <c r="P1102" t="s">
        <v>9612</v>
      </c>
    </row>
    <row r="1103" spans="1:16" ht="14.4" x14ac:dyDescent="0.3">
      <c r="A1103">
        <v>296187</v>
      </c>
      <c r="B1103" t="str">
        <f t="shared" si="34"/>
        <v>S-S50 dolna listwa alu elox 2m</v>
      </c>
      <c r="C1103" s="185" t="e">
        <f t="shared" si="35"/>
        <v>#N/A</v>
      </c>
      <c r="D1103" s="407" t="s">
        <v>6887</v>
      </c>
      <c r="E1103" s="407" t="s">
        <v>6888</v>
      </c>
      <c r="F1103" s="407" t="s">
        <v>6889</v>
      </c>
      <c r="G1103" s="407" t="s">
        <v>6890</v>
      </c>
      <c r="H1103" s="460" t="e">
        <v>#N/A</v>
      </c>
      <c r="I1103" s="460" t="e">
        <v>#N/A</v>
      </c>
      <c r="J1103" s="460" t="e">
        <v>#N/A</v>
      </c>
      <c r="K1103" s="460" t="e">
        <v>#N/A</v>
      </c>
      <c r="L1103" s="459" t="e">
        <v>#N/A</v>
      </c>
      <c r="O1103">
        <v>0</v>
      </c>
      <c r="P1103" t="s">
        <v>9613</v>
      </c>
    </row>
    <row r="1104" spans="1:16" ht="14.4" x14ac:dyDescent="0.3">
      <c r="A1104">
        <v>296188</v>
      </c>
      <c r="B1104" t="str">
        <f t="shared" si="34"/>
        <v>S-U profil do laminatu 18mm 3m srebrny</v>
      </c>
      <c r="C1104" s="185" t="e">
        <f t="shared" si="35"/>
        <v>#N/A</v>
      </c>
      <c r="D1104" s="407" t="s">
        <v>6891</v>
      </c>
      <c r="E1104" s="407" t="s">
        <v>6892</v>
      </c>
      <c r="F1104" s="407" t="s">
        <v>6893</v>
      </c>
      <c r="G1104" s="407" t="s">
        <v>6894</v>
      </c>
      <c r="H1104" s="460" t="e">
        <v>#N/A</v>
      </c>
      <c r="I1104" s="460" t="e">
        <v>#N/A</v>
      </c>
      <c r="J1104" s="460" t="e">
        <v>#N/A</v>
      </c>
      <c r="K1104" s="460" t="e">
        <v>#N/A</v>
      </c>
      <c r="L1104" s="459" t="e">
        <v>#N/A</v>
      </c>
      <c r="O1104">
        <v>0</v>
      </c>
      <c r="P1104" t="s">
        <v>9614</v>
      </c>
    </row>
    <row r="1105" spans="1:16" ht="14.4" x14ac:dyDescent="0.3">
      <c r="A1105">
        <v>296433</v>
      </c>
      <c r="B1105" t="e">
        <f t="shared" si="34"/>
        <v>#N/A</v>
      </c>
      <c r="C1105" s="185" t="e">
        <f t="shared" si="35"/>
        <v>#N/A</v>
      </c>
      <c r="D1105" s="407" t="e">
        <v>#N/A</v>
      </c>
      <c r="E1105" s="407" t="e">
        <v>#N/A</v>
      </c>
      <c r="F1105" s="407" t="e">
        <v>#N/A</v>
      </c>
      <c r="G1105" s="407" t="e">
        <v>#N/A</v>
      </c>
      <c r="H1105" s="460" t="e">
        <v>#N/A</v>
      </c>
      <c r="I1105" s="460" t="e">
        <v>#N/A</v>
      </c>
      <c r="J1105" s="460" t="e">
        <v>#N/A</v>
      </c>
      <c r="K1105" s="460" t="e">
        <v>#N/A</v>
      </c>
      <c r="L1105" s="459" t="e">
        <v>#N/A</v>
      </c>
      <c r="O1105" t="e">
        <v>#N/A</v>
      </c>
      <c r="P1105" t="e">
        <v>#N/A</v>
      </c>
    </row>
    <row r="1106" spans="1:16" ht="14.4" x14ac:dyDescent="0.3">
      <c r="A1106">
        <v>312097</v>
      </c>
      <c r="B1106" t="str">
        <f t="shared" si="34"/>
        <v>K-SEVROLL komplet wózków do 2 skrzydeł 18mm + szablon</v>
      </c>
      <c r="C1106" s="185" t="e">
        <f t="shared" si="35"/>
        <v>#N/A</v>
      </c>
      <c r="D1106" s="407" t="s">
        <v>1319</v>
      </c>
      <c r="E1106" s="407" t="s">
        <v>5778</v>
      </c>
      <c r="F1106" s="407" t="s">
        <v>68</v>
      </c>
      <c r="G1106" s="407" t="s">
        <v>5779</v>
      </c>
      <c r="H1106" s="460" t="e">
        <v>#N/A</v>
      </c>
      <c r="I1106" s="460" t="e">
        <v>#N/A</v>
      </c>
      <c r="J1106" s="460" t="e">
        <v>#N/A</v>
      </c>
      <c r="K1106" s="460" t="e">
        <v>#N/A</v>
      </c>
      <c r="L1106" s="459" t="e">
        <v>#N/A</v>
      </c>
      <c r="O1106" t="e">
        <v>#N/A</v>
      </c>
      <c r="P1106" t="e">
        <v>#N/A</v>
      </c>
    </row>
    <row r="1107" spans="1:16" ht="14.4" x14ac:dyDescent="0.3">
      <c r="A1107">
        <v>312224</v>
      </c>
      <c r="B1107" t="e">
        <f t="shared" si="34"/>
        <v>#N/A</v>
      </c>
      <c r="C1107" s="185" t="e">
        <f t="shared" si="35"/>
        <v>#N/A</v>
      </c>
      <c r="D1107" s="407" t="e">
        <v>#N/A</v>
      </c>
      <c r="E1107" s="407" t="e">
        <v>#N/A</v>
      </c>
      <c r="F1107" s="407" t="e">
        <v>#N/A</v>
      </c>
      <c r="G1107" s="407" t="e">
        <v>#N/A</v>
      </c>
      <c r="H1107" s="460" t="e">
        <v>#N/A</v>
      </c>
      <c r="I1107" s="460" t="e">
        <v>#N/A</v>
      </c>
      <c r="J1107" s="460" t="e">
        <v>#N/A</v>
      </c>
      <c r="K1107" s="460" t="e">
        <v>#N/A</v>
      </c>
      <c r="L1107" s="459" t="e">
        <v>#N/A</v>
      </c>
      <c r="O1107" t="e">
        <v>#N/A</v>
      </c>
      <c r="P1107" t="e">
        <v>#N/A</v>
      </c>
    </row>
    <row r="1108" spans="1:16" ht="14.4" x14ac:dyDescent="0.3">
      <c r="A1108">
        <v>355030</v>
      </c>
      <c r="B1108" t="e">
        <f t="shared" si="34"/>
        <v>#N/A</v>
      </c>
      <c r="C1108" s="185" t="e">
        <f t="shared" si="35"/>
        <v>#N/A</v>
      </c>
      <c r="D1108" s="407" t="e">
        <v>#N/A</v>
      </c>
      <c r="E1108" s="407" t="e">
        <v>#N/A</v>
      </c>
      <c r="F1108" s="407" t="e">
        <v>#N/A</v>
      </c>
      <c r="G1108" s="407" t="e">
        <v>#N/A</v>
      </c>
      <c r="H1108" s="460" t="e">
        <v>#N/A</v>
      </c>
      <c r="I1108" s="460" t="e">
        <v>#N/A</v>
      </c>
      <c r="J1108" s="460" t="e">
        <v>#N/A</v>
      </c>
      <c r="K1108" s="460" t="e">
        <v>#N/A</v>
      </c>
      <c r="L1108" s="459" t="e">
        <v>#N/A</v>
      </c>
      <c r="O1108" t="e">
        <v>#N/A</v>
      </c>
      <c r="P1108" t="e">
        <v>#N/A</v>
      </c>
    </row>
    <row r="1109" spans="1:16" ht="14.4" x14ac:dyDescent="0.3">
      <c r="A1109">
        <v>245219</v>
      </c>
      <c r="B1109" t="e">
        <f t="shared" si="34"/>
        <v>#N/A</v>
      </c>
      <c r="C1109" s="185" t="e">
        <f t="shared" si="35"/>
        <v>#N/A</v>
      </c>
      <c r="D1109" s="407" t="e">
        <v>#N/A</v>
      </c>
      <c r="E1109" s="407" t="e">
        <v>#N/A</v>
      </c>
      <c r="F1109" s="407" t="e">
        <v>#N/A</v>
      </c>
      <c r="G1109" s="407" t="e">
        <v>#N/A</v>
      </c>
      <c r="H1109" s="460" t="e">
        <v>#N/A</v>
      </c>
      <c r="I1109" s="460" t="e">
        <v>#N/A</v>
      </c>
      <c r="J1109" s="460" t="e">
        <v>#N/A</v>
      </c>
      <c r="K1109" s="460" t="e">
        <v>#N/A</v>
      </c>
      <c r="L1109" s="459" t="e">
        <v>#N/A</v>
      </c>
      <c r="O1109" t="e">
        <v>#N/A</v>
      </c>
      <c r="P1109" t="e">
        <v>#N/A</v>
      </c>
    </row>
    <row r="1110" spans="1:16" ht="14.4" x14ac:dyDescent="0.3">
      <c r="A1110">
        <v>245465</v>
      </c>
      <c r="B1110" t="e">
        <f t="shared" si="34"/>
        <v>#N/A</v>
      </c>
      <c r="C1110" s="185" t="e">
        <f t="shared" si="35"/>
        <v>#N/A</v>
      </c>
      <c r="D1110" s="407" t="e">
        <v>#N/A</v>
      </c>
      <c r="E1110" s="407" t="e">
        <v>#N/A</v>
      </c>
      <c r="F1110" s="407" t="e">
        <v>#N/A</v>
      </c>
      <c r="G1110" s="407" t="e">
        <v>#N/A</v>
      </c>
      <c r="H1110" s="460" t="e">
        <v>#N/A</v>
      </c>
      <c r="I1110" s="460" t="e">
        <v>#N/A</v>
      </c>
      <c r="J1110" s="460" t="e">
        <v>#N/A</v>
      </c>
      <c r="K1110" s="460" t="e">
        <v>#N/A</v>
      </c>
      <c r="L1110" s="459" t="e">
        <v>#N/A</v>
      </c>
      <c r="O1110" t="e">
        <v>#N/A</v>
      </c>
      <c r="P1110" t="e">
        <v>#N/A</v>
      </c>
    </row>
    <row r="1111" spans="1:16" ht="14.4" x14ac:dyDescent="0.3">
      <c r="A1111">
        <v>245666</v>
      </c>
      <c r="B1111" t="str">
        <f t="shared" si="34"/>
        <v>SEVROLL - Łącznik Simple/Blue H25 3 m (16 mm) srebrny</v>
      </c>
      <c r="C1111" s="185" t="e">
        <f t="shared" si="35"/>
        <v>#N/A</v>
      </c>
      <c r="D1111" s="407" t="s">
        <v>1320</v>
      </c>
      <c r="E1111" s="407" t="s">
        <v>1772</v>
      </c>
      <c r="F1111" s="407" t="s">
        <v>2153</v>
      </c>
      <c r="G1111" s="407" t="s">
        <v>5780</v>
      </c>
      <c r="H1111" s="460" t="e">
        <v>#N/A</v>
      </c>
      <c r="I1111" s="460" t="e">
        <v>#N/A</v>
      </c>
      <c r="J1111" s="460" t="e">
        <v>#N/A</v>
      </c>
      <c r="K1111" s="460" t="e">
        <v>#N/A</v>
      </c>
      <c r="L1111" s="459" t="e">
        <v>#N/A</v>
      </c>
      <c r="O1111" t="e">
        <v>#N/A</v>
      </c>
      <c r="P1111" t="e">
        <v>#N/A</v>
      </c>
    </row>
    <row r="1112" spans="1:16" ht="14.4" x14ac:dyDescent="0.3">
      <c r="A1112">
        <v>245667</v>
      </c>
      <c r="B1112" t="str">
        <f t="shared" si="34"/>
        <v>SEVROLL -Łącznik Simple/Blue H25 3 m (16 mm) oliwka</v>
      </c>
      <c r="C1112" s="185" t="e">
        <f t="shared" si="35"/>
        <v>#N/A</v>
      </c>
      <c r="D1112" s="407" t="s">
        <v>1321</v>
      </c>
      <c r="E1112" s="407" t="s">
        <v>1772</v>
      </c>
      <c r="F1112" s="407" t="s">
        <v>2153</v>
      </c>
      <c r="G1112" s="407" t="s">
        <v>5781</v>
      </c>
      <c r="H1112" s="460" t="e">
        <v>#N/A</v>
      </c>
      <c r="I1112" s="460" t="e">
        <v>#N/A</v>
      </c>
      <c r="J1112" s="460" t="e">
        <v>#N/A</v>
      </c>
      <c r="K1112" s="460" t="e">
        <v>#N/A</v>
      </c>
      <c r="L1112" s="459" t="e">
        <v>#N/A</v>
      </c>
      <c r="O1112">
        <v>0</v>
      </c>
      <c r="P1112" t="s">
        <v>9615</v>
      </c>
    </row>
    <row r="1113" spans="1:16" ht="14.4" x14ac:dyDescent="0.3">
      <c r="A1113">
        <v>246803</v>
      </c>
      <c r="B1113" t="e">
        <f t="shared" si="34"/>
        <v>#N/A</v>
      </c>
      <c r="C1113" s="185" t="e">
        <f t="shared" si="35"/>
        <v>#N/A</v>
      </c>
      <c r="D1113" s="407" t="e">
        <v>#N/A</v>
      </c>
      <c r="E1113" s="407" t="e">
        <v>#N/A</v>
      </c>
      <c r="F1113" s="407" t="e">
        <v>#N/A</v>
      </c>
      <c r="G1113" s="407" t="e">
        <v>#N/A</v>
      </c>
      <c r="H1113" s="460" t="e">
        <v>#N/A</v>
      </c>
      <c r="I1113" s="460" t="e">
        <v>#N/A</v>
      </c>
      <c r="J1113" s="460" t="e">
        <v>#N/A</v>
      </c>
      <c r="K1113" s="460" t="e">
        <v>#N/A</v>
      </c>
      <c r="L1113" s="459" t="e">
        <v>#N/A</v>
      </c>
      <c r="O1113" t="e">
        <v>#N/A</v>
      </c>
      <c r="P1113" t="e">
        <v>#N/A</v>
      </c>
    </row>
    <row r="1114" spans="1:16" ht="14.4" x14ac:dyDescent="0.3">
      <c r="A1114">
        <v>277766</v>
      </c>
      <c r="B1114" t="e">
        <f t="shared" si="34"/>
        <v>#N/A</v>
      </c>
      <c r="C1114" s="185" t="e">
        <f t="shared" si="35"/>
        <v>#N/A</v>
      </c>
      <c r="D1114" s="407" t="e">
        <v>#N/A</v>
      </c>
      <c r="E1114" s="407" t="e">
        <v>#N/A</v>
      </c>
      <c r="F1114" s="407" t="e">
        <v>#N/A</v>
      </c>
      <c r="G1114" s="407" t="e">
        <v>#N/A</v>
      </c>
      <c r="H1114" s="460" t="e">
        <v>#N/A</v>
      </c>
      <c r="I1114" s="460" t="e">
        <v>#N/A</v>
      </c>
      <c r="J1114" s="460" t="e">
        <v>#N/A</v>
      </c>
      <c r="K1114" s="460" t="e">
        <v>#N/A</v>
      </c>
      <c r="L1114" s="459" t="e">
        <v>#N/A</v>
      </c>
      <c r="O1114" t="e">
        <v>#N/A</v>
      </c>
      <c r="P1114" t="e">
        <v>#N/A</v>
      </c>
    </row>
    <row r="1115" spans="1:16" ht="14.4" x14ac:dyDescent="0.3">
      <c r="A1115">
        <v>277767</v>
      </c>
      <c r="B1115" t="e">
        <f t="shared" si="34"/>
        <v>#N/A</v>
      </c>
      <c r="C1115" s="185" t="e">
        <f t="shared" si="35"/>
        <v>#N/A</v>
      </c>
      <c r="D1115" s="407" t="e">
        <v>#N/A</v>
      </c>
      <c r="E1115" s="407" t="e">
        <v>#N/A</v>
      </c>
      <c r="F1115" s="407" t="e">
        <v>#N/A</v>
      </c>
      <c r="G1115" s="407" t="e">
        <v>#N/A</v>
      </c>
      <c r="H1115" s="460" t="e">
        <v>#N/A</v>
      </c>
      <c r="I1115" s="460" t="e">
        <v>#N/A</v>
      </c>
      <c r="J1115" s="460" t="e">
        <v>#N/A</v>
      </c>
      <c r="K1115" s="460" t="e">
        <v>#N/A</v>
      </c>
      <c r="L1115" s="459" t="e">
        <v>#N/A</v>
      </c>
      <c r="O1115" t="e">
        <v>#N/A</v>
      </c>
      <c r="P1115" t="e">
        <v>#N/A</v>
      </c>
    </row>
    <row r="1116" spans="1:16" ht="14.4" x14ac:dyDescent="0.3">
      <c r="A1116">
        <v>278164</v>
      </c>
      <c r="B1116" t="str">
        <f t="shared" si="34"/>
        <v>SEVROLL Gemini rączka 2,7m czarny mat</v>
      </c>
      <c r="C1116" s="185">
        <f t="shared" si="35"/>
        <v>102.67319999999999</v>
      </c>
      <c r="D1116" s="407" t="s">
        <v>1322</v>
      </c>
      <c r="E1116" s="407" t="s">
        <v>1773</v>
      </c>
      <c r="F1116" s="407" t="s">
        <v>5782</v>
      </c>
      <c r="G1116" s="407" t="s">
        <v>2352</v>
      </c>
      <c r="H1116" s="460">
        <v>683.21807999999999</v>
      </c>
      <c r="I1116" s="460">
        <v>24.560120000000001</v>
      </c>
      <c r="J1116" s="460">
        <v>102.67319999999999</v>
      </c>
      <c r="K1116" s="460">
        <v>9454.8458900000005</v>
      </c>
      <c r="L1116" s="459" t="s">
        <v>539</v>
      </c>
      <c r="O1116">
        <v>24.2</v>
      </c>
      <c r="P1116" t="s">
        <v>9616</v>
      </c>
    </row>
    <row r="1117" spans="1:16" ht="14.4" x14ac:dyDescent="0.3">
      <c r="A1117">
        <v>278168</v>
      </c>
      <c r="B1117" t="e">
        <f t="shared" si="34"/>
        <v>#N/A</v>
      </c>
      <c r="C1117" s="185" t="e">
        <f t="shared" si="35"/>
        <v>#N/A</v>
      </c>
      <c r="D1117" s="407" t="e">
        <v>#N/A</v>
      </c>
      <c r="E1117" s="407" t="e">
        <v>#N/A</v>
      </c>
      <c r="F1117" s="407" t="e">
        <v>#N/A</v>
      </c>
      <c r="G1117" s="407" t="e">
        <v>#N/A</v>
      </c>
      <c r="H1117" s="460" t="e">
        <v>#N/A</v>
      </c>
      <c r="I1117" s="460" t="e">
        <v>#N/A</v>
      </c>
      <c r="J1117" s="460" t="e">
        <v>#N/A</v>
      </c>
      <c r="K1117" s="460" t="e">
        <v>#N/A</v>
      </c>
      <c r="L1117" s="459" t="e">
        <v>#N/A</v>
      </c>
      <c r="O1117" t="e">
        <v>#N/A</v>
      </c>
      <c r="P1117" t="e">
        <v>#N/A</v>
      </c>
    </row>
    <row r="1118" spans="1:16" ht="14.4" x14ac:dyDescent="0.3">
      <c r="A1118">
        <v>278180</v>
      </c>
      <c r="B1118" t="e">
        <f t="shared" si="34"/>
        <v>#N/A</v>
      </c>
      <c r="C1118" s="185" t="e">
        <f t="shared" si="35"/>
        <v>#N/A</v>
      </c>
      <c r="D1118" s="407" t="e">
        <v>#N/A</v>
      </c>
      <c r="E1118" s="407" t="e">
        <v>#N/A</v>
      </c>
      <c r="F1118" s="407" t="e">
        <v>#N/A</v>
      </c>
      <c r="G1118" s="407" t="e">
        <v>#N/A</v>
      </c>
      <c r="H1118" s="460" t="e">
        <v>#N/A</v>
      </c>
      <c r="I1118" s="460" t="e">
        <v>#N/A</v>
      </c>
      <c r="J1118" s="460" t="e">
        <v>#N/A</v>
      </c>
      <c r="K1118" s="460" t="e">
        <v>#N/A</v>
      </c>
      <c r="L1118" s="459" t="e">
        <v>#N/A</v>
      </c>
      <c r="O1118" t="e">
        <v>#N/A</v>
      </c>
      <c r="P1118" t="e">
        <v>#N/A</v>
      </c>
    </row>
    <row r="1119" spans="1:16" ht="14.4" x14ac:dyDescent="0.3">
      <c r="A1119">
        <v>278182</v>
      </c>
      <c r="B1119" t="e">
        <f t="shared" si="34"/>
        <v>#N/A</v>
      </c>
      <c r="C1119" s="185" t="e">
        <f t="shared" si="35"/>
        <v>#N/A</v>
      </c>
      <c r="D1119" s="407" t="e">
        <v>#N/A</v>
      </c>
      <c r="E1119" s="407" t="e">
        <v>#N/A</v>
      </c>
      <c r="F1119" s="407" t="e">
        <v>#N/A</v>
      </c>
      <c r="G1119" s="407" t="e">
        <v>#N/A</v>
      </c>
      <c r="H1119" s="460" t="e">
        <v>#N/A</v>
      </c>
      <c r="I1119" s="460" t="e">
        <v>#N/A</v>
      </c>
      <c r="J1119" s="460" t="e">
        <v>#N/A</v>
      </c>
      <c r="K1119" s="460" t="e">
        <v>#N/A</v>
      </c>
      <c r="L1119" s="459" t="e">
        <v>#N/A</v>
      </c>
      <c r="O1119" t="e">
        <v>#N/A</v>
      </c>
      <c r="P1119" t="e">
        <v>#N/A</v>
      </c>
    </row>
    <row r="1120" spans="1:16" ht="14.4" x14ac:dyDescent="0.3">
      <c r="A1120">
        <v>405105</v>
      </c>
      <c r="B1120" t="e">
        <f t="shared" si="34"/>
        <v>#N/A</v>
      </c>
      <c r="C1120" s="185" t="e">
        <f t="shared" si="35"/>
        <v>#N/A</v>
      </c>
      <c r="D1120" s="407" t="e">
        <v>#N/A</v>
      </c>
      <c r="E1120" s="407" t="e">
        <v>#N/A</v>
      </c>
      <c r="F1120" s="407" t="e">
        <v>#N/A</v>
      </c>
      <c r="G1120" s="407" t="e">
        <v>#N/A</v>
      </c>
      <c r="H1120" s="460" t="e">
        <v>#N/A</v>
      </c>
      <c r="I1120" s="460" t="e">
        <v>#N/A</v>
      </c>
      <c r="J1120" s="460" t="e">
        <v>#N/A</v>
      </c>
      <c r="K1120" s="460" t="e">
        <v>#N/A</v>
      </c>
      <c r="L1120" s="459" t="e">
        <v>#N/A</v>
      </c>
      <c r="O1120" t="e">
        <v>#N/A</v>
      </c>
      <c r="P1120" t="e">
        <v>#N/A</v>
      </c>
    </row>
    <row r="1121" spans="1:16" ht="14.4" x14ac:dyDescent="0.3">
      <c r="A1121">
        <v>405106</v>
      </c>
      <c r="B1121" t="e">
        <f t="shared" si="34"/>
        <v>#N/A</v>
      </c>
      <c r="C1121" s="185" t="e">
        <f t="shared" si="35"/>
        <v>#N/A</v>
      </c>
      <c r="D1121" s="407" t="e">
        <v>#N/A</v>
      </c>
      <c r="E1121" s="407" t="e">
        <v>#N/A</v>
      </c>
      <c r="F1121" s="407" t="e">
        <v>#N/A</v>
      </c>
      <c r="G1121" s="407" t="e">
        <v>#N/A</v>
      </c>
      <c r="H1121" s="460" t="e">
        <v>#N/A</v>
      </c>
      <c r="I1121" s="460" t="e">
        <v>#N/A</v>
      </c>
      <c r="J1121" s="460" t="e">
        <v>#N/A</v>
      </c>
      <c r="K1121" s="460" t="e">
        <v>#N/A</v>
      </c>
      <c r="L1121" s="459" t="e">
        <v>#N/A</v>
      </c>
      <c r="O1121" t="e">
        <v>#N/A</v>
      </c>
      <c r="P1121" t="e">
        <v>#N/A</v>
      </c>
    </row>
    <row r="1122" spans="1:16" ht="14.4" x14ac:dyDescent="0.3">
      <c r="A1122">
        <v>405108</v>
      </c>
      <c r="B1122" t="e">
        <f t="shared" si="34"/>
        <v>#N/A</v>
      </c>
      <c r="C1122" s="185" t="e">
        <f t="shared" si="35"/>
        <v>#N/A</v>
      </c>
      <c r="D1122" s="407" t="e">
        <v>#N/A</v>
      </c>
      <c r="E1122" s="407" t="e">
        <v>#N/A</v>
      </c>
      <c r="F1122" s="407" t="e">
        <v>#N/A</v>
      </c>
      <c r="G1122" s="407" t="e">
        <v>#N/A</v>
      </c>
      <c r="H1122" s="460" t="e">
        <v>#N/A</v>
      </c>
      <c r="I1122" s="460" t="e">
        <v>#N/A</v>
      </c>
      <c r="J1122" s="460" t="e">
        <v>#N/A</v>
      </c>
      <c r="K1122" s="460" t="e">
        <v>#N/A</v>
      </c>
      <c r="L1122" s="459" t="e">
        <v>#N/A</v>
      </c>
      <c r="O1122" t="e">
        <v>#N/A</v>
      </c>
      <c r="P1122" t="e">
        <v>#N/A</v>
      </c>
    </row>
    <row r="1123" spans="1:16" ht="14.4" x14ac:dyDescent="0.3">
      <c r="A1123">
        <v>405111</v>
      </c>
      <c r="B1123" t="e">
        <f t="shared" si="34"/>
        <v>#N/A</v>
      </c>
      <c r="C1123" s="185" t="e">
        <f t="shared" si="35"/>
        <v>#N/A</v>
      </c>
      <c r="D1123" s="407" t="e">
        <v>#N/A</v>
      </c>
      <c r="E1123" s="407" t="e">
        <v>#N/A</v>
      </c>
      <c r="F1123" s="407" t="e">
        <v>#N/A</v>
      </c>
      <c r="G1123" s="407" t="e">
        <v>#N/A</v>
      </c>
      <c r="H1123" s="460" t="e">
        <v>#N/A</v>
      </c>
      <c r="I1123" s="460" t="e">
        <v>#N/A</v>
      </c>
      <c r="J1123" s="460" t="e">
        <v>#N/A</v>
      </c>
      <c r="K1123" s="460" t="e">
        <v>#N/A</v>
      </c>
      <c r="L1123" s="459" t="e">
        <v>#N/A</v>
      </c>
      <c r="O1123" t="e">
        <v>#N/A</v>
      </c>
      <c r="P1123" t="e">
        <v>#N/A</v>
      </c>
    </row>
    <row r="1124" spans="1:16" ht="14.4" x14ac:dyDescent="0.3">
      <c r="A1124">
        <v>405112</v>
      </c>
      <c r="B1124" t="e">
        <f t="shared" si="34"/>
        <v>#N/A</v>
      </c>
      <c r="C1124" s="185" t="e">
        <f t="shared" si="35"/>
        <v>#N/A</v>
      </c>
      <c r="D1124" s="407" t="e">
        <v>#N/A</v>
      </c>
      <c r="E1124" s="407" t="e">
        <v>#N/A</v>
      </c>
      <c r="F1124" s="407" t="e">
        <v>#N/A</v>
      </c>
      <c r="G1124" s="407" t="e">
        <v>#N/A</v>
      </c>
      <c r="H1124" s="460" t="e">
        <v>#N/A</v>
      </c>
      <c r="I1124" s="460" t="e">
        <v>#N/A</v>
      </c>
      <c r="J1124" s="460" t="e">
        <v>#N/A</v>
      </c>
      <c r="K1124" s="460" t="e">
        <v>#N/A</v>
      </c>
      <c r="L1124" s="459" t="e">
        <v>#N/A</v>
      </c>
      <c r="O1124" t="e">
        <v>#N/A</v>
      </c>
      <c r="P1124" t="e">
        <v>#N/A</v>
      </c>
    </row>
    <row r="1125" spans="1:16" ht="14.4" x14ac:dyDescent="0.3">
      <c r="A1125">
        <v>405114</v>
      </c>
      <c r="B1125" t="e">
        <f t="shared" si="34"/>
        <v>#N/A</v>
      </c>
      <c r="C1125" s="185" t="e">
        <f t="shared" si="35"/>
        <v>#N/A</v>
      </c>
      <c r="D1125" s="407" t="e">
        <v>#N/A</v>
      </c>
      <c r="E1125" s="407" t="e">
        <v>#N/A</v>
      </c>
      <c r="F1125" s="407" t="e">
        <v>#N/A</v>
      </c>
      <c r="G1125" s="407" t="e">
        <v>#N/A</v>
      </c>
      <c r="H1125" s="460" t="e">
        <v>#N/A</v>
      </c>
      <c r="I1125" s="460" t="e">
        <v>#N/A</v>
      </c>
      <c r="J1125" s="460" t="e">
        <v>#N/A</v>
      </c>
      <c r="K1125" s="460" t="e">
        <v>#N/A</v>
      </c>
      <c r="L1125" s="459" t="e">
        <v>#N/A</v>
      </c>
      <c r="O1125" t="e">
        <v>#N/A</v>
      </c>
      <c r="P1125" t="e">
        <v>#N/A</v>
      </c>
    </row>
    <row r="1126" spans="1:16" ht="14.4" x14ac:dyDescent="0.3">
      <c r="A1126">
        <v>405115</v>
      </c>
      <c r="B1126" t="e">
        <f t="shared" si="34"/>
        <v>#N/A</v>
      </c>
      <c r="C1126" s="185" t="e">
        <f t="shared" si="35"/>
        <v>#N/A</v>
      </c>
      <c r="D1126" s="407" t="e">
        <v>#N/A</v>
      </c>
      <c r="E1126" s="407" t="e">
        <v>#N/A</v>
      </c>
      <c r="F1126" s="407" t="e">
        <v>#N/A</v>
      </c>
      <c r="G1126" s="407" t="e">
        <v>#N/A</v>
      </c>
      <c r="H1126" s="460" t="e">
        <v>#N/A</v>
      </c>
      <c r="I1126" s="460" t="e">
        <v>#N/A</v>
      </c>
      <c r="J1126" s="460" t="e">
        <v>#N/A</v>
      </c>
      <c r="K1126" s="460" t="e">
        <v>#N/A</v>
      </c>
      <c r="L1126" s="459" t="e">
        <v>#N/A</v>
      </c>
      <c r="O1126" t="e">
        <v>#N/A</v>
      </c>
      <c r="P1126" t="e">
        <v>#N/A</v>
      </c>
    </row>
    <row r="1127" spans="1:16" ht="14.4" x14ac:dyDescent="0.3">
      <c r="A1127">
        <v>405116</v>
      </c>
      <c r="B1127" t="e">
        <f t="shared" si="34"/>
        <v>#N/A</v>
      </c>
      <c r="C1127" s="185" t="e">
        <f t="shared" si="35"/>
        <v>#N/A</v>
      </c>
      <c r="D1127" s="407" t="e">
        <v>#N/A</v>
      </c>
      <c r="E1127" s="407" t="e">
        <v>#N/A</v>
      </c>
      <c r="F1127" s="407" t="e">
        <v>#N/A</v>
      </c>
      <c r="G1127" s="407" t="e">
        <v>#N/A</v>
      </c>
      <c r="H1127" s="460" t="e">
        <v>#N/A</v>
      </c>
      <c r="I1127" s="460" t="e">
        <v>#N/A</v>
      </c>
      <c r="J1127" s="460" t="e">
        <v>#N/A</v>
      </c>
      <c r="K1127" s="460" t="e">
        <v>#N/A</v>
      </c>
      <c r="L1127" s="459" t="e">
        <v>#N/A</v>
      </c>
      <c r="O1127" t="e">
        <v>#N/A</v>
      </c>
      <c r="P1127" t="e">
        <v>#N/A</v>
      </c>
    </row>
    <row r="1128" spans="1:16" ht="14.4" x14ac:dyDescent="0.3">
      <c r="A1128">
        <v>405221</v>
      </c>
      <c r="B1128" t="e">
        <f t="shared" si="34"/>
        <v>#N/A</v>
      </c>
      <c r="C1128" s="185" t="e">
        <f t="shared" si="35"/>
        <v>#N/A</v>
      </c>
      <c r="D1128" s="407" t="e">
        <v>#N/A</v>
      </c>
      <c r="E1128" s="407" t="e">
        <v>#N/A</v>
      </c>
      <c r="F1128" s="407" t="e">
        <v>#N/A</v>
      </c>
      <c r="G1128" s="407" t="e">
        <v>#N/A</v>
      </c>
      <c r="H1128" s="460" t="e">
        <v>#N/A</v>
      </c>
      <c r="I1128" s="460" t="e">
        <v>#N/A</v>
      </c>
      <c r="J1128" s="460" t="e">
        <v>#N/A</v>
      </c>
      <c r="K1128" s="460" t="e">
        <v>#N/A</v>
      </c>
      <c r="L1128" s="459" t="e">
        <v>#N/A</v>
      </c>
      <c r="O1128" t="e">
        <v>#N/A</v>
      </c>
      <c r="P1128" t="e">
        <v>#N/A</v>
      </c>
    </row>
    <row r="1129" spans="1:16" ht="14.4" x14ac:dyDescent="0.3">
      <c r="A1129">
        <v>381292</v>
      </c>
      <c r="B1129" t="str">
        <f t="shared" si="34"/>
        <v/>
      </c>
      <c r="C1129" s="185" t="e">
        <f t="shared" si="35"/>
        <v>#N/A</v>
      </c>
      <c r="D1129" s="407" t="s">
        <v>6895</v>
      </c>
      <c r="E1129" s="407" t="s">
        <v>6896</v>
      </c>
      <c r="F1129" s="407" t="s">
        <v>6897</v>
      </c>
      <c r="G1129" s="407" t="s">
        <v>68</v>
      </c>
      <c r="H1129" s="460" t="e">
        <v>#N/A</v>
      </c>
      <c r="I1129" s="460" t="e">
        <v>#N/A</v>
      </c>
      <c r="J1129" s="460" t="e">
        <v>#N/A</v>
      </c>
      <c r="K1129" s="460" t="e">
        <v>#N/A</v>
      </c>
      <c r="L1129" s="459" t="e">
        <v>#N/A</v>
      </c>
      <c r="O1129">
        <v>0</v>
      </c>
      <c r="P1129" t="s">
        <v>9617</v>
      </c>
    </row>
    <row r="1130" spans="1:16" ht="14.4" x14ac:dyDescent="0.3">
      <c r="A1130">
        <v>382056</v>
      </c>
      <c r="B1130" t="e">
        <f t="shared" si="34"/>
        <v>#N/A</v>
      </c>
      <c r="C1130" s="185" t="e">
        <f t="shared" si="35"/>
        <v>#N/A</v>
      </c>
      <c r="D1130" s="407" t="e">
        <v>#N/A</v>
      </c>
      <c r="E1130" s="407" t="e">
        <v>#N/A</v>
      </c>
      <c r="F1130" s="407" t="e">
        <v>#N/A</v>
      </c>
      <c r="G1130" s="407" t="e">
        <v>#N/A</v>
      </c>
      <c r="H1130" s="460" t="e">
        <v>#N/A</v>
      </c>
      <c r="I1130" s="460" t="e">
        <v>#N/A</v>
      </c>
      <c r="J1130" s="460" t="e">
        <v>#N/A</v>
      </c>
      <c r="K1130" s="460" t="e">
        <v>#N/A</v>
      </c>
      <c r="L1130" s="459" t="e">
        <v>#N/A</v>
      </c>
      <c r="O1130" t="e">
        <v>#N/A</v>
      </c>
      <c r="P1130" t="e">
        <v>#N/A</v>
      </c>
    </row>
    <row r="1131" spans="1:16" ht="14.4" x14ac:dyDescent="0.3">
      <c r="A1131">
        <v>382058</v>
      </c>
      <c r="B1131" t="e">
        <f t="shared" si="34"/>
        <v>#N/A</v>
      </c>
      <c r="C1131" s="185" t="e">
        <f t="shared" si="35"/>
        <v>#N/A</v>
      </c>
      <c r="D1131" s="407" t="e">
        <v>#N/A</v>
      </c>
      <c r="E1131" s="407" t="e">
        <v>#N/A</v>
      </c>
      <c r="F1131" s="407" t="e">
        <v>#N/A</v>
      </c>
      <c r="G1131" s="407" t="e">
        <v>#N/A</v>
      </c>
      <c r="H1131" s="460" t="e">
        <v>#N/A</v>
      </c>
      <c r="I1131" s="460" t="e">
        <v>#N/A</v>
      </c>
      <c r="J1131" s="460" t="e">
        <v>#N/A</v>
      </c>
      <c r="K1131" s="460" t="e">
        <v>#N/A</v>
      </c>
      <c r="L1131" s="459" t="e">
        <v>#N/A</v>
      </c>
      <c r="O1131" t="e">
        <v>#N/A</v>
      </c>
      <c r="P1131" t="e">
        <v>#N/A</v>
      </c>
    </row>
    <row r="1132" spans="1:16" ht="14.4" x14ac:dyDescent="0.3">
      <c r="A1132">
        <v>382059</v>
      </c>
      <c r="B1132" t="e">
        <f t="shared" si="34"/>
        <v>#N/A</v>
      </c>
      <c r="C1132" s="185" t="e">
        <f t="shared" si="35"/>
        <v>#N/A</v>
      </c>
      <c r="D1132" s="407" t="e">
        <v>#N/A</v>
      </c>
      <c r="E1132" s="407" t="e">
        <v>#N/A</v>
      </c>
      <c r="F1132" s="407" t="e">
        <v>#N/A</v>
      </c>
      <c r="G1132" s="407" t="e">
        <v>#N/A</v>
      </c>
      <c r="H1132" s="460" t="e">
        <v>#N/A</v>
      </c>
      <c r="I1132" s="460" t="e">
        <v>#N/A</v>
      </c>
      <c r="J1132" s="460" t="e">
        <v>#N/A</v>
      </c>
      <c r="K1132" s="460" t="e">
        <v>#N/A</v>
      </c>
      <c r="L1132" s="459" t="e">
        <v>#N/A</v>
      </c>
      <c r="O1132" t="e">
        <v>#N/A</v>
      </c>
      <c r="P1132" t="e">
        <v>#N/A</v>
      </c>
    </row>
    <row r="1133" spans="1:16" ht="14.4" x14ac:dyDescent="0.3">
      <c r="A1133">
        <v>382212</v>
      </c>
      <c r="B1133" t="e">
        <f t="shared" si="34"/>
        <v>#N/A</v>
      </c>
      <c r="C1133" s="185" t="e">
        <f t="shared" si="35"/>
        <v>#N/A</v>
      </c>
      <c r="D1133" s="407" t="e">
        <v>#N/A</v>
      </c>
      <c r="E1133" s="407" t="e">
        <v>#N/A</v>
      </c>
      <c r="F1133" s="407" t="e">
        <v>#N/A</v>
      </c>
      <c r="G1133" s="407" t="e">
        <v>#N/A</v>
      </c>
      <c r="H1133" s="460" t="e">
        <v>#N/A</v>
      </c>
      <c r="I1133" s="460" t="e">
        <v>#N/A</v>
      </c>
      <c r="J1133" s="460" t="e">
        <v>#N/A</v>
      </c>
      <c r="K1133" s="460" t="e">
        <v>#N/A</v>
      </c>
      <c r="L1133" s="459" t="e">
        <v>#N/A</v>
      </c>
      <c r="O1133" t="e">
        <v>#N/A</v>
      </c>
      <c r="P1133" t="e">
        <v>#N/A</v>
      </c>
    </row>
    <row r="1134" spans="1:16" ht="14.4" x14ac:dyDescent="0.3">
      <c r="A1134">
        <v>382210</v>
      </c>
      <c r="B1134" t="e">
        <f t="shared" si="34"/>
        <v>#N/A</v>
      </c>
      <c r="C1134" s="185" t="e">
        <f t="shared" si="35"/>
        <v>#N/A</v>
      </c>
      <c r="D1134" s="407" t="e">
        <v>#N/A</v>
      </c>
      <c r="E1134" s="407" t="e">
        <v>#N/A</v>
      </c>
      <c r="F1134" s="407" t="e">
        <v>#N/A</v>
      </c>
      <c r="G1134" s="407" t="e">
        <v>#N/A</v>
      </c>
      <c r="H1134" s="460" t="e">
        <v>#N/A</v>
      </c>
      <c r="I1134" s="460" t="e">
        <v>#N/A</v>
      </c>
      <c r="J1134" s="460" t="e">
        <v>#N/A</v>
      </c>
      <c r="K1134" s="460" t="e">
        <v>#N/A</v>
      </c>
      <c r="L1134" s="459" t="e">
        <v>#N/A</v>
      </c>
      <c r="O1134" t="e">
        <v>#N/A</v>
      </c>
      <c r="P1134" t="e">
        <v>#N/A</v>
      </c>
    </row>
    <row r="1135" spans="1:16" ht="14.4" x14ac:dyDescent="0.3">
      <c r="A1135">
        <v>382213</v>
      </c>
      <c r="B1135" t="e">
        <f t="shared" si="34"/>
        <v>#N/A</v>
      </c>
      <c r="C1135" s="185" t="e">
        <f t="shared" si="35"/>
        <v>#N/A</v>
      </c>
      <c r="D1135" s="407" t="e">
        <v>#N/A</v>
      </c>
      <c r="E1135" s="407" t="e">
        <v>#N/A</v>
      </c>
      <c r="F1135" s="407" t="e">
        <v>#N/A</v>
      </c>
      <c r="G1135" s="407" t="e">
        <v>#N/A</v>
      </c>
      <c r="H1135" s="460" t="e">
        <v>#N/A</v>
      </c>
      <c r="I1135" s="460" t="e">
        <v>#N/A</v>
      </c>
      <c r="J1135" s="460" t="e">
        <v>#N/A</v>
      </c>
      <c r="K1135" s="460" t="e">
        <v>#N/A</v>
      </c>
      <c r="L1135" s="459" t="e">
        <v>#N/A</v>
      </c>
      <c r="O1135" t="e">
        <v>#N/A</v>
      </c>
      <c r="P1135" t="e">
        <v>#N/A</v>
      </c>
    </row>
    <row r="1136" spans="1:16" ht="14.4" x14ac:dyDescent="0.3">
      <c r="A1136">
        <v>382214</v>
      </c>
      <c r="B1136" t="e">
        <f t="shared" si="34"/>
        <v>#N/A</v>
      </c>
      <c r="C1136" s="185" t="e">
        <f t="shared" si="35"/>
        <v>#N/A</v>
      </c>
      <c r="D1136" s="407" t="e">
        <v>#N/A</v>
      </c>
      <c r="E1136" s="407" t="e">
        <v>#N/A</v>
      </c>
      <c r="F1136" s="407" t="e">
        <v>#N/A</v>
      </c>
      <c r="G1136" s="407" t="e">
        <v>#N/A</v>
      </c>
      <c r="H1136" s="460" t="e">
        <v>#N/A</v>
      </c>
      <c r="I1136" s="460" t="e">
        <v>#N/A</v>
      </c>
      <c r="J1136" s="460" t="e">
        <v>#N/A</v>
      </c>
      <c r="K1136" s="460" t="e">
        <v>#N/A</v>
      </c>
      <c r="L1136" s="459" t="e">
        <v>#N/A</v>
      </c>
      <c r="O1136" t="e">
        <v>#N/A</v>
      </c>
      <c r="P1136" t="e">
        <v>#N/A</v>
      </c>
    </row>
    <row r="1137" spans="1:16" ht="14.4" x14ac:dyDescent="0.3">
      <c r="A1137">
        <v>382216</v>
      </c>
      <c r="B1137" t="e">
        <f t="shared" si="34"/>
        <v>#N/A</v>
      </c>
      <c r="C1137" s="185" t="e">
        <f t="shared" si="35"/>
        <v>#N/A</v>
      </c>
      <c r="D1137" s="407" t="e">
        <v>#N/A</v>
      </c>
      <c r="E1137" s="407" t="e">
        <v>#N/A</v>
      </c>
      <c r="F1137" s="407" t="e">
        <v>#N/A</v>
      </c>
      <c r="G1137" s="407" t="e">
        <v>#N/A</v>
      </c>
      <c r="H1137" s="460" t="e">
        <v>#N/A</v>
      </c>
      <c r="I1137" s="460" t="e">
        <v>#N/A</v>
      </c>
      <c r="J1137" s="460" t="e">
        <v>#N/A</v>
      </c>
      <c r="K1137" s="460" t="e">
        <v>#N/A</v>
      </c>
      <c r="L1137" s="459" t="e">
        <v>#N/A</v>
      </c>
      <c r="O1137" t="e">
        <v>#N/A</v>
      </c>
      <c r="P1137" t="e">
        <v>#N/A</v>
      </c>
    </row>
    <row r="1138" spans="1:16" ht="14.4" x14ac:dyDescent="0.3">
      <c r="A1138">
        <v>382220</v>
      </c>
      <c r="B1138" t="str">
        <f t="shared" si="34"/>
        <v/>
      </c>
      <c r="C1138" s="185" t="e">
        <f t="shared" si="35"/>
        <v>#N/A</v>
      </c>
      <c r="D1138" s="407" t="s">
        <v>6898</v>
      </c>
      <c r="E1138" s="407" t="s">
        <v>6899</v>
      </c>
      <c r="F1138" s="407" t="s">
        <v>6900</v>
      </c>
      <c r="G1138" s="407" t="s">
        <v>68</v>
      </c>
      <c r="H1138" s="460" t="e">
        <v>#N/A</v>
      </c>
      <c r="I1138" s="460" t="e">
        <v>#N/A</v>
      </c>
      <c r="J1138" s="460" t="e">
        <v>#N/A</v>
      </c>
      <c r="K1138" s="460" t="e">
        <v>#N/A</v>
      </c>
      <c r="L1138" s="459" t="e">
        <v>#N/A</v>
      </c>
      <c r="O1138">
        <v>0</v>
      </c>
      <c r="P1138" t="s">
        <v>9618</v>
      </c>
    </row>
    <row r="1139" spans="1:16" ht="14.4" x14ac:dyDescent="0.3">
      <c r="A1139">
        <v>455042</v>
      </c>
      <c r="B1139" t="str">
        <f t="shared" si="34"/>
        <v/>
      </c>
      <c r="C1139" s="185" t="e">
        <f t="shared" si="35"/>
        <v>#N/A</v>
      </c>
      <c r="D1139" s="407" t="s">
        <v>6901</v>
      </c>
      <c r="E1139" s="407" t="s">
        <v>6902</v>
      </c>
      <c r="F1139" s="407" t="s">
        <v>6903</v>
      </c>
      <c r="G1139" s="407" t="s">
        <v>68</v>
      </c>
      <c r="H1139" s="460" t="e">
        <v>#N/A</v>
      </c>
      <c r="I1139" s="460" t="e">
        <v>#N/A</v>
      </c>
      <c r="J1139" s="460" t="e">
        <v>#N/A</v>
      </c>
      <c r="K1139" s="460" t="e">
        <v>#N/A</v>
      </c>
      <c r="L1139" s="459" t="e">
        <v>#N/A</v>
      </c>
      <c r="O1139">
        <v>68.965490000000003</v>
      </c>
      <c r="P1139" t="s">
        <v>9619</v>
      </c>
    </row>
    <row r="1140" spans="1:16" ht="14.4" x14ac:dyDescent="0.3">
      <c r="A1140">
        <v>363467</v>
      </c>
      <c r="B1140" t="str">
        <f t="shared" si="34"/>
        <v>Wózek do okuć 1401 razem z płytką i wkrętami</v>
      </c>
      <c r="C1140" s="185">
        <f t="shared" si="35"/>
        <v>42.585329999999999</v>
      </c>
      <c r="D1140" s="407" t="s">
        <v>6904</v>
      </c>
      <c r="E1140" s="407" t="s">
        <v>6905</v>
      </c>
      <c r="F1140" s="407" t="s">
        <v>6906</v>
      </c>
      <c r="G1140" s="407" t="s">
        <v>6907</v>
      </c>
      <c r="H1140" s="460">
        <v>230.65194</v>
      </c>
      <c r="I1140" s="460">
        <v>9.6007400000000001</v>
      </c>
      <c r="J1140" s="460">
        <v>42.585329999999999</v>
      </c>
      <c r="K1140" s="460" t="e">
        <v>#N/A</v>
      </c>
      <c r="L1140" s="459" t="s">
        <v>539</v>
      </c>
      <c r="O1140">
        <v>7.8939000000000004</v>
      </c>
      <c r="P1140" t="s">
        <v>9620</v>
      </c>
    </row>
    <row r="1141" spans="1:16" ht="14.4" x14ac:dyDescent="0.3">
      <c r="A1141">
        <v>364013</v>
      </c>
      <c r="B1141" t="e">
        <f t="shared" si="34"/>
        <v>#N/A</v>
      </c>
      <c r="C1141" s="185" t="e">
        <f t="shared" si="35"/>
        <v>#N/A</v>
      </c>
      <c r="D1141" s="407" t="e">
        <v>#N/A</v>
      </c>
      <c r="E1141" s="407" t="e">
        <v>#N/A</v>
      </c>
      <c r="F1141" s="407" t="e">
        <v>#N/A</v>
      </c>
      <c r="G1141" s="407" t="e">
        <v>#N/A</v>
      </c>
      <c r="H1141" s="460" t="e">
        <v>#N/A</v>
      </c>
      <c r="I1141" s="460" t="e">
        <v>#N/A</v>
      </c>
      <c r="J1141" s="460" t="e">
        <v>#N/A</v>
      </c>
      <c r="K1141" s="460" t="e">
        <v>#N/A</v>
      </c>
      <c r="L1141" s="459" t="e">
        <v>#N/A</v>
      </c>
      <c r="O1141" t="e">
        <v>#N/A</v>
      </c>
      <c r="P1141" t="e">
        <v>#N/A</v>
      </c>
    </row>
    <row r="1142" spans="1:16" ht="14.4" x14ac:dyDescent="0.3">
      <c r="A1142">
        <v>160267</v>
      </c>
      <c r="B1142" t="str">
        <f t="shared" si="34"/>
        <v>S-szczotka odbojowa niska 6,2x5 mm szary</v>
      </c>
      <c r="C1142" s="185">
        <f t="shared" si="35"/>
        <v>1.66072</v>
      </c>
      <c r="D1142" s="407" t="s">
        <v>6908</v>
      </c>
      <c r="E1142" s="407" t="s">
        <v>6909</v>
      </c>
      <c r="F1142" s="407" t="s">
        <v>6910</v>
      </c>
      <c r="G1142" s="407" t="s">
        <v>6911</v>
      </c>
      <c r="H1142" s="460">
        <v>8.82</v>
      </c>
      <c r="I1142" s="460">
        <v>0.37641999999999998</v>
      </c>
      <c r="J1142" s="460">
        <v>1.66072</v>
      </c>
      <c r="K1142" s="460" t="e">
        <v>#N/A</v>
      </c>
      <c r="L1142" s="459" t="s">
        <v>537</v>
      </c>
      <c r="O1142">
        <v>0.29137999999999997</v>
      </c>
      <c r="P1142" t="s">
        <v>9621</v>
      </c>
    </row>
    <row r="1143" spans="1:16" ht="14.4" x14ac:dyDescent="0.3">
      <c r="A1143">
        <v>160268</v>
      </c>
      <c r="B1143" t="str">
        <f t="shared" si="34"/>
        <v>S-S06N profl maskujący 2,5m srebrny</v>
      </c>
      <c r="C1143" s="185" t="e">
        <f t="shared" si="35"/>
        <v>#N/A</v>
      </c>
      <c r="D1143" s="407" t="s">
        <v>6912</v>
      </c>
      <c r="E1143" s="407" t="s">
        <v>6913</v>
      </c>
      <c r="F1143" s="407" t="s">
        <v>6914</v>
      </c>
      <c r="G1143" s="407" t="s">
        <v>6915</v>
      </c>
      <c r="H1143" s="460" t="e">
        <v>#N/A</v>
      </c>
      <c r="I1143" s="460" t="e">
        <v>#N/A</v>
      </c>
      <c r="J1143" s="460" t="e">
        <v>#N/A</v>
      </c>
      <c r="K1143" s="460" t="e">
        <v>#N/A</v>
      </c>
      <c r="L1143" s="459" t="e">
        <v>#N/A</v>
      </c>
      <c r="O1143">
        <v>0</v>
      </c>
      <c r="P1143" t="s">
        <v>9622</v>
      </c>
    </row>
    <row r="1144" spans="1:16" ht="14.4" x14ac:dyDescent="0.3">
      <c r="A1144">
        <v>160269</v>
      </c>
      <c r="B1144" t="str">
        <f t="shared" si="34"/>
        <v>S-S06N profl maskujący 3m srebrny</v>
      </c>
      <c r="C1144" s="185" t="e">
        <f t="shared" si="35"/>
        <v>#N/A</v>
      </c>
      <c r="D1144" s="407" t="s">
        <v>6916</v>
      </c>
      <c r="E1144" s="407" t="s">
        <v>6917</v>
      </c>
      <c r="F1144" s="407" t="s">
        <v>6918</v>
      </c>
      <c r="G1144" s="407" t="s">
        <v>6919</v>
      </c>
      <c r="H1144" s="460" t="e">
        <v>#N/A</v>
      </c>
      <c r="I1144" s="460" t="e">
        <v>#N/A</v>
      </c>
      <c r="J1144" s="460" t="e">
        <v>#N/A</v>
      </c>
      <c r="K1144" s="460" t="e">
        <v>#N/A</v>
      </c>
      <c r="L1144" s="459" t="e">
        <v>#N/A</v>
      </c>
      <c r="O1144">
        <v>0</v>
      </c>
      <c r="P1144" t="s">
        <v>9623</v>
      </c>
    </row>
    <row r="1145" spans="1:16" ht="14.4" x14ac:dyDescent="0.3">
      <c r="A1145">
        <v>160270</v>
      </c>
      <c r="B1145" t="str">
        <f t="shared" si="34"/>
        <v>S-S06NN dolny profil prowadzący 2,5m srebrny</v>
      </c>
      <c r="C1145" s="185" t="e">
        <f t="shared" si="35"/>
        <v>#N/A</v>
      </c>
      <c r="D1145" s="407" t="s">
        <v>6920</v>
      </c>
      <c r="E1145" s="407" t="s">
        <v>6921</v>
      </c>
      <c r="F1145" s="407" t="s">
        <v>6922</v>
      </c>
      <c r="G1145" s="407" t="s">
        <v>6923</v>
      </c>
      <c r="H1145" s="460" t="e">
        <v>#N/A</v>
      </c>
      <c r="I1145" s="460" t="e">
        <v>#N/A</v>
      </c>
      <c r="J1145" s="460" t="e">
        <v>#N/A</v>
      </c>
      <c r="K1145" s="460" t="e">
        <v>#N/A</v>
      </c>
      <c r="L1145" s="459" t="e">
        <v>#N/A</v>
      </c>
      <c r="O1145">
        <v>0</v>
      </c>
      <c r="P1145" t="s">
        <v>9624</v>
      </c>
    </row>
    <row r="1146" spans="1:16" ht="14.4" x14ac:dyDescent="0.3">
      <c r="A1146">
        <v>160271</v>
      </c>
      <c r="B1146" t="str">
        <f t="shared" si="34"/>
        <v>S-S06NN dolny profil prowadzący 3m srebrny</v>
      </c>
      <c r="C1146" s="185" t="e">
        <f t="shared" si="35"/>
        <v>#N/A</v>
      </c>
      <c r="D1146" s="407" t="s">
        <v>6924</v>
      </c>
      <c r="E1146" s="407" t="s">
        <v>6925</v>
      </c>
      <c r="F1146" s="407" t="s">
        <v>6926</v>
      </c>
      <c r="G1146" s="407" t="s">
        <v>6927</v>
      </c>
      <c r="H1146" s="460" t="e">
        <v>#N/A</v>
      </c>
      <c r="I1146" s="460" t="e">
        <v>#N/A</v>
      </c>
      <c r="J1146" s="460" t="e">
        <v>#N/A</v>
      </c>
      <c r="K1146" s="460" t="e">
        <v>#N/A</v>
      </c>
      <c r="L1146" s="459" t="e">
        <v>#N/A</v>
      </c>
      <c r="O1146">
        <v>0</v>
      </c>
      <c r="P1146" t="s">
        <v>9625</v>
      </c>
    </row>
    <row r="1147" spans="1:16" ht="14.4" x14ac:dyDescent="0.3">
      <c r="A1147">
        <v>160272</v>
      </c>
      <c r="B1147" t="str">
        <f t="shared" si="34"/>
        <v>S-hamulec do S06N/S06NN</v>
      </c>
      <c r="C1147" s="185">
        <f t="shared" si="35"/>
        <v>2.4910700000000001</v>
      </c>
      <c r="D1147" s="407" t="s">
        <v>6928</v>
      </c>
      <c r="E1147" s="407" t="s">
        <v>6929</v>
      </c>
      <c r="F1147" s="407" t="s">
        <v>6930</v>
      </c>
      <c r="G1147" s="407" t="s">
        <v>6931</v>
      </c>
      <c r="H1147" s="460">
        <v>13.23</v>
      </c>
      <c r="I1147" s="460">
        <v>0.56466000000000005</v>
      </c>
      <c r="J1147" s="460">
        <v>2.4910700000000001</v>
      </c>
      <c r="K1147" s="460" t="e">
        <v>#N/A</v>
      </c>
      <c r="L1147" s="459" t="s">
        <v>537</v>
      </c>
      <c r="O1147">
        <v>0.46622000000000002</v>
      </c>
      <c r="P1147" t="s">
        <v>9626</v>
      </c>
    </row>
    <row r="1148" spans="1:16" ht="14.4" x14ac:dyDescent="0.3">
      <c r="A1148">
        <v>162050</v>
      </c>
      <c r="B1148" t="str">
        <f t="shared" si="34"/>
        <v>S-S35C wózek dolny</v>
      </c>
      <c r="C1148" s="185">
        <f t="shared" si="35"/>
        <v>11.071400000000001</v>
      </c>
      <c r="D1148" s="407" t="s">
        <v>6932</v>
      </c>
      <c r="E1148" s="407" t="s">
        <v>6933</v>
      </c>
      <c r="F1148" s="407" t="s">
        <v>6934</v>
      </c>
      <c r="G1148" s="407" t="s">
        <v>6935</v>
      </c>
      <c r="H1148" s="460">
        <v>62.4</v>
      </c>
      <c r="I1148" s="460">
        <v>2.50956</v>
      </c>
      <c r="J1148" s="460">
        <v>11.071400000000001</v>
      </c>
      <c r="K1148" s="460" t="e">
        <v>#N/A</v>
      </c>
      <c r="L1148" s="459" t="s">
        <v>537</v>
      </c>
      <c r="O1148">
        <v>2.4172699999999998</v>
      </c>
      <c r="P1148" t="s">
        <v>9627</v>
      </c>
    </row>
    <row r="1149" spans="1:16" ht="14.4" x14ac:dyDescent="0.3">
      <c r="A1149">
        <v>169986</v>
      </c>
      <c r="B1149" t="str">
        <f t="shared" si="34"/>
        <v>S-profil S30/45 dolny elox 2m</v>
      </c>
      <c r="C1149" s="185">
        <f t="shared" si="35"/>
        <v>64.767709999999994</v>
      </c>
      <c r="D1149" s="407" t="s">
        <v>6936</v>
      </c>
      <c r="E1149" s="407" t="s">
        <v>6937</v>
      </c>
      <c r="F1149" s="407" t="s">
        <v>6938</v>
      </c>
      <c r="G1149" s="407" t="s">
        <v>6939</v>
      </c>
      <c r="H1149" s="460">
        <v>343.98</v>
      </c>
      <c r="I1149" s="460">
        <v>14.680949999999999</v>
      </c>
      <c r="J1149" s="460">
        <v>64.767709999999994</v>
      </c>
      <c r="K1149" s="460" t="e">
        <v>#N/A</v>
      </c>
      <c r="L1149" s="459" t="s">
        <v>537</v>
      </c>
      <c r="O1149">
        <v>11.218389999999999</v>
      </c>
      <c r="P1149" t="s">
        <v>9628</v>
      </c>
    </row>
    <row r="1150" spans="1:16" ht="14.4" x14ac:dyDescent="0.3">
      <c r="A1150">
        <v>169987</v>
      </c>
      <c r="B1150" t="str">
        <f t="shared" si="34"/>
        <v>S-komplet S30 dolny tor</v>
      </c>
      <c r="C1150" s="185">
        <f t="shared" si="35"/>
        <v>16.883900000000001</v>
      </c>
      <c r="D1150" s="407" t="s">
        <v>6940</v>
      </c>
      <c r="E1150" s="407" t="s">
        <v>6941</v>
      </c>
      <c r="F1150" s="407" t="s">
        <v>6942</v>
      </c>
      <c r="G1150" s="407" t="s">
        <v>6943</v>
      </c>
      <c r="H1150" s="460">
        <v>233.94149999999999</v>
      </c>
      <c r="I1150" s="460">
        <v>8.9256799999999998</v>
      </c>
      <c r="J1150" s="460">
        <v>16.883900000000001</v>
      </c>
      <c r="K1150" s="460" t="e">
        <v>#N/A</v>
      </c>
      <c r="L1150" s="459" t="s">
        <v>537</v>
      </c>
      <c r="O1150">
        <v>3.2052100000000001</v>
      </c>
      <c r="P1150" t="s">
        <v>9629</v>
      </c>
    </row>
    <row r="1151" spans="1:16" ht="14.4" x14ac:dyDescent="0.3">
      <c r="A1151">
        <v>362284</v>
      </c>
      <c r="B1151" t="e">
        <f t="shared" si="34"/>
        <v>#N/A</v>
      </c>
      <c r="C1151" s="185" t="e">
        <f t="shared" si="35"/>
        <v>#N/A</v>
      </c>
      <c r="D1151" s="407" t="e">
        <v>#N/A</v>
      </c>
      <c r="E1151" s="407" t="e">
        <v>#N/A</v>
      </c>
      <c r="F1151" s="407" t="e">
        <v>#N/A</v>
      </c>
      <c r="G1151" s="407" t="e">
        <v>#N/A</v>
      </c>
      <c r="H1151" s="460" t="e">
        <v>#N/A</v>
      </c>
      <c r="I1151" s="460" t="e">
        <v>#N/A</v>
      </c>
      <c r="J1151" s="460" t="e">
        <v>#N/A</v>
      </c>
      <c r="K1151" s="460" t="e">
        <v>#N/A</v>
      </c>
      <c r="L1151" s="459" t="e">
        <v>#N/A</v>
      </c>
      <c r="O1151" t="e">
        <v>#N/A</v>
      </c>
      <c r="P1151" t="e">
        <v>#N/A</v>
      </c>
    </row>
    <row r="1152" spans="1:16" ht="14.4" x14ac:dyDescent="0.3">
      <c r="A1152">
        <v>362325</v>
      </c>
      <c r="B1152" t="e">
        <f t="shared" si="34"/>
        <v>#N/A</v>
      </c>
      <c r="C1152" s="185" t="e">
        <f t="shared" si="35"/>
        <v>#N/A</v>
      </c>
      <c r="D1152" s="407" t="e">
        <v>#N/A</v>
      </c>
      <c r="E1152" s="407" t="e">
        <v>#N/A</v>
      </c>
      <c r="F1152" s="407" t="e">
        <v>#N/A</v>
      </c>
      <c r="G1152" s="407" t="e">
        <v>#N/A</v>
      </c>
      <c r="H1152" s="460" t="e">
        <v>#N/A</v>
      </c>
      <c r="I1152" s="460" t="e">
        <v>#N/A</v>
      </c>
      <c r="J1152" s="460" t="e">
        <v>#N/A</v>
      </c>
      <c r="K1152" s="460" t="e">
        <v>#N/A</v>
      </c>
      <c r="L1152" s="459" t="e">
        <v>#N/A</v>
      </c>
      <c r="O1152" t="e">
        <v>#N/A</v>
      </c>
      <c r="P1152" t="e">
        <v>#N/A</v>
      </c>
    </row>
    <row r="1153" spans="1:16" ht="14.4" x14ac:dyDescent="0.3">
      <c r="A1153">
        <v>362326</v>
      </c>
      <c r="B1153" t="e">
        <f t="shared" si="34"/>
        <v>#N/A</v>
      </c>
      <c r="C1153" s="185" t="e">
        <f t="shared" si="35"/>
        <v>#N/A</v>
      </c>
      <c r="D1153" s="407" t="e">
        <v>#N/A</v>
      </c>
      <c r="E1153" s="407" t="e">
        <v>#N/A</v>
      </c>
      <c r="F1153" s="407" t="e">
        <v>#N/A</v>
      </c>
      <c r="G1153" s="407" t="e">
        <v>#N/A</v>
      </c>
      <c r="H1153" s="460" t="e">
        <v>#N/A</v>
      </c>
      <c r="I1153" s="460" t="e">
        <v>#N/A</v>
      </c>
      <c r="J1153" s="460" t="e">
        <v>#N/A</v>
      </c>
      <c r="K1153" s="460" t="e">
        <v>#N/A</v>
      </c>
      <c r="L1153" s="459" t="e">
        <v>#N/A</v>
      </c>
      <c r="O1153" t="e">
        <v>#N/A</v>
      </c>
      <c r="P1153" t="e">
        <v>#N/A</v>
      </c>
    </row>
    <row r="1154" spans="1:16" ht="14.4" x14ac:dyDescent="0.3">
      <c r="A1154">
        <v>362328</v>
      </c>
      <c r="B1154" t="e">
        <f t="shared" si="34"/>
        <v>#N/A</v>
      </c>
      <c r="C1154" s="185" t="e">
        <f t="shared" si="35"/>
        <v>#N/A</v>
      </c>
      <c r="D1154" s="407" t="e">
        <v>#N/A</v>
      </c>
      <c r="E1154" s="407" t="e">
        <v>#N/A</v>
      </c>
      <c r="F1154" s="407" t="e">
        <v>#N/A</v>
      </c>
      <c r="G1154" s="407" t="e">
        <v>#N/A</v>
      </c>
      <c r="H1154" s="460" t="e">
        <v>#N/A</v>
      </c>
      <c r="I1154" s="460" t="e">
        <v>#N/A</v>
      </c>
      <c r="J1154" s="460" t="e">
        <v>#N/A</v>
      </c>
      <c r="K1154" s="460" t="e">
        <v>#N/A</v>
      </c>
      <c r="L1154" s="459" t="e">
        <v>#N/A</v>
      </c>
      <c r="O1154" t="e">
        <v>#N/A</v>
      </c>
      <c r="P1154" t="e">
        <v>#N/A</v>
      </c>
    </row>
    <row r="1155" spans="1:16" ht="14.4" x14ac:dyDescent="0.3">
      <c r="A1155">
        <v>362354</v>
      </c>
      <c r="B1155" t="str">
        <f t="shared" si="34"/>
        <v>SEVROLL Wzornik deseczka Blue 10 (8 szt.)</v>
      </c>
      <c r="C1155" s="185" t="e">
        <f t="shared" si="35"/>
        <v>#N/A</v>
      </c>
      <c r="D1155" s="407" t="s">
        <v>1323</v>
      </c>
      <c r="E1155" s="407" t="s">
        <v>1774</v>
      </c>
      <c r="F1155" s="407" t="s">
        <v>2154</v>
      </c>
      <c r="G1155" s="407" t="s">
        <v>2353</v>
      </c>
      <c r="H1155" s="460" t="e">
        <v>#N/A</v>
      </c>
      <c r="I1155" s="460" t="e">
        <v>#N/A</v>
      </c>
      <c r="J1155" s="460" t="e">
        <v>#N/A</v>
      </c>
      <c r="K1155" s="460" t="e">
        <v>#N/A</v>
      </c>
      <c r="L1155" s="459" t="e">
        <v>#N/A</v>
      </c>
      <c r="O1155" t="e">
        <v>#N/A</v>
      </c>
      <c r="P1155" t="e">
        <v>#N/A</v>
      </c>
    </row>
    <row r="1156" spans="1:16" ht="14.4" x14ac:dyDescent="0.3">
      <c r="A1156">
        <v>362441</v>
      </c>
      <c r="B1156" t="e">
        <f t="shared" ref="B1156:B1219" si="36">IF($A$2=1,D1156,IF($A$2=2,F1156,IF($A$2=3,G1156,IF($A$2=4,E1156,IF($A$2&gt;4,P1156,"zadat jazyk")))))</f>
        <v>#N/A</v>
      </c>
      <c r="C1156" s="185" t="e">
        <f t="shared" ref="C1156:C1219" si="37">IF($A$2=1,H1156,IF($A$2=2,I1156,IF($A$2=3,J1156,IF($A$2=4,K1156,IF($A$2&gt;4,O1156,"zadat jazyk")))))</f>
        <v>#N/A</v>
      </c>
      <c r="D1156" s="407" t="e">
        <v>#N/A</v>
      </c>
      <c r="E1156" s="407" t="e">
        <v>#N/A</v>
      </c>
      <c r="F1156" s="407" t="e">
        <v>#N/A</v>
      </c>
      <c r="G1156" s="407" t="e">
        <v>#N/A</v>
      </c>
      <c r="H1156" s="460" t="e">
        <v>#N/A</v>
      </c>
      <c r="I1156" s="460" t="e">
        <v>#N/A</v>
      </c>
      <c r="J1156" s="460" t="e">
        <v>#N/A</v>
      </c>
      <c r="K1156" s="460" t="e">
        <v>#N/A</v>
      </c>
      <c r="L1156" s="459" t="e">
        <v>#N/A</v>
      </c>
      <c r="O1156" t="e">
        <v>#N/A</v>
      </c>
      <c r="P1156" t="e">
        <v>#N/A</v>
      </c>
    </row>
    <row r="1157" spans="1:16" ht="14.4" x14ac:dyDescent="0.3">
      <c r="A1157">
        <v>362443</v>
      </c>
      <c r="B1157" t="e">
        <f t="shared" si="36"/>
        <v>#N/A</v>
      </c>
      <c r="C1157" s="185" t="e">
        <f t="shared" si="37"/>
        <v>#N/A</v>
      </c>
      <c r="D1157" s="407" t="e">
        <v>#N/A</v>
      </c>
      <c r="E1157" s="407" t="e">
        <v>#N/A</v>
      </c>
      <c r="F1157" s="407" t="e">
        <v>#N/A</v>
      </c>
      <c r="G1157" s="407" t="e">
        <v>#N/A</v>
      </c>
      <c r="H1157" s="460" t="e">
        <v>#N/A</v>
      </c>
      <c r="I1157" s="460" t="e">
        <v>#N/A</v>
      </c>
      <c r="J1157" s="460" t="e">
        <v>#N/A</v>
      </c>
      <c r="K1157" s="460" t="e">
        <v>#N/A</v>
      </c>
      <c r="L1157" s="459" t="e">
        <v>#N/A</v>
      </c>
      <c r="O1157" t="e">
        <v>#N/A</v>
      </c>
      <c r="P1157" t="e">
        <v>#N/A</v>
      </c>
    </row>
    <row r="1158" spans="1:16" ht="14.4" x14ac:dyDescent="0.3">
      <c r="A1158">
        <v>362451</v>
      </c>
      <c r="B1158" t="e">
        <f t="shared" si="36"/>
        <v>#N/A</v>
      </c>
      <c r="C1158" s="185" t="e">
        <f t="shared" si="37"/>
        <v>#N/A</v>
      </c>
      <c r="D1158" s="407" t="e">
        <v>#N/A</v>
      </c>
      <c r="E1158" s="407" t="e">
        <v>#N/A</v>
      </c>
      <c r="F1158" s="407" t="e">
        <v>#N/A</v>
      </c>
      <c r="G1158" s="407" t="e">
        <v>#N/A</v>
      </c>
      <c r="H1158" s="460" t="e">
        <v>#N/A</v>
      </c>
      <c r="I1158" s="460" t="e">
        <v>#N/A</v>
      </c>
      <c r="J1158" s="460" t="e">
        <v>#N/A</v>
      </c>
      <c r="K1158" s="460" t="e">
        <v>#N/A</v>
      </c>
      <c r="L1158" s="459" t="e">
        <v>#N/A</v>
      </c>
      <c r="O1158" t="e">
        <v>#N/A</v>
      </c>
      <c r="P1158" t="e">
        <v>#N/A</v>
      </c>
    </row>
    <row r="1159" spans="1:16" ht="14.4" x14ac:dyDescent="0.3">
      <c r="A1159">
        <v>362913</v>
      </c>
      <c r="B1159" t="str">
        <f t="shared" si="36"/>
        <v>SEVROLL Pax XL rączka 2,7m biały polysk</v>
      </c>
      <c r="C1159" s="185" t="e">
        <f t="shared" si="37"/>
        <v>#N/A</v>
      </c>
      <c r="D1159" s="407" t="s">
        <v>1324</v>
      </c>
      <c r="E1159" s="407" t="s">
        <v>1775</v>
      </c>
      <c r="F1159" s="407" t="s">
        <v>5783</v>
      </c>
      <c r="G1159" s="407" t="s">
        <v>2354</v>
      </c>
      <c r="H1159" s="460" t="e">
        <v>#N/A</v>
      </c>
      <c r="I1159" s="460" t="e">
        <v>#N/A</v>
      </c>
      <c r="J1159" s="460" t="e">
        <v>#N/A</v>
      </c>
      <c r="K1159" s="460" t="e">
        <v>#N/A</v>
      </c>
      <c r="L1159" s="459" t="e">
        <v>#N/A</v>
      </c>
      <c r="O1159">
        <v>31.372</v>
      </c>
      <c r="P1159" t="s">
        <v>9630</v>
      </c>
    </row>
    <row r="1160" spans="1:16" ht="14.4" x14ac:dyDescent="0.3">
      <c r="A1160">
        <v>294380</v>
      </c>
      <c r="B1160" t="str">
        <f t="shared" si="36"/>
        <v>IC-Górna listwa torowa EU 10 mm 2m szampan</v>
      </c>
      <c r="C1160" s="185" t="e">
        <f t="shared" si="37"/>
        <v>#N/A</v>
      </c>
      <c r="D1160" s="407" t="s">
        <v>6944</v>
      </c>
      <c r="E1160" s="407" t="s">
        <v>6945</v>
      </c>
      <c r="F1160" s="407" t="s">
        <v>6946</v>
      </c>
      <c r="G1160" s="407" t="s">
        <v>6947</v>
      </c>
      <c r="H1160" s="460" t="e">
        <v>#N/A</v>
      </c>
      <c r="I1160" s="460" t="e">
        <v>#N/A</v>
      </c>
      <c r="J1160" s="460" t="e">
        <v>#N/A</v>
      </c>
      <c r="K1160" s="460" t="e">
        <v>#N/A</v>
      </c>
      <c r="L1160" s="459" t="e">
        <v>#N/A</v>
      </c>
      <c r="O1160">
        <v>0</v>
      </c>
      <c r="P1160" t="s">
        <v>9631</v>
      </c>
    </row>
    <row r="1161" spans="1:16" ht="14.4" x14ac:dyDescent="0.3">
      <c r="A1161">
        <v>294384</v>
      </c>
      <c r="B1161" t="str">
        <f t="shared" si="36"/>
        <v>IC-Dolna listwa maskująca  EU 10 mm 2m szampan</v>
      </c>
      <c r="C1161" s="185" t="e">
        <f t="shared" si="37"/>
        <v>#N/A</v>
      </c>
      <c r="D1161" s="407" t="s">
        <v>6948</v>
      </c>
      <c r="E1161" s="407" t="s">
        <v>6949</v>
      </c>
      <c r="F1161" s="407" t="s">
        <v>6950</v>
      </c>
      <c r="G1161" s="407" t="s">
        <v>6951</v>
      </c>
      <c r="H1161" s="460" t="e">
        <v>#N/A</v>
      </c>
      <c r="I1161" s="460" t="e">
        <v>#N/A</v>
      </c>
      <c r="J1161" s="460" t="e">
        <v>#N/A</v>
      </c>
      <c r="K1161" s="460" t="e">
        <v>#N/A</v>
      </c>
      <c r="L1161" s="459" t="e">
        <v>#N/A</v>
      </c>
      <c r="O1161">
        <v>0</v>
      </c>
      <c r="P1161" t="s">
        <v>9632</v>
      </c>
    </row>
    <row r="1162" spans="1:16" ht="14.4" x14ac:dyDescent="0.3">
      <c r="A1162">
        <v>294431</v>
      </c>
      <c r="B1162" t="str">
        <f t="shared" si="36"/>
        <v>IC-tłumienie uniwersalne EU - 2szt.</v>
      </c>
      <c r="C1162" s="185" t="e">
        <f t="shared" si="37"/>
        <v>#N/A</v>
      </c>
      <c r="D1162" s="407" t="s">
        <v>6952</v>
      </c>
      <c r="E1162" s="407" t="s">
        <v>6953</v>
      </c>
      <c r="F1162" s="407" t="s">
        <v>6954</v>
      </c>
      <c r="G1162" s="407" t="s">
        <v>6955</v>
      </c>
      <c r="H1162" s="460" t="e">
        <v>#N/A</v>
      </c>
      <c r="I1162" s="460" t="e">
        <v>#N/A</v>
      </c>
      <c r="J1162" s="460" t="e">
        <v>#N/A</v>
      </c>
      <c r="K1162" s="460" t="e">
        <v>#N/A</v>
      </c>
      <c r="L1162" s="459" t="e">
        <v>#N/A</v>
      </c>
      <c r="O1162">
        <v>0</v>
      </c>
      <c r="P1162" t="s">
        <v>9633</v>
      </c>
    </row>
    <row r="1163" spans="1:16" ht="14.4" x14ac:dyDescent="0.3">
      <c r="A1163">
        <v>294476</v>
      </c>
      <c r="B1163" t="str">
        <f t="shared" si="36"/>
        <v>S-profil S11 stal nierdzewna 2,7m</v>
      </c>
      <c r="C1163" s="185" t="e">
        <f t="shared" si="37"/>
        <v>#N/A</v>
      </c>
      <c r="D1163" s="407" t="s">
        <v>6956</v>
      </c>
      <c r="E1163" s="407" t="s">
        <v>6957</v>
      </c>
      <c r="F1163" s="407" t="s">
        <v>6956</v>
      </c>
      <c r="G1163" s="407" t="s">
        <v>6958</v>
      </c>
      <c r="H1163" s="460" t="e">
        <v>#N/A</v>
      </c>
      <c r="I1163" s="460" t="e">
        <v>#N/A</v>
      </c>
      <c r="J1163" s="460" t="e">
        <v>#N/A</v>
      </c>
      <c r="K1163" s="460" t="e">
        <v>#N/A</v>
      </c>
      <c r="L1163" s="459" t="e">
        <v>#N/A</v>
      </c>
      <c r="O1163">
        <v>38.753880000000002</v>
      </c>
      <c r="P1163" t="s">
        <v>9634</v>
      </c>
    </row>
    <row r="1164" spans="1:16" ht="14.4" x14ac:dyDescent="0.3">
      <c r="A1164">
        <v>294482</v>
      </c>
      <c r="B1164" t="str">
        <f t="shared" si="36"/>
        <v>S-S05 górny profil prowadzący 2,5m stal nierdzewna</v>
      </c>
      <c r="C1164" s="185">
        <f t="shared" si="37"/>
        <v>183.17242999999999</v>
      </c>
      <c r="D1164" s="407" t="s">
        <v>6959</v>
      </c>
      <c r="E1164" s="407" t="s">
        <v>6960</v>
      </c>
      <c r="F1164" s="407" t="s">
        <v>6961</v>
      </c>
      <c r="G1164" s="407" t="s">
        <v>6962</v>
      </c>
      <c r="H1164" s="460">
        <v>972.82500000000005</v>
      </c>
      <c r="I1164" s="460">
        <v>41.519860000000001</v>
      </c>
      <c r="J1164" s="460">
        <v>183.17242999999999</v>
      </c>
      <c r="K1164" s="460" t="e">
        <v>#N/A</v>
      </c>
      <c r="L1164" s="459" t="s">
        <v>537</v>
      </c>
      <c r="O1164">
        <v>0</v>
      </c>
      <c r="P1164" t="s">
        <v>9635</v>
      </c>
    </row>
    <row r="1165" spans="1:16" ht="14.4" x14ac:dyDescent="0.3">
      <c r="A1165">
        <v>294483</v>
      </c>
      <c r="B1165" t="str">
        <f t="shared" si="36"/>
        <v>S-S06NN dolny profil 2,5m elox stal nierdzewna</v>
      </c>
      <c r="C1165" s="185" t="e">
        <f t="shared" si="37"/>
        <v>#N/A</v>
      </c>
      <c r="D1165" s="407" t="s">
        <v>6963</v>
      </c>
      <c r="E1165" s="407" t="s">
        <v>6964</v>
      </c>
      <c r="F1165" s="407" t="s">
        <v>6965</v>
      </c>
      <c r="G1165" s="407" t="s">
        <v>6966</v>
      </c>
      <c r="H1165" s="460" t="e">
        <v>#N/A</v>
      </c>
      <c r="I1165" s="460" t="e">
        <v>#N/A</v>
      </c>
      <c r="J1165" s="460" t="e">
        <v>#N/A</v>
      </c>
      <c r="K1165" s="460" t="e">
        <v>#N/A</v>
      </c>
      <c r="L1165" s="459" t="e">
        <v>#N/A</v>
      </c>
      <c r="O1165">
        <v>0</v>
      </c>
      <c r="P1165" t="s">
        <v>9636</v>
      </c>
    </row>
    <row r="1166" spans="1:16" ht="14.4" x14ac:dyDescent="0.3">
      <c r="A1166">
        <v>294484</v>
      </c>
      <c r="B1166" t="str">
        <f t="shared" si="36"/>
        <v>S-S06N profl maskujący alu 2,5m stal nierdzewna</v>
      </c>
      <c r="C1166" s="185" t="e">
        <f t="shared" si="37"/>
        <v>#N/A</v>
      </c>
      <c r="D1166" s="407" t="s">
        <v>6967</v>
      </c>
      <c r="E1166" s="407" t="s">
        <v>6968</v>
      </c>
      <c r="F1166" s="407" t="s">
        <v>6967</v>
      </c>
      <c r="G1166" s="407" t="s">
        <v>6969</v>
      </c>
      <c r="H1166" s="460" t="e">
        <v>#N/A</v>
      </c>
      <c r="I1166" s="460" t="e">
        <v>#N/A</v>
      </c>
      <c r="J1166" s="460" t="e">
        <v>#N/A</v>
      </c>
      <c r="K1166" s="460" t="e">
        <v>#N/A</v>
      </c>
      <c r="L1166" s="459" t="e">
        <v>#N/A</v>
      </c>
      <c r="O1166">
        <v>0</v>
      </c>
      <c r="P1166" t="s">
        <v>9637</v>
      </c>
    </row>
    <row r="1167" spans="1:16" ht="14.4" x14ac:dyDescent="0.3">
      <c r="A1167">
        <v>294485</v>
      </c>
      <c r="B1167" t="str">
        <f t="shared" si="36"/>
        <v>S-S65 górny i środkowy profil 2,5m stal nierdzewna</v>
      </c>
      <c r="C1167" s="185" t="e">
        <f t="shared" si="37"/>
        <v>#N/A</v>
      </c>
      <c r="D1167" s="407" t="s">
        <v>6970</v>
      </c>
      <c r="E1167" s="407" t="s">
        <v>6971</v>
      </c>
      <c r="F1167" s="407" t="s">
        <v>6972</v>
      </c>
      <c r="G1167" s="407" t="s">
        <v>6973</v>
      </c>
      <c r="H1167" s="460" t="e">
        <v>#N/A</v>
      </c>
      <c r="I1167" s="460" t="e">
        <v>#N/A</v>
      </c>
      <c r="J1167" s="460" t="e">
        <v>#N/A</v>
      </c>
      <c r="K1167" s="460" t="e">
        <v>#N/A</v>
      </c>
      <c r="L1167" s="459" t="e">
        <v>#N/A</v>
      </c>
      <c r="O1167">
        <v>0</v>
      </c>
      <c r="P1167" t="s">
        <v>9638</v>
      </c>
    </row>
    <row r="1168" spans="1:16" ht="14.4" x14ac:dyDescent="0.3">
      <c r="A1168">
        <v>294486</v>
      </c>
      <c r="B1168" t="str">
        <f t="shared" si="36"/>
        <v>S-S65 dolny profil 4/18mm 2,5m stal nierdzewna</v>
      </c>
      <c r="C1168" s="185" t="e">
        <f t="shared" si="37"/>
        <v>#N/A</v>
      </c>
      <c r="D1168" s="407" t="s">
        <v>6974</v>
      </c>
      <c r="E1168" s="407" t="s">
        <v>6975</v>
      </c>
      <c r="F1168" s="407" t="s">
        <v>6976</v>
      </c>
      <c r="G1168" s="407" t="s">
        <v>6977</v>
      </c>
      <c r="H1168" s="460" t="e">
        <v>#N/A</v>
      </c>
      <c r="I1168" s="460" t="e">
        <v>#N/A</v>
      </c>
      <c r="J1168" s="460" t="e">
        <v>#N/A</v>
      </c>
      <c r="K1168" s="460" t="e">
        <v>#N/A</v>
      </c>
      <c r="L1168" s="459" t="e">
        <v>#N/A</v>
      </c>
      <c r="O1168">
        <v>0</v>
      </c>
      <c r="P1168" t="s">
        <v>9639</v>
      </c>
    </row>
    <row r="1169" spans="1:16" ht="14.4" x14ac:dyDescent="0.3">
      <c r="A1169">
        <v>394802</v>
      </c>
      <c r="B1169" t="str">
        <f t="shared" si="36"/>
        <v>SEVROLL Gemini tor górny 1,7 m biały matowy</v>
      </c>
      <c r="C1169" s="185">
        <f t="shared" si="37"/>
        <v>74.653800000000004</v>
      </c>
      <c r="D1169" s="407" t="s">
        <v>1325</v>
      </c>
      <c r="E1169" s="407" t="s">
        <v>1776</v>
      </c>
      <c r="F1169" s="407" t="s">
        <v>5784</v>
      </c>
      <c r="G1169" s="407" t="s">
        <v>5785</v>
      </c>
      <c r="H1169" s="460">
        <v>511.68982999999997</v>
      </c>
      <c r="I1169" s="460">
        <v>18.39798</v>
      </c>
      <c r="J1169" s="460">
        <v>74.653800000000004</v>
      </c>
      <c r="K1169" s="460">
        <v>7081.1186600000001</v>
      </c>
      <c r="L1169" s="459" t="s">
        <v>538</v>
      </c>
      <c r="O1169">
        <v>19.492000000000001</v>
      </c>
      <c r="P1169" t="s">
        <v>9640</v>
      </c>
    </row>
    <row r="1170" spans="1:16" ht="14.4" x14ac:dyDescent="0.3">
      <c r="A1170">
        <v>394813</v>
      </c>
      <c r="B1170" t="str">
        <f t="shared" si="36"/>
        <v>SEVROLL Gemini tor górny 2,35 m biały matowy</v>
      </c>
      <c r="C1170" s="185">
        <f t="shared" si="37"/>
        <v>103.20359999999999</v>
      </c>
      <c r="D1170" s="407" t="s">
        <v>1326</v>
      </c>
      <c r="E1170" s="407" t="s">
        <v>1777</v>
      </c>
      <c r="F1170" s="407" t="s">
        <v>5786</v>
      </c>
      <c r="G1170" s="407" t="s">
        <v>5787</v>
      </c>
      <c r="H1170" s="460">
        <v>707.82552999999996</v>
      </c>
      <c r="I1170" s="460">
        <v>25.450099999999999</v>
      </c>
      <c r="J1170" s="460">
        <v>103.20359999999999</v>
      </c>
      <c r="K1170" s="460">
        <v>9795.3803599999992</v>
      </c>
      <c r="L1170" s="459" t="s">
        <v>538</v>
      </c>
      <c r="O1170">
        <v>26.928000000000001</v>
      </c>
      <c r="P1170" t="s">
        <v>9641</v>
      </c>
    </row>
    <row r="1171" spans="1:16" ht="14.4" x14ac:dyDescent="0.3">
      <c r="A1171">
        <v>394815</v>
      </c>
      <c r="B1171" t="str">
        <f t="shared" si="36"/>
        <v>SEVROLL Gemini tor górny 4,05 m biały matowy</v>
      </c>
      <c r="C1171" s="185">
        <f t="shared" si="37"/>
        <v>177.9186</v>
      </c>
      <c r="D1171" s="407" t="s">
        <v>1327</v>
      </c>
      <c r="E1171" s="407" t="s">
        <v>1778</v>
      </c>
      <c r="F1171" s="407" t="s">
        <v>5788</v>
      </c>
      <c r="G1171" s="407" t="s">
        <v>5789</v>
      </c>
      <c r="H1171" s="460">
        <v>1219.5153600000001</v>
      </c>
      <c r="I1171" s="460">
        <v>43.848080000000003</v>
      </c>
      <c r="J1171" s="460">
        <v>177.9186</v>
      </c>
      <c r="K1171" s="460">
        <v>16876.499019999999</v>
      </c>
      <c r="L1171" s="459" t="s">
        <v>538</v>
      </c>
      <c r="O1171">
        <v>46.353999999999999</v>
      </c>
      <c r="P1171" t="s">
        <v>9642</v>
      </c>
    </row>
    <row r="1172" spans="1:16" ht="14.4" x14ac:dyDescent="0.3">
      <c r="A1172">
        <v>394824</v>
      </c>
      <c r="B1172" t="str">
        <f t="shared" si="36"/>
        <v>SEVROLL Gemini tor górny 6m biały matowy</v>
      </c>
      <c r="C1172" s="185">
        <f t="shared" si="37"/>
        <v>0</v>
      </c>
      <c r="D1172" s="407" t="s">
        <v>1328</v>
      </c>
      <c r="E1172" s="407" t="s">
        <v>1779</v>
      </c>
      <c r="F1172" s="407" t="s">
        <v>5790</v>
      </c>
      <c r="G1172" s="407" t="s">
        <v>2355</v>
      </c>
      <c r="H1172" s="460">
        <v>1806.47497</v>
      </c>
      <c r="I1172" s="460">
        <v>64.95241</v>
      </c>
      <c r="J1172" s="460">
        <v>0</v>
      </c>
      <c r="K1172" s="460">
        <v>24999.252980000001</v>
      </c>
      <c r="L1172" s="459" t="s">
        <v>539</v>
      </c>
      <c r="O1172">
        <v>68.706000000000003</v>
      </c>
      <c r="P1172" t="s">
        <v>9643</v>
      </c>
    </row>
    <row r="1173" spans="1:16" ht="14.4" x14ac:dyDescent="0.3">
      <c r="A1173">
        <v>394825</v>
      </c>
      <c r="B1173" t="str">
        <f t="shared" si="36"/>
        <v>SEVROLL kątownik Mini 17x11 mm 1,7 m biały matowy</v>
      </c>
      <c r="C1173" s="185">
        <f t="shared" si="37"/>
        <v>12.2094</v>
      </c>
      <c r="D1173" s="407" t="s">
        <v>5791</v>
      </c>
      <c r="E1173" s="407" t="s">
        <v>5792</v>
      </c>
      <c r="F1173" s="407" t="s">
        <v>5793</v>
      </c>
      <c r="G1173" s="407" t="s">
        <v>5794</v>
      </c>
      <c r="H1173" s="460">
        <v>88.297250000000005</v>
      </c>
      <c r="I1173" s="460">
        <v>3.17476</v>
      </c>
      <c r="J1173" s="460">
        <v>12.2094</v>
      </c>
      <c r="K1173" s="460">
        <v>1221.9187199999999</v>
      </c>
      <c r="L1173" s="459" t="s">
        <v>538</v>
      </c>
      <c r="O1173">
        <v>3.2559999999999998</v>
      </c>
      <c r="P1173" t="s">
        <v>9644</v>
      </c>
    </row>
    <row r="1174" spans="1:16" ht="14.4" x14ac:dyDescent="0.3">
      <c r="A1174">
        <v>394826</v>
      </c>
      <c r="B1174" t="str">
        <f t="shared" si="36"/>
        <v>SEVROLL kątownik Mini 17x11mm 2,35 m biały matowy</v>
      </c>
      <c r="C1174" s="185">
        <f t="shared" si="37"/>
        <v>16.901399999999999</v>
      </c>
      <c r="D1174" s="407" t="s">
        <v>5795</v>
      </c>
      <c r="E1174" s="407" t="s">
        <v>5796</v>
      </c>
      <c r="F1174" s="407" t="s">
        <v>5797</v>
      </c>
      <c r="G1174" s="407" t="s">
        <v>5798</v>
      </c>
      <c r="H1174" s="460">
        <v>122.31341</v>
      </c>
      <c r="I1174" s="460">
        <v>4.3978200000000003</v>
      </c>
      <c r="J1174" s="460">
        <v>16.901399999999999</v>
      </c>
      <c r="K1174" s="460">
        <v>1692.6579200000001</v>
      </c>
      <c r="L1174" s="459" t="s">
        <v>538</v>
      </c>
      <c r="O1174">
        <v>4.5540000000000003</v>
      </c>
      <c r="P1174" t="s">
        <v>9645</v>
      </c>
    </row>
    <row r="1175" spans="1:16" ht="14.4" x14ac:dyDescent="0.3">
      <c r="A1175">
        <v>394831</v>
      </c>
      <c r="B1175" t="str">
        <f t="shared" si="36"/>
        <v>SEVROLL zaślepka do toru Elegant II 6m biały mat</v>
      </c>
      <c r="C1175" s="185">
        <f t="shared" si="37"/>
        <v>0</v>
      </c>
      <c r="D1175" s="407" t="s">
        <v>1329</v>
      </c>
      <c r="E1175" s="407" t="s">
        <v>1780</v>
      </c>
      <c r="F1175" s="407" t="s">
        <v>5799</v>
      </c>
      <c r="G1175" s="407" t="s">
        <v>5800</v>
      </c>
      <c r="H1175" s="460">
        <v>327.13407999999998</v>
      </c>
      <c r="I1175" s="460">
        <v>11.762219999999999</v>
      </c>
      <c r="J1175" s="460">
        <v>0</v>
      </c>
      <c r="K1175" s="460">
        <v>4527.1084300000002</v>
      </c>
      <c r="L1175" s="459" t="s">
        <v>539</v>
      </c>
      <c r="O1175">
        <v>11.528</v>
      </c>
      <c r="P1175" t="s">
        <v>9646</v>
      </c>
    </row>
    <row r="1176" spans="1:16" ht="14.4" x14ac:dyDescent="0.3">
      <c r="A1176">
        <v>394848</v>
      </c>
      <c r="B1176" t="str">
        <f t="shared" si="36"/>
        <v>SEVROLL zaślepka do toru Elegant II 1,7m biały matowy</v>
      </c>
      <c r="C1176" s="185">
        <f t="shared" si="37"/>
        <v>12.199199999999999</v>
      </c>
      <c r="D1176" s="407" t="s">
        <v>1330</v>
      </c>
      <c r="E1176" s="407" t="s">
        <v>1781</v>
      </c>
      <c r="F1176" s="407" t="s">
        <v>5801</v>
      </c>
      <c r="G1176" s="407" t="s">
        <v>2356</v>
      </c>
      <c r="H1176" s="460">
        <v>92.639750000000006</v>
      </c>
      <c r="I1176" s="460">
        <v>3.3308900000000001</v>
      </c>
      <c r="J1176" s="460">
        <v>12.199199999999999</v>
      </c>
      <c r="K1176" s="460">
        <v>1282.0129099999999</v>
      </c>
      <c r="L1176" s="459" t="s">
        <v>538</v>
      </c>
      <c r="O1176">
        <v>3.278</v>
      </c>
      <c r="P1176" t="s">
        <v>9647</v>
      </c>
    </row>
    <row r="1177" spans="1:16" ht="14.4" x14ac:dyDescent="0.3">
      <c r="A1177">
        <v>395015</v>
      </c>
      <c r="B1177" t="e">
        <f t="shared" si="36"/>
        <v>#N/A</v>
      </c>
      <c r="C1177" s="185" t="e">
        <f t="shared" si="37"/>
        <v>#N/A</v>
      </c>
      <c r="D1177" s="407" t="e">
        <v>#N/A</v>
      </c>
      <c r="E1177" s="407" t="e">
        <v>#N/A</v>
      </c>
      <c r="F1177" s="407" t="e">
        <v>#N/A</v>
      </c>
      <c r="G1177" s="407" t="e">
        <v>#N/A</v>
      </c>
      <c r="H1177" s="460" t="e">
        <v>#N/A</v>
      </c>
      <c r="I1177" s="460" t="e">
        <v>#N/A</v>
      </c>
      <c r="J1177" s="460" t="e">
        <v>#N/A</v>
      </c>
      <c r="K1177" s="460" t="e">
        <v>#N/A</v>
      </c>
      <c r="L1177" s="459" t="e">
        <v>#N/A</v>
      </c>
      <c r="O1177" t="e">
        <v>#N/A</v>
      </c>
      <c r="P1177" t="e">
        <v>#N/A</v>
      </c>
    </row>
    <row r="1178" spans="1:16" ht="14.4" x14ac:dyDescent="0.3">
      <c r="A1178">
        <v>395025</v>
      </c>
      <c r="B1178" t="str">
        <f t="shared" si="36"/>
        <v>SEVROLL Eden tor górny 2,35m srebrny</v>
      </c>
      <c r="C1178" s="185" t="e">
        <f t="shared" si="37"/>
        <v>#N/A</v>
      </c>
      <c r="D1178" s="407" t="s">
        <v>1331</v>
      </c>
      <c r="E1178" s="407" t="s">
        <v>1782</v>
      </c>
      <c r="F1178" s="407" t="s">
        <v>2155</v>
      </c>
      <c r="G1178" s="407" t="s">
        <v>2357</v>
      </c>
      <c r="H1178" s="460" t="e">
        <v>#N/A</v>
      </c>
      <c r="I1178" s="460" t="e">
        <v>#N/A</v>
      </c>
      <c r="J1178" s="460" t="e">
        <v>#N/A</v>
      </c>
      <c r="K1178" s="460" t="e">
        <v>#N/A</v>
      </c>
      <c r="L1178" s="459" t="e">
        <v>#N/A</v>
      </c>
      <c r="O1178" t="e">
        <v>#N/A</v>
      </c>
      <c r="P1178" t="e">
        <v>#N/A</v>
      </c>
    </row>
    <row r="1179" spans="1:16" ht="14.4" x14ac:dyDescent="0.3">
      <c r="A1179">
        <v>395027</v>
      </c>
      <c r="B1179" t="str">
        <f t="shared" si="36"/>
        <v>SEVROLL Eden tor górny 2,35m srebrny</v>
      </c>
      <c r="C1179" s="185" t="e">
        <f t="shared" si="37"/>
        <v>#N/A</v>
      </c>
      <c r="D1179" s="407" t="s">
        <v>1332</v>
      </c>
      <c r="E1179" s="407" t="s">
        <v>1783</v>
      </c>
      <c r="F1179" s="407" t="s">
        <v>2155</v>
      </c>
      <c r="G1179" s="407" t="s">
        <v>2357</v>
      </c>
      <c r="H1179" s="460" t="e">
        <v>#N/A</v>
      </c>
      <c r="I1179" s="460" t="e">
        <v>#N/A</v>
      </c>
      <c r="J1179" s="460" t="e">
        <v>#N/A</v>
      </c>
      <c r="K1179" s="460" t="e">
        <v>#N/A</v>
      </c>
      <c r="L1179" s="459" t="e">
        <v>#N/A</v>
      </c>
      <c r="O1179">
        <v>26.928000000000001</v>
      </c>
      <c r="P1179" t="s">
        <v>9648</v>
      </c>
    </row>
    <row r="1180" spans="1:16" ht="14.4" x14ac:dyDescent="0.3">
      <c r="A1180">
        <v>395029</v>
      </c>
      <c r="B1180" t="str">
        <f t="shared" si="36"/>
        <v>SEVROLL Eden tor górny 2,35m srebrny</v>
      </c>
      <c r="C1180" s="185" t="e">
        <f t="shared" si="37"/>
        <v>#N/A</v>
      </c>
      <c r="D1180" s="407" t="s">
        <v>1333</v>
      </c>
      <c r="E1180" s="407" t="s">
        <v>1784</v>
      </c>
      <c r="F1180" s="407" t="s">
        <v>2155</v>
      </c>
      <c r="G1180" s="407" t="s">
        <v>2357</v>
      </c>
      <c r="H1180" s="460" t="e">
        <v>#N/A</v>
      </c>
      <c r="I1180" s="460" t="e">
        <v>#N/A</v>
      </c>
      <c r="J1180" s="460" t="e">
        <v>#N/A</v>
      </c>
      <c r="K1180" s="460" t="e">
        <v>#N/A</v>
      </c>
      <c r="L1180" s="459" t="e">
        <v>#N/A</v>
      </c>
      <c r="O1180">
        <v>22</v>
      </c>
      <c r="P1180" t="s">
        <v>9649</v>
      </c>
    </row>
    <row r="1181" spans="1:16" ht="14.4" x14ac:dyDescent="0.3">
      <c r="A1181">
        <v>395030</v>
      </c>
      <c r="B1181" t="str">
        <f t="shared" si="36"/>
        <v>SEVROLL Eden zestaw okuć dla 2 drzwi</v>
      </c>
      <c r="C1181" s="185" t="e">
        <f t="shared" si="37"/>
        <v>#N/A</v>
      </c>
      <c r="D1181" s="407" t="s">
        <v>1334</v>
      </c>
      <c r="E1181" s="407" t="s">
        <v>1785</v>
      </c>
      <c r="F1181" s="407" t="s">
        <v>2156</v>
      </c>
      <c r="G1181" s="407" t="s">
        <v>2358</v>
      </c>
      <c r="H1181" s="460" t="e">
        <v>#N/A</v>
      </c>
      <c r="I1181" s="460" t="e">
        <v>#N/A</v>
      </c>
      <c r="J1181" s="460" t="e">
        <v>#N/A</v>
      </c>
      <c r="K1181" s="460" t="e">
        <v>#N/A</v>
      </c>
      <c r="L1181" s="459" t="e">
        <v>#N/A</v>
      </c>
      <c r="O1181">
        <v>119.79</v>
      </c>
      <c r="P1181" t="s">
        <v>9650</v>
      </c>
    </row>
    <row r="1182" spans="1:16" ht="14.4" x14ac:dyDescent="0.3">
      <c r="A1182">
        <v>395031</v>
      </c>
      <c r="B1182" t="str">
        <f t="shared" si="36"/>
        <v>SEVROLL Eden zestaw okuć dla 2 drzwi</v>
      </c>
      <c r="C1182" s="185" t="e">
        <f t="shared" si="37"/>
        <v>#N/A</v>
      </c>
      <c r="D1182" s="407" t="s">
        <v>1335</v>
      </c>
      <c r="E1182" s="407" t="s">
        <v>1786</v>
      </c>
      <c r="F1182" s="407" t="s">
        <v>2156</v>
      </c>
      <c r="G1182" s="407" t="s">
        <v>2358</v>
      </c>
      <c r="H1182" s="460" t="e">
        <v>#N/A</v>
      </c>
      <c r="I1182" s="460" t="e">
        <v>#N/A</v>
      </c>
      <c r="J1182" s="460" t="e">
        <v>#N/A</v>
      </c>
      <c r="K1182" s="460" t="e">
        <v>#N/A</v>
      </c>
      <c r="L1182" s="459" t="e">
        <v>#N/A</v>
      </c>
      <c r="O1182">
        <v>52.271999999999998</v>
      </c>
      <c r="P1182" t="s">
        <v>9651</v>
      </c>
    </row>
    <row r="1183" spans="1:16" ht="14.4" x14ac:dyDescent="0.3">
      <c r="A1183">
        <v>395039</v>
      </c>
      <c r="B1183" t="str">
        <f t="shared" si="36"/>
        <v>SEVROLL zaślepka do toru Elegant II 2,35m biały matowy</v>
      </c>
      <c r="C1183" s="185">
        <f t="shared" si="37"/>
        <v>16.870799999999999</v>
      </c>
      <c r="D1183" s="407" t="s">
        <v>1336</v>
      </c>
      <c r="E1183" s="407" t="s">
        <v>1787</v>
      </c>
      <c r="F1183" s="407" t="s">
        <v>5802</v>
      </c>
      <c r="G1183" s="407" t="s">
        <v>2359</v>
      </c>
      <c r="H1183" s="460">
        <v>128.10339999999999</v>
      </c>
      <c r="I1183" s="460">
        <v>4.6059999999999999</v>
      </c>
      <c r="J1183" s="460">
        <v>16.870799999999999</v>
      </c>
      <c r="K1183" s="460">
        <v>1772.7836600000001</v>
      </c>
      <c r="L1183" s="459" t="s">
        <v>538</v>
      </c>
      <c r="O1183">
        <v>4.532</v>
      </c>
      <c r="P1183" t="s">
        <v>9652</v>
      </c>
    </row>
    <row r="1184" spans="1:16" ht="14.4" x14ac:dyDescent="0.3">
      <c r="A1184">
        <v>395041</v>
      </c>
      <c r="B1184" t="str">
        <f t="shared" si="36"/>
        <v>SEVROLL zaślepka do toru Elegant II 3m biały matowy</v>
      </c>
      <c r="C1184" s="185">
        <f t="shared" si="37"/>
        <v>21.542400000000001</v>
      </c>
      <c r="D1184" s="407" t="s">
        <v>1337</v>
      </c>
      <c r="E1184" s="407" t="s">
        <v>1788</v>
      </c>
      <c r="F1184" s="407" t="s">
        <v>5803</v>
      </c>
      <c r="G1184" s="407" t="s">
        <v>2360</v>
      </c>
      <c r="H1184" s="460">
        <v>163.56704999999999</v>
      </c>
      <c r="I1184" s="460">
        <v>5.8811099999999996</v>
      </c>
      <c r="J1184" s="460">
        <v>21.542400000000001</v>
      </c>
      <c r="K1184" s="460">
        <v>2263.5540099999998</v>
      </c>
      <c r="L1184" s="459" t="s">
        <v>538</v>
      </c>
      <c r="O1184">
        <v>5.7640000000000002</v>
      </c>
      <c r="P1184" t="s">
        <v>9653</v>
      </c>
    </row>
    <row r="1185" spans="1:16" ht="14.4" x14ac:dyDescent="0.3">
      <c r="A1185">
        <v>395042</v>
      </c>
      <c r="B1185" t="str">
        <f t="shared" si="36"/>
        <v>SEVROLL zaślepka do toru Elegant II 4,05m biały matowy</v>
      </c>
      <c r="C1185" s="185">
        <f t="shared" si="37"/>
        <v>29.07</v>
      </c>
      <c r="D1185" s="407" t="s">
        <v>1338</v>
      </c>
      <c r="E1185" s="407" t="s">
        <v>1789</v>
      </c>
      <c r="F1185" s="407" t="s">
        <v>5804</v>
      </c>
      <c r="G1185" s="407" t="s">
        <v>2361</v>
      </c>
      <c r="H1185" s="460">
        <v>220.74315000000001</v>
      </c>
      <c r="I1185" s="460">
        <v>7.93689</v>
      </c>
      <c r="J1185" s="460">
        <v>29.07</v>
      </c>
      <c r="K1185" s="460">
        <v>3054.79655</v>
      </c>
      <c r="L1185" s="459" t="s">
        <v>538</v>
      </c>
      <c r="O1185">
        <v>7.7880000000000003</v>
      </c>
      <c r="P1185" t="s">
        <v>9654</v>
      </c>
    </row>
    <row r="1186" spans="1:16" ht="14.4" x14ac:dyDescent="0.3">
      <c r="A1186">
        <v>395495</v>
      </c>
      <c r="B1186" t="str">
        <f t="shared" si="36"/>
        <v>SEVROLL Alfa II rączka 18mm 2,7m czarny połysk</v>
      </c>
      <c r="C1186" s="185">
        <f t="shared" si="37"/>
        <v>66.463200000000001</v>
      </c>
      <c r="D1186" s="407" t="s">
        <v>1339</v>
      </c>
      <c r="E1186" s="407" t="s">
        <v>1790</v>
      </c>
      <c r="F1186" s="407" t="s">
        <v>5805</v>
      </c>
      <c r="G1186" s="407" t="s">
        <v>2362</v>
      </c>
      <c r="H1186" s="460">
        <v>457.40872000000002</v>
      </c>
      <c r="I1186" s="460">
        <v>16.446280000000002</v>
      </c>
      <c r="J1186" s="460">
        <v>66.463200000000001</v>
      </c>
      <c r="K1186" s="460">
        <v>6329.9391800000003</v>
      </c>
      <c r="L1186" s="459" t="s">
        <v>538</v>
      </c>
      <c r="O1186">
        <v>17.666</v>
      </c>
      <c r="P1186" t="s">
        <v>9655</v>
      </c>
    </row>
    <row r="1187" spans="1:16" ht="14.4" x14ac:dyDescent="0.3">
      <c r="A1187">
        <v>395506</v>
      </c>
      <c r="B1187" t="str">
        <f t="shared" si="36"/>
        <v>SEVROLL Fox II rączka 2,7m czarny połysk</v>
      </c>
      <c r="C1187" s="185">
        <f t="shared" si="37"/>
        <v>80.416799999999995</v>
      </c>
      <c r="D1187" s="407" t="s">
        <v>1340</v>
      </c>
      <c r="E1187" s="407" t="s">
        <v>1791</v>
      </c>
      <c r="F1187" s="407" t="s">
        <v>5806</v>
      </c>
      <c r="G1187" s="407" t="s">
        <v>2363</v>
      </c>
      <c r="H1187" s="460">
        <v>600.71082000000001</v>
      </c>
      <c r="I1187" s="460">
        <v>21.598759999999999</v>
      </c>
      <c r="J1187" s="460">
        <v>80.416799999999995</v>
      </c>
      <c r="K1187" s="460">
        <v>8313.0529399999996</v>
      </c>
      <c r="L1187" s="459" t="s">
        <v>538</v>
      </c>
      <c r="O1187">
        <v>20.283999999999999</v>
      </c>
      <c r="P1187" t="s">
        <v>9656</v>
      </c>
    </row>
    <row r="1188" spans="1:16" ht="14.4" x14ac:dyDescent="0.3">
      <c r="A1188">
        <v>395508</v>
      </c>
      <c r="B1188" t="str">
        <f t="shared" si="36"/>
        <v>SEVROLL listwa łącząca H10 3m czarny połysk</v>
      </c>
      <c r="C1188" s="185">
        <f t="shared" si="37"/>
        <v>67.289400000000001</v>
      </c>
      <c r="D1188" s="407" t="s">
        <v>1341</v>
      </c>
      <c r="E1188" s="407" t="s">
        <v>1792</v>
      </c>
      <c r="F1188" s="407" t="s">
        <v>5807</v>
      </c>
      <c r="G1188" s="407" t="s">
        <v>2364</v>
      </c>
      <c r="H1188" s="460">
        <v>440.03877999999997</v>
      </c>
      <c r="I1188" s="460">
        <v>15.82174</v>
      </c>
      <c r="J1188" s="460">
        <v>67.289400000000001</v>
      </c>
      <c r="K1188" s="460">
        <v>6089.5615900000003</v>
      </c>
      <c r="L1188" s="459" t="s">
        <v>538</v>
      </c>
      <c r="O1188">
        <v>18.062000000000001</v>
      </c>
      <c r="P1188" t="s">
        <v>9657</v>
      </c>
    </row>
    <row r="1189" spans="1:16" ht="14.4" x14ac:dyDescent="0.3">
      <c r="A1189">
        <v>465914</v>
      </c>
      <c r="B1189" t="str">
        <f t="shared" si="36"/>
        <v>SEVROLL 02986 Maxim II tor dolny 1,8m jasny brąz</v>
      </c>
      <c r="C1189" s="185" t="e">
        <f t="shared" si="37"/>
        <v>#N/A</v>
      </c>
      <c r="D1189" s="407" t="s">
        <v>1342</v>
      </c>
      <c r="E1189" s="407" t="s">
        <v>1793</v>
      </c>
      <c r="F1189" s="407" t="s">
        <v>2157</v>
      </c>
      <c r="G1189" s="407" t="s">
        <v>2365</v>
      </c>
      <c r="H1189" s="460" t="e">
        <v>#N/A</v>
      </c>
      <c r="I1189" s="460" t="e">
        <v>#N/A</v>
      </c>
      <c r="J1189" s="460" t="e">
        <v>#N/A</v>
      </c>
      <c r="K1189" s="460" t="e">
        <v>#N/A</v>
      </c>
      <c r="L1189" s="459" t="e">
        <v>#N/A</v>
      </c>
      <c r="O1189" t="e">
        <v>#N/A</v>
      </c>
      <c r="P1189" t="e">
        <v>#N/A</v>
      </c>
    </row>
    <row r="1190" spans="1:16" ht="14.4" x14ac:dyDescent="0.3">
      <c r="A1190">
        <v>465917</v>
      </c>
      <c r="B1190" t="str">
        <f t="shared" si="36"/>
        <v>SEVROLL 02996 Maxim II zaślepka do toru 1,8m jasny brąz</v>
      </c>
      <c r="C1190" s="185" t="e">
        <f t="shared" si="37"/>
        <v>#N/A</v>
      </c>
      <c r="D1190" s="407" t="s">
        <v>1343</v>
      </c>
      <c r="E1190" s="407" t="s">
        <v>1794</v>
      </c>
      <c r="F1190" s="407" t="s">
        <v>1343</v>
      </c>
      <c r="G1190" s="407" t="s">
        <v>2366</v>
      </c>
      <c r="H1190" s="460" t="e">
        <v>#N/A</v>
      </c>
      <c r="I1190" s="460" t="e">
        <v>#N/A</v>
      </c>
      <c r="J1190" s="460" t="e">
        <v>#N/A</v>
      </c>
      <c r="K1190" s="460" t="e">
        <v>#N/A</v>
      </c>
      <c r="L1190" s="459" t="e">
        <v>#N/A</v>
      </c>
      <c r="O1190" t="e">
        <v>#N/A</v>
      </c>
      <c r="P1190" t="e">
        <v>#N/A</v>
      </c>
    </row>
    <row r="1191" spans="1:16" ht="14.4" x14ac:dyDescent="0.3">
      <c r="A1191">
        <v>308472</v>
      </c>
      <c r="B1191" t="e">
        <f t="shared" si="36"/>
        <v>#N/A</v>
      </c>
      <c r="C1191" s="185" t="e">
        <f t="shared" si="37"/>
        <v>#N/A</v>
      </c>
      <c r="D1191" s="407" t="e">
        <v>#N/A</v>
      </c>
      <c r="E1191" s="407" t="e">
        <v>#N/A</v>
      </c>
      <c r="F1191" s="407" t="e">
        <v>#N/A</v>
      </c>
      <c r="G1191" s="407" t="e">
        <v>#N/A</v>
      </c>
      <c r="H1191" s="460" t="e">
        <v>#N/A</v>
      </c>
      <c r="I1191" s="460" t="e">
        <v>#N/A</v>
      </c>
      <c r="J1191" s="460" t="e">
        <v>#N/A</v>
      </c>
      <c r="K1191" s="460" t="e">
        <v>#N/A</v>
      </c>
      <c r="L1191" s="459" t="e">
        <v>#N/A</v>
      </c>
      <c r="O1191" t="e">
        <v>#N/A</v>
      </c>
      <c r="P1191" t="e">
        <v>#N/A</v>
      </c>
    </row>
    <row r="1192" spans="1:16" ht="14.4" x14ac:dyDescent="0.3">
      <c r="A1192">
        <v>308522</v>
      </c>
      <c r="B1192" t="e">
        <f t="shared" si="36"/>
        <v>#N/A</v>
      </c>
      <c r="C1192" s="185" t="e">
        <f t="shared" si="37"/>
        <v>#N/A</v>
      </c>
      <c r="D1192" s="407" t="e">
        <v>#N/A</v>
      </c>
      <c r="E1192" s="407" t="e">
        <v>#N/A</v>
      </c>
      <c r="F1192" s="407" t="e">
        <v>#N/A</v>
      </c>
      <c r="G1192" s="407" t="e">
        <v>#N/A</v>
      </c>
      <c r="H1192" s="460" t="e">
        <v>#N/A</v>
      </c>
      <c r="I1192" s="460" t="e">
        <v>#N/A</v>
      </c>
      <c r="J1192" s="460" t="e">
        <v>#N/A</v>
      </c>
      <c r="K1192" s="460" t="e">
        <v>#N/A</v>
      </c>
      <c r="L1192" s="459" t="e">
        <v>#N/A</v>
      </c>
      <c r="O1192" t="e">
        <v>#N/A</v>
      </c>
      <c r="P1192" t="e">
        <v>#N/A</v>
      </c>
    </row>
    <row r="1193" spans="1:16" ht="14.4" x14ac:dyDescent="0.3">
      <c r="A1193">
        <v>308524</v>
      </c>
      <c r="B1193" t="e">
        <f t="shared" si="36"/>
        <v>#N/A</v>
      </c>
      <c r="C1193" s="185" t="e">
        <f t="shared" si="37"/>
        <v>#N/A</v>
      </c>
      <c r="D1193" s="407" t="e">
        <v>#N/A</v>
      </c>
      <c r="E1193" s="407" t="e">
        <v>#N/A</v>
      </c>
      <c r="F1193" s="407" t="e">
        <v>#N/A</v>
      </c>
      <c r="G1193" s="407" t="e">
        <v>#N/A</v>
      </c>
      <c r="H1193" s="460" t="e">
        <v>#N/A</v>
      </c>
      <c r="I1193" s="460" t="e">
        <v>#N/A</v>
      </c>
      <c r="J1193" s="460" t="e">
        <v>#N/A</v>
      </c>
      <c r="K1193" s="460" t="e">
        <v>#N/A</v>
      </c>
      <c r="L1193" s="459" t="e">
        <v>#N/A</v>
      </c>
      <c r="O1193" t="e">
        <v>#N/A</v>
      </c>
      <c r="P1193" t="e">
        <v>#N/A</v>
      </c>
    </row>
    <row r="1194" spans="1:16" ht="14.4" x14ac:dyDescent="0.3">
      <c r="A1194">
        <v>308626</v>
      </c>
      <c r="B1194" t="e">
        <f t="shared" si="36"/>
        <v>#N/A</v>
      </c>
      <c r="C1194" s="185" t="e">
        <f t="shared" si="37"/>
        <v>#N/A</v>
      </c>
      <c r="D1194" s="407" t="e">
        <v>#N/A</v>
      </c>
      <c r="E1194" s="407" t="e">
        <v>#N/A</v>
      </c>
      <c r="F1194" s="407" t="e">
        <v>#N/A</v>
      </c>
      <c r="G1194" s="407" t="e">
        <v>#N/A</v>
      </c>
      <c r="H1194" s="460" t="e">
        <v>#N/A</v>
      </c>
      <c r="I1194" s="460" t="e">
        <v>#N/A</v>
      </c>
      <c r="J1194" s="460" t="e">
        <v>#N/A</v>
      </c>
      <c r="K1194" s="460" t="e">
        <v>#N/A</v>
      </c>
      <c r="L1194" s="459" t="e">
        <v>#N/A</v>
      </c>
      <c r="O1194" t="e">
        <v>#N/A</v>
      </c>
      <c r="P1194" t="e">
        <v>#N/A</v>
      </c>
    </row>
    <row r="1195" spans="1:16" ht="14.4" x14ac:dyDescent="0.3">
      <c r="A1195">
        <v>308681</v>
      </c>
      <c r="B1195" t="str">
        <f t="shared" si="36"/>
        <v>SEVROLL zestaw Fold do 2 skrzydeł lewy</v>
      </c>
      <c r="C1195" s="185" t="e">
        <f t="shared" si="37"/>
        <v>#N/A</v>
      </c>
      <c r="D1195" s="407" t="s">
        <v>1344</v>
      </c>
      <c r="E1195" s="407" t="s">
        <v>1795</v>
      </c>
      <c r="F1195" s="407" t="s">
        <v>5808</v>
      </c>
      <c r="G1195" s="407" t="s">
        <v>2367</v>
      </c>
      <c r="H1195" s="460" t="e">
        <v>#N/A</v>
      </c>
      <c r="I1195" s="460" t="e">
        <v>#N/A</v>
      </c>
      <c r="J1195" s="460" t="e">
        <v>#N/A</v>
      </c>
      <c r="K1195" s="460" t="e">
        <v>#N/A</v>
      </c>
      <c r="L1195" s="459" t="e">
        <v>#N/A</v>
      </c>
      <c r="O1195">
        <v>53.305999999999997</v>
      </c>
      <c r="P1195" t="s">
        <v>9658</v>
      </c>
    </row>
    <row r="1196" spans="1:16" ht="14.4" x14ac:dyDescent="0.3">
      <c r="A1196">
        <v>308682</v>
      </c>
      <c r="B1196" t="str">
        <f t="shared" si="36"/>
        <v>SEVROLL zestaw Fold do 2 skrzydeł prawy</v>
      </c>
      <c r="C1196" s="185" t="e">
        <f t="shared" si="37"/>
        <v>#N/A</v>
      </c>
      <c r="D1196" s="407" t="s">
        <v>1345</v>
      </c>
      <c r="E1196" s="407" t="s">
        <v>1796</v>
      </c>
      <c r="F1196" s="407" t="s">
        <v>5809</v>
      </c>
      <c r="G1196" s="407" t="s">
        <v>2368</v>
      </c>
      <c r="H1196" s="460" t="e">
        <v>#N/A</v>
      </c>
      <c r="I1196" s="460" t="e">
        <v>#N/A</v>
      </c>
      <c r="J1196" s="460" t="e">
        <v>#N/A</v>
      </c>
      <c r="K1196" s="460" t="e">
        <v>#N/A</v>
      </c>
      <c r="L1196" s="459" t="e">
        <v>#N/A</v>
      </c>
      <c r="O1196">
        <v>53.305999999999997</v>
      </c>
      <c r="P1196" t="s">
        <v>9659</v>
      </c>
    </row>
    <row r="1197" spans="1:16" ht="14.4" x14ac:dyDescent="0.3">
      <c r="A1197">
        <v>353413</v>
      </c>
      <c r="B1197" t="e">
        <f t="shared" si="36"/>
        <v>#N/A</v>
      </c>
      <c r="C1197" s="185" t="e">
        <f t="shared" si="37"/>
        <v>#N/A</v>
      </c>
      <c r="D1197" s="407" t="e">
        <v>#N/A</v>
      </c>
      <c r="E1197" s="407" t="e">
        <v>#N/A</v>
      </c>
      <c r="F1197" s="407" t="e">
        <v>#N/A</v>
      </c>
      <c r="G1197" s="407" t="e">
        <v>#N/A</v>
      </c>
      <c r="H1197" s="460" t="e">
        <v>#N/A</v>
      </c>
      <c r="I1197" s="460" t="e">
        <v>#N/A</v>
      </c>
      <c r="J1197" s="460" t="e">
        <v>#N/A</v>
      </c>
      <c r="K1197" s="460" t="e">
        <v>#N/A</v>
      </c>
      <c r="L1197" s="459" t="e">
        <v>#N/A</v>
      </c>
      <c r="O1197" t="e">
        <v>#N/A</v>
      </c>
      <c r="P1197" t="e">
        <v>#N/A</v>
      </c>
    </row>
    <row r="1198" spans="1:16" ht="14.4" x14ac:dyDescent="0.3">
      <c r="A1198">
        <v>354299</v>
      </c>
      <c r="B1198" t="e">
        <f t="shared" si="36"/>
        <v>#N/A</v>
      </c>
      <c r="C1198" s="185" t="e">
        <f t="shared" si="37"/>
        <v>#N/A</v>
      </c>
      <c r="D1198" s="407" t="e">
        <v>#N/A</v>
      </c>
      <c r="E1198" s="407" t="e">
        <v>#N/A</v>
      </c>
      <c r="F1198" s="407" t="e">
        <v>#N/A</v>
      </c>
      <c r="G1198" s="407" t="e">
        <v>#N/A</v>
      </c>
      <c r="H1198" s="460" t="e">
        <v>#N/A</v>
      </c>
      <c r="I1198" s="460" t="e">
        <v>#N/A</v>
      </c>
      <c r="J1198" s="460" t="e">
        <v>#N/A</v>
      </c>
      <c r="K1198" s="460" t="e">
        <v>#N/A</v>
      </c>
      <c r="L1198" s="459" t="e">
        <v>#N/A</v>
      </c>
      <c r="O1198" t="e">
        <v>#N/A</v>
      </c>
      <c r="P1198" t="e">
        <v>#N/A</v>
      </c>
    </row>
    <row r="1199" spans="1:16" ht="14.4" x14ac:dyDescent="0.3">
      <c r="A1199">
        <v>379934</v>
      </c>
      <c r="B1199" t="str">
        <f t="shared" si="36"/>
        <v>SEVROLL zaślepka do toru Elegant II 3m, biała matowa</v>
      </c>
      <c r="C1199" s="185" t="e">
        <f t="shared" si="37"/>
        <v>#N/A</v>
      </c>
      <c r="D1199" s="407" t="s">
        <v>1337</v>
      </c>
      <c r="E1199" s="407" t="s">
        <v>1797</v>
      </c>
      <c r="F1199" s="407" t="s">
        <v>5803</v>
      </c>
      <c r="G1199" s="407" t="s">
        <v>5810</v>
      </c>
      <c r="H1199" s="460" t="e">
        <v>#N/A</v>
      </c>
      <c r="I1199" s="460" t="e">
        <v>#N/A</v>
      </c>
      <c r="J1199" s="460" t="e">
        <v>#N/A</v>
      </c>
      <c r="K1199" s="460" t="e">
        <v>#N/A</v>
      </c>
      <c r="L1199" s="459" t="e">
        <v>#N/A</v>
      </c>
      <c r="O1199" t="e">
        <v>#N/A</v>
      </c>
      <c r="P1199" t="e">
        <v>#N/A</v>
      </c>
    </row>
    <row r="1200" spans="1:16" ht="14.4" x14ac:dyDescent="0.3">
      <c r="A1200">
        <v>379955</v>
      </c>
      <c r="B1200" t="str">
        <f t="shared" si="36"/>
        <v/>
      </c>
      <c r="C1200" s="185" t="e">
        <f t="shared" si="37"/>
        <v>#N/A</v>
      </c>
      <c r="D1200" s="407" t="s">
        <v>6978</v>
      </c>
      <c r="E1200" s="407" t="s">
        <v>6979</v>
      </c>
      <c r="F1200" s="407" t="s">
        <v>6980</v>
      </c>
      <c r="G1200" s="407" t="s">
        <v>68</v>
      </c>
      <c r="H1200" s="460" t="e">
        <v>#N/A</v>
      </c>
      <c r="I1200" s="460" t="e">
        <v>#N/A</v>
      </c>
      <c r="J1200" s="460" t="e">
        <v>#N/A</v>
      </c>
      <c r="K1200" s="460" t="e">
        <v>#N/A</v>
      </c>
      <c r="L1200" s="459" t="e">
        <v>#N/A</v>
      </c>
      <c r="O1200">
        <v>0</v>
      </c>
      <c r="P1200" t="s">
        <v>9660</v>
      </c>
    </row>
    <row r="1201" spans="1:16" ht="14.4" x14ac:dyDescent="0.3">
      <c r="A1201">
        <v>379961</v>
      </c>
      <c r="B1201" t="str">
        <f t="shared" si="36"/>
        <v/>
      </c>
      <c r="C1201" s="185" t="e">
        <f t="shared" si="37"/>
        <v>#N/A</v>
      </c>
      <c r="D1201" s="407" t="s">
        <v>6981</v>
      </c>
      <c r="E1201" s="407" t="s">
        <v>6982</v>
      </c>
      <c r="F1201" s="407" t="s">
        <v>6983</v>
      </c>
      <c r="G1201" s="407" t="s">
        <v>68</v>
      </c>
      <c r="H1201" s="460" t="e">
        <v>#N/A</v>
      </c>
      <c r="I1201" s="460" t="e">
        <v>#N/A</v>
      </c>
      <c r="J1201" s="460" t="e">
        <v>#N/A</v>
      </c>
      <c r="K1201" s="460" t="e">
        <v>#N/A</v>
      </c>
      <c r="L1201" s="459" t="e">
        <v>#N/A</v>
      </c>
      <c r="O1201">
        <v>0</v>
      </c>
      <c r="P1201" t="s">
        <v>9661</v>
      </c>
    </row>
    <row r="1202" spans="1:16" ht="14.4" x14ac:dyDescent="0.3">
      <c r="A1202">
        <v>274051</v>
      </c>
      <c r="B1202" t="str">
        <f t="shared" si="36"/>
        <v>IC-tor górny EU 2m szampan</v>
      </c>
      <c r="C1202" s="185" t="e">
        <f t="shared" si="37"/>
        <v>#N/A</v>
      </c>
      <c r="D1202" s="407" t="s">
        <v>6984</v>
      </c>
      <c r="E1202" s="407" t="s">
        <v>6985</v>
      </c>
      <c r="F1202" s="407" t="s">
        <v>68</v>
      </c>
      <c r="G1202" s="407" t="s">
        <v>6986</v>
      </c>
      <c r="H1202" s="460" t="e">
        <v>#N/A</v>
      </c>
      <c r="I1202" s="460" t="e">
        <v>#N/A</v>
      </c>
      <c r="J1202" s="460" t="e">
        <v>#N/A</v>
      </c>
      <c r="K1202" s="460" t="e">
        <v>#N/A</v>
      </c>
      <c r="L1202" s="459" t="e">
        <v>#N/A</v>
      </c>
      <c r="O1202">
        <v>0</v>
      </c>
      <c r="P1202" t="s">
        <v>9662</v>
      </c>
    </row>
    <row r="1203" spans="1:16" ht="14.4" x14ac:dyDescent="0.3">
      <c r="A1203">
        <v>274077</v>
      </c>
      <c r="B1203" t="str">
        <f t="shared" si="36"/>
        <v>IC- tor dolny EU 2m szampan</v>
      </c>
      <c r="C1203" s="185" t="e">
        <f t="shared" si="37"/>
        <v>#N/A</v>
      </c>
      <c r="D1203" s="407" t="s">
        <v>6987</v>
      </c>
      <c r="E1203" s="407" t="s">
        <v>6988</v>
      </c>
      <c r="F1203" s="407" t="s">
        <v>68</v>
      </c>
      <c r="G1203" s="407" t="s">
        <v>6989</v>
      </c>
      <c r="H1203" s="460" t="e">
        <v>#N/A</v>
      </c>
      <c r="I1203" s="460" t="e">
        <v>#N/A</v>
      </c>
      <c r="J1203" s="460" t="e">
        <v>#N/A</v>
      </c>
      <c r="K1203" s="460" t="e">
        <v>#N/A</v>
      </c>
      <c r="L1203" s="459" t="e">
        <v>#N/A</v>
      </c>
      <c r="O1203">
        <v>0</v>
      </c>
      <c r="P1203" t="s">
        <v>9663</v>
      </c>
    </row>
    <row r="1204" spans="1:16" ht="14.4" x14ac:dyDescent="0.3">
      <c r="A1204">
        <v>274078</v>
      </c>
      <c r="B1204" t="str">
        <f t="shared" si="36"/>
        <v>IC-tor górny EU 10mm 4m szampan</v>
      </c>
      <c r="C1204" s="185" t="e">
        <f t="shared" si="37"/>
        <v>#N/A</v>
      </c>
      <c r="D1204" s="407" t="s">
        <v>6990</v>
      </c>
      <c r="E1204" s="407" t="s">
        <v>6991</v>
      </c>
      <c r="F1204" s="407" t="s">
        <v>68</v>
      </c>
      <c r="G1204" s="407" t="s">
        <v>6992</v>
      </c>
      <c r="H1204" s="460" t="e">
        <v>#N/A</v>
      </c>
      <c r="I1204" s="460" t="e">
        <v>#N/A</v>
      </c>
      <c r="J1204" s="460" t="e">
        <v>#N/A</v>
      </c>
      <c r="K1204" s="460" t="e">
        <v>#N/A</v>
      </c>
      <c r="L1204" s="459" t="e">
        <v>#N/A</v>
      </c>
      <c r="O1204">
        <v>0</v>
      </c>
      <c r="P1204" t="s">
        <v>9664</v>
      </c>
    </row>
    <row r="1205" spans="1:16" ht="14.4" x14ac:dyDescent="0.3">
      <c r="A1205">
        <v>274079</v>
      </c>
      <c r="B1205" t="str">
        <f t="shared" si="36"/>
        <v>IC-tor maskujący dolny  EU 10mm 4m szamp</v>
      </c>
      <c r="C1205" s="185" t="e">
        <f t="shared" si="37"/>
        <v>#N/A</v>
      </c>
      <c r="D1205" s="407" t="s">
        <v>6993</v>
      </c>
      <c r="E1205" s="407" t="s">
        <v>6994</v>
      </c>
      <c r="F1205" s="407" t="s">
        <v>68</v>
      </c>
      <c r="G1205" s="407" t="s">
        <v>6995</v>
      </c>
      <c r="H1205" s="460" t="e">
        <v>#N/A</v>
      </c>
      <c r="I1205" s="460" t="e">
        <v>#N/A</v>
      </c>
      <c r="J1205" s="460" t="e">
        <v>#N/A</v>
      </c>
      <c r="K1205" s="460" t="e">
        <v>#N/A</v>
      </c>
      <c r="L1205" s="459" t="e">
        <v>#N/A</v>
      </c>
      <c r="O1205">
        <v>0</v>
      </c>
      <c r="P1205" t="s">
        <v>9665</v>
      </c>
    </row>
    <row r="1206" spans="1:16" ht="14.4" x14ac:dyDescent="0.3">
      <c r="A1206">
        <v>274270</v>
      </c>
      <c r="B1206" t="e">
        <f t="shared" si="36"/>
        <v>#N/A</v>
      </c>
      <c r="C1206" s="185" t="e">
        <f t="shared" si="37"/>
        <v>#N/A</v>
      </c>
      <c r="D1206" s="407" t="e">
        <v>#N/A</v>
      </c>
      <c r="E1206" s="407" t="e">
        <v>#N/A</v>
      </c>
      <c r="F1206" s="407" t="e">
        <v>#N/A</v>
      </c>
      <c r="G1206" s="407" t="e">
        <v>#N/A</v>
      </c>
      <c r="H1206" s="460" t="e">
        <v>#N/A</v>
      </c>
      <c r="I1206" s="460" t="e">
        <v>#N/A</v>
      </c>
      <c r="J1206" s="460" t="e">
        <v>#N/A</v>
      </c>
      <c r="K1206" s="460" t="e">
        <v>#N/A</v>
      </c>
      <c r="L1206" s="459" t="e">
        <v>#N/A</v>
      </c>
      <c r="O1206" t="e">
        <v>#N/A</v>
      </c>
      <c r="P1206" t="e">
        <v>#N/A</v>
      </c>
    </row>
    <row r="1207" spans="1:16" ht="14.4" x14ac:dyDescent="0.3">
      <c r="A1207">
        <v>274271</v>
      </c>
      <c r="B1207" t="e">
        <f t="shared" si="36"/>
        <v>#N/A</v>
      </c>
      <c r="C1207" s="185" t="e">
        <f t="shared" si="37"/>
        <v>#N/A</v>
      </c>
      <c r="D1207" s="407" t="e">
        <v>#N/A</v>
      </c>
      <c r="E1207" s="407" t="e">
        <v>#N/A</v>
      </c>
      <c r="F1207" s="407" t="e">
        <v>#N/A</v>
      </c>
      <c r="G1207" s="407" t="e">
        <v>#N/A</v>
      </c>
      <c r="H1207" s="460" t="e">
        <v>#N/A</v>
      </c>
      <c r="I1207" s="460" t="e">
        <v>#N/A</v>
      </c>
      <c r="J1207" s="460" t="e">
        <v>#N/A</v>
      </c>
      <c r="K1207" s="460" t="e">
        <v>#N/A</v>
      </c>
      <c r="L1207" s="459" t="e">
        <v>#N/A</v>
      </c>
      <c r="O1207" t="e">
        <v>#N/A</v>
      </c>
      <c r="P1207" t="e">
        <v>#N/A</v>
      </c>
    </row>
    <row r="1208" spans="1:16" ht="14.4" x14ac:dyDescent="0.3">
      <c r="A1208">
        <v>274273</v>
      </c>
      <c r="B1208" t="e">
        <f t="shared" si="36"/>
        <v>#N/A</v>
      </c>
      <c r="C1208" s="185" t="e">
        <f t="shared" si="37"/>
        <v>#N/A</v>
      </c>
      <c r="D1208" s="407" t="e">
        <v>#N/A</v>
      </c>
      <c r="E1208" s="407" t="e">
        <v>#N/A</v>
      </c>
      <c r="F1208" s="407" t="e">
        <v>#N/A</v>
      </c>
      <c r="G1208" s="407" t="e">
        <v>#N/A</v>
      </c>
      <c r="H1208" s="460" t="e">
        <v>#N/A</v>
      </c>
      <c r="I1208" s="460" t="e">
        <v>#N/A</v>
      </c>
      <c r="J1208" s="460" t="e">
        <v>#N/A</v>
      </c>
      <c r="K1208" s="460" t="e">
        <v>#N/A</v>
      </c>
      <c r="L1208" s="459" t="e">
        <v>#N/A</v>
      </c>
      <c r="O1208" t="e">
        <v>#N/A</v>
      </c>
      <c r="P1208" t="e">
        <v>#N/A</v>
      </c>
    </row>
    <row r="1209" spans="1:16" ht="14.4" x14ac:dyDescent="0.3">
      <c r="A1209">
        <v>274274</v>
      </c>
      <c r="B1209" t="e">
        <f t="shared" si="36"/>
        <v>#N/A</v>
      </c>
      <c r="C1209" s="185" t="e">
        <f t="shared" si="37"/>
        <v>#N/A</v>
      </c>
      <c r="D1209" s="407" t="e">
        <v>#N/A</v>
      </c>
      <c r="E1209" s="407" t="e">
        <v>#N/A</v>
      </c>
      <c r="F1209" s="407" t="e">
        <v>#N/A</v>
      </c>
      <c r="G1209" s="407" t="e">
        <v>#N/A</v>
      </c>
      <c r="H1209" s="460" t="e">
        <v>#N/A</v>
      </c>
      <c r="I1209" s="460" t="e">
        <v>#N/A</v>
      </c>
      <c r="J1209" s="460" t="e">
        <v>#N/A</v>
      </c>
      <c r="K1209" s="460" t="e">
        <v>#N/A</v>
      </c>
      <c r="L1209" s="459" t="e">
        <v>#N/A</v>
      </c>
      <c r="O1209" t="e">
        <v>#N/A</v>
      </c>
      <c r="P1209" t="e">
        <v>#N/A</v>
      </c>
    </row>
    <row r="1210" spans="1:16" ht="14.4" x14ac:dyDescent="0.3">
      <c r="A1210">
        <v>274276</v>
      </c>
      <c r="B1210" t="e">
        <f t="shared" si="36"/>
        <v>#N/A</v>
      </c>
      <c r="C1210" s="185" t="e">
        <f t="shared" si="37"/>
        <v>#N/A</v>
      </c>
      <c r="D1210" s="407" t="e">
        <v>#N/A</v>
      </c>
      <c r="E1210" s="407" t="e">
        <v>#N/A</v>
      </c>
      <c r="F1210" s="407" t="e">
        <v>#N/A</v>
      </c>
      <c r="G1210" s="407" t="e">
        <v>#N/A</v>
      </c>
      <c r="H1210" s="460" t="e">
        <v>#N/A</v>
      </c>
      <c r="I1210" s="460" t="e">
        <v>#N/A</v>
      </c>
      <c r="J1210" s="460" t="e">
        <v>#N/A</v>
      </c>
      <c r="K1210" s="460" t="e">
        <v>#N/A</v>
      </c>
      <c r="L1210" s="459" t="e">
        <v>#N/A</v>
      </c>
      <c r="O1210" t="e">
        <v>#N/A</v>
      </c>
      <c r="P1210" t="e">
        <v>#N/A</v>
      </c>
    </row>
    <row r="1211" spans="1:16" ht="14.4" x14ac:dyDescent="0.3">
      <c r="A1211">
        <v>274345</v>
      </c>
      <c r="B1211" t="str">
        <f t="shared" si="36"/>
        <v>SEVROLL Zestaw okuć ZSE-18 PLUS Prince</v>
      </c>
      <c r="C1211" s="185" t="e">
        <f t="shared" si="37"/>
        <v>#N/A</v>
      </c>
      <c r="D1211" s="407" t="s">
        <v>1346</v>
      </c>
      <c r="E1211" s="407" t="s">
        <v>1798</v>
      </c>
      <c r="F1211" s="407" t="s">
        <v>2158</v>
      </c>
      <c r="G1211" s="407" t="s">
        <v>5811</v>
      </c>
      <c r="H1211" s="460" t="e">
        <v>#N/A</v>
      </c>
      <c r="I1211" s="460" t="e">
        <v>#N/A</v>
      </c>
      <c r="J1211" s="460" t="e">
        <v>#N/A</v>
      </c>
      <c r="K1211" s="460" t="e">
        <v>#N/A</v>
      </c>
      <c r="L1211" s="459" t="e">
        <v>#N/A</v>
      </c>
      <c r="O1211">
        <v>73.414000000000001</v>
      </c>
      <c r="P1211" t="s">
        <v>9666</v>
      </c>
    </row>
    <row r="1212" spans="1:16" ht="14.4" x14ac:dyDescent="0.3">
      <c r="A1212">
        <v>452601</v>
      </c>
      <c r="B1212" t="str">
        <f t="shared" si="36"/>
        <v>SEVROLL 05306 Faworyt II rączka 2,7 m, czarna matowa</v>
      </c>
      <c r="C1212" s="185">
        <f t="shared" si="37"/>
        <v>60.088200000000001</v>
      </c>
      <c r="D1212" s="407" t="s">
        <v>1347</v>
      </c>
      <c r="E1212" s="407" t="s">
        <v>1799</v>
      </c>
      <c r="F1212" s="407" t="s">
        <v>5812</v>
      </c>
      <c r="G1212" s="407" t="s">
        <v>5813</v>
      </c>
      <c r="H1212" s="460">
        <v>455.23748000000001</v>
      </c>
      <c r="I1212" s="460">
        <v>16.368220000000001</v>
      </c>
      <c r="J1212" s="460">
        <v>60.088200000000001</v>
      </c>
      <c r="K1212" s="460">
        <v>6299.8920699999999</v>
      </c>
      <c r="L1212" s="459" t="s">
        <v>538</v>
      </c>
      <c r="O1212">
        <v>16.126000000000001</v>
      </c>
      <c r="P1212" t="s">
        <v>9667</v>
      </c>
    </row>
    <row r="1213" spans="1:16" ht="14.4" x14ac:dyDescent="0.3">
      <c r="A1213">
        <v>452604</v>
      </c>
      <c r="B1213" t="str">
        <f t="shared" si="36"/>
        <v>SEVROLL listwa łącząca H30 3m czarny mat</v>
      </c>
      <c r="C1213" s="185">
        <f t="shared" si="37"/>
        <v>102.1734</v>
      </c>
      <c r="D1213" s="407" t="s">
        <v>1348</v>
      </c>
      <c r="E1213" s="407" t="s">
        <v>1800</v>
      </c>
      <c r="F1213" s="407" t="s">
        <v>5814</v>
      </c>
      <c r="G1213" s="407" t="s">
        <v>2369</v>
      </c>
      <c r="H1213" s="460">
        <v>814.21649000000002</v>
      </c>
      <c r="I1213" s="460">
        <v>29.27543</v>
      </c>
      <c r="J1213" s="460">
        <v>102.1734</v>
      </c>
      <c r="K1213" s="460">
        <v>11267.692220000001</v>
      </c>
      <c r="L1213" s="459" t="s">
        <v>538</v>
      </c>
      <c r="O1213">
        <v>27.434000000000001</v>
      </c>
      <c r="P1213" t="s">
        <v>9668</v>
      </c>
    </row>
    <row r="1214" spans="1:16" ht="14.4" x14ac:dyDescent="0.3">
      <c r="A1214">
        <v>452606</v>
      </c>
      <c r="B1214" t="str">
        <f t="shared" si="36"/>
        <v>SEVROLL 05341 teownik 04 3m czarny mat</v>
      </c>
      <c r="C1214" s="185">
        <f t="shared" si="37"/>
        <v>16.289400000000001</v>
      </c>
      <c r="D1214" s="407" t="s">
        <v>1349</v>
      </c>
      <c r="E1214" s="407" t="s">
        <v>1801</v>
      </c>
      <c r="F1214" s="407" t="s">
        <v>5815</v>
      </c>
      <c r="G1214" s="407" t="s">
        <v>5816</v>
      </c>
      <c r="H1214" s="460">
        <v>129.55089000000001</v>
      </c>
      <c r="I1214" s="460">
        <v>4.6580500000000002</v>
      </c>
      <c r="J1214" s="460">
        <v>16.289400000000001</v>
      </c>
      <c r="K1214" s="460">
        <v>1792.81519</v>
      </c>
      <c r="L1214" s="459" t="s">
        <v>538</v>
      </c>
      <c r="O1214">
        <v>4.3780000000000001</v>
      </c>
      <c r="P1214" t="s">
        <v>9669</v>
      </c>
    </row>
    <row r="1215" spans="1:16" ht="14.4" x14ac:dyDescent="0.3">
      <c r="A1215">
        <v>452608</v>
      </c>
      <c r="B1215" t="str">
        <f t="shared" si="36"/>
        <v>SEVROLL listwa pozioma górna 2,35m czarny mat</v>
      </c>
      <c r="C1215" s="185">
        <f t="shared" si="37"/>
        <v>82.936199999999999</v>
      </c>
      <c r="D1215" s="407" t="s">
        <v>1350</v>
      </c>
      <c r="E1215" s="407" t="s">
        <v>1802</v>
      </c>
      <c r="F1215" s="407" t="s">
        <v>5817</v>
      </c>
      <c r="G1215" s="407" t="s">
        <v>2370</v>
      </c>
      <c r="H1215" s="460">
        <v>403.85138000000001</v>
      </c>
      <c r="I1215" s="460">
        <v>14.52061</v>
      </c>
      <c r="J1215" s="460">
        <v>82.936199999999999</v>
      </c>
      <c r="K1215" s="460">
        <v>5588.7752499999997</v>
      </c>
      <c r="L1215" s="459" t="s">
        <v>538</v>
      </c>
      <c r="O1215">
        <v>15.641999999999999</v>
      </c>
      <c r="P1215" t="s">
        <v>9670</v>
      </c>
    </row>
    <row r="1216" spans="1:16" ht="14.4" x14ac:dyDescent="0.3">
      <c r="A1216">
        <v>452734</v>
      </c>
      <c r="B1216" t="str">
        <f t="shared" si="36"/>
        <v>SEVROLL listwa pozioma górna 3m czarny mat</v>
      </c>
      <c r="C1216" s="185">
        <f t="shared" si="37"/>
        <v>105.8454</v>
      </c>
      <c r="D1216" s="407" t="s">
        <v>1351</v>
      </c>
      <c r="E1216" s="407" t="s">
        <v>1803</v>
      </c>
      <c r="F1216" s="407" t="s">
        <v>5818</v>
      </c>
      <c r="G1216" s="407" t="s">
        <v>2371</v>
      </c>
      <c r="H1216" s="460">
        <v>515.30856000000006</v>
      </c>
      <c r="I1216" s="460">
        <v>18.528089999999999</v>
      </c>
      <c r="J1216" s="460">
        <v>105.8454</v>
      </c>
      <c r="K1216" s="460">
        <v>7131.1972999999998</v>
      </c>
      <c r="L1216" s="459" t="s">
        <v>538</v>
      </c>
      <c r="O1216">
        <v>19.931999999999999</v>
      </c>
      <c r="P1216" t="s">
        <v>9671</v>
      </c>
    </row>
    <row r="1217" spans="1:16" ht="14.4" x14ac:dyDescent="0.3">
      <c r="A1217">
        <v>452735</v>
      </c>
      <c r="B1217" t="str">
        <f t="shared" si="36"/>
        <v>SEVROLL Pax tor dolny 3m czarny mat</v>
      </c>
      <c r="C1217" s="185">
        <f t="shared" si="37"/>
        <v>112.2</v>
      </c>
      <c r="D1217" s="407" t="s">
        <v>1352</v>
      </c>
      <c r="E1217" s="407" t="s">
        <v>1804</v>
      </c>
      <c r="F1217" s="407" t="s">
        <v>5819</v>
      </c>
      <c r="G1217" s="407" t="s">
        <v>2372</v>
      </c>
      <c r="H1217" s="460">
        <v>816.38773000000003</v>
      </c>
      <c r="I1217" s="460">
        <v>29.353490000000001</v>
      </c>
      <c r="J1217" s="460">
        <v>112.2</v>
      </c>
      <c r="K1217" s="460">
        <v>11297.73933</v>
      </c>
      <c r="L1217" s="459" t="s">
        <v>539</v>
      </c>
      <c r="O1217">
        <v>30.117999999999999</v>
      </c>
      <c r="P1217" t="s">
        <v>9672</v>
      </c>
    </row>
    <row r="1218" spans="1:16" ht="14.4" x14ac:dyDescent="0.3">
      <c r="A1218">
        <v>452736</v>
      </c>
      <c r="B1218" t="str">
        <f t="shared" si="36"/>
        <v>SEVROLL 05316 Gemini tor górny 6m czarny mat</v>
      </c>
      <c r="C1218" s="185">
        <f t="shared" si="37"/>
        <v>0</v>
      </c>
      <c r="D1218" s="407" t="s">
        <v>1353</v>
      </c>
      <c r="E1218" s="407" t="s">
        <v>1805</v>
      </c>
      <c r="F1218" s="407" t="s">
        <v>5820</v>
      </c>
      <c r="G1218" s="407" t="s">
        <v>5821</v>
      </c>
      <c r="H1218" s="460">
        <v>1806.47497</v>
      </c>
      <c r="I1218" s="460">
        <v>64.95241</v>
      </c>
      <c r="J1218" s="460">
        <v>0</v>
      </c>
      <c r="K1218" s="460">
        <v>24999.252980000001</v>
      </c>
      <c r="L1218" s="459" t="s">
        <v>538</v>
      </c>
      <c r="O1218">
        <v>68.706000000000003</v>
      </c>
      <c r="P1218" t="s">
        <v>9673</v>
      </c>
    </row>
    <row r="1219" spans="1:16" ht="14.4" x14ac:dyDescent="0.3">
      <c r="A1219">
        <v>452743</v>
      </c>
      <c r="B1219" t="str">
        <f t="shared" si="36"/>
        <v>SEVROLL 05312 Elegant II tor dolny 6m czarny mat</v>
      </c>
      <c r="C1219" s="185">
        <f t="shared" si="37"/>
        <v>0</v>
      </c>
      <c r="D1219" s="407" t="s">
        <v>1354</v>
      </c>
      <c r="E1219" s="407" t="s">
        <v>1806</v>
      </c>
      <c r="F1219" s="407" t="s">
        <v>5822</v>
      </c>
      <c r="G1219" s="407" t="s">
        <v>5823</v>
      </c>
      <c r="H1219" s="460">
        <v>1054.50082</v>
      </c>
      <c r="I1219" s="460">
        <v>37.914929999999998</v>
      </c>
      <c r="J1219" s="460">
        <v>0</v>
      </c>
      <c r="K1219" s="460">
        <v>14592.91346</v>
      </c>
      <c r="L1219" s="459" t="s">
        <v>538</v>
      </c>
      <c r="O1219">
        <v>37.752000000000002</v>
      </c>
      <c r="P1219" t="s">
        <v>9674</v>
      </c>
    </row>
    <row r="1220" spans="1:16" ht="14.4" x14ac:dyDescent="0.3">
      <c r="A1220">
        <v>452751</v>
      </c>
      <c r="B1220" t="str">
        <f t="shared" ref="B1220:B1283" si="38">IF($A$2=1,D1220,IF($A$2=2,F1220,IF($A$2=3,G1220,IF($A$2=4,E1220,IF($A$2&gt;4,P1220,"zadat jazyk")))))</f>
        <v>SEVROLL zaślepka do toru Elegant II 1,7m czarny mat</v>
      </c>
      <c r="C1220" s="185">
        <f t="shared" ref="C1220:C1283" si="39">IF($A$2=1,H1220,IF($A$2=2,I1220,IF($A$2=3,J1220,IF($A$2=4,K1220,IF($A$2&gt;4,O1220,"zadat jazyk")))))</f>
        <v>12.199199999999999</v>
      </c>
      <c r="D1220" s="407" t="s">
        <v>1355</v>
      </c>
      <c r="E1220" s="407" t="s">
        <v>1807</v>
      </c>
      <c r="F1220" s="407" t="s">
        <v>5824</v>
      </c>
      <c r="G1220" s="407" t="s">
        <v>2373</v>
      </c>
      <c r="H1220" s="460">
        <v>92.639750000000006</v>
      </c>
      <c r="I1220" s="460">
        <v>3.3308900000000001</v>
      </c>
      <c r="J1220" s="460">
        <v>12.199199999999999</v>
      </c>
      <c r="K1220" s="460">
        <v>1282.0129099999999</v>
      </c>
      <c r="L1220" s="459" t="s">
        <v>538</v>
      </c>
      <c r="O1220">
        <v>3.278</v>
      </c>
      <c r="P1220" t="s">
        <v>9675</v>
      </c>
    </row>
    <row r="1221" spans="1:16" ht="14.4" x14ac:dyDescent="0.3">
      <c r="A1221">
        <v>452757</v>
      </c>
      <c r="B1221" t="str">
        <f t="shared" si="38"/>
        <v>SEVROLL maskownica do toru Elegant II 6m czarny mat</v>
      </c>
      <c r="C1221" s="185">
        <f t="shared" si="39"/>
        <v>0</v>
      </c>
      <c r="D1221" s="407" t="s">
        <v>1356</v>
      </c>
      <c r="E1221" s="407" t="s">
        <v>1808</v>
      </c>
      <c r="F1221" s="407" t="s">
        <v>5825</v>
      </c>
      <c r="G1221" s="407" t="s">
        <v>5826</v>
      </c>
      <c r="H1221" s="460">
        <v>327.13407999999998</v>
      </c>
      <c r="I1221" s="460">
        <v>11.762219999999999</v>
      </c>
      <c r="J1221" s="460">
        <v>0</v>
      </c>
      <c r="K1221" s="460">
        <v>4527.1084300000002</v>
      </c>
      <c r="L1221" s="459" t="s">
        <v>538</v>
      </c>
      <c r="O1221">
        <v>11.528</v>
      </c>
      <c r="P1221" t="s">
        <v>9676</v>
      </c>
    </row>
    <row r="1222" spans="1:16" ht="14.4" x14ac:dyDescent="0.3">
      <c r="A1222">
        <v>452761</v>
      </c>
      <c r="B1222" t="str">
        <f t="shared" si="38"/>
        <v>SEVROLL listwa łącząca H10 3m czarny mat</v>
      </c>
      <c r="C1222" s="185">
        <f t="shared" si="39"/>
        <v>67.289400000000001</v>
      </c>
      <c r="D1222" s="407" t="s">
        <v>1357</v>
      </c>
      <c r="E1222" s="407" t="s">
        <v>1809</v>
      </c>
      <c r="F1222" s="407" t="s">
        <v>5827</v>
      </c>
      <c r="G1222" s="407" t="s">
        <v>2374</v>
      </c>
      <c r="H1222" s="460">
        <v>440.03877999999997</v>
      </c>
      <c r="I1222" s="460">
        <v>15.82174</v>
      </c>
      <c r="J1222" s="460">
        <v>67.289400000000001</v>
      </c>
      <c r="K1222" s="460">
        <v>6089.5615900000003</v>
      </c>
      <c r="L1222" s="459" t="s">
        <v>538</v>
      </c>
      <c r="O1222">
        <v>18.062000000000001</v>
      </c>
      <c r="P1222" t="s">
        <v>9677</v>
      </c>
    </row>
    <row r="1223" spans="1:16" ht="14.4" x14ac:dyDescent="0.3">
      <c r="A1223">
        <v>293010</v>
      </c>
      <c r="B1223" t="str">
        <f t="shared" si="38"/>
        <v>S-S45 górny profil prowadzący 4m srebrny</v>
      </c>
      <c r="C1223" s="185" t="e">
        <f t="shared" si="39"/>
        <v>#N/A</v>
      </c>
      <c r="D1223" s="407" t="s">
        <v>6996</v>
      </c>
      <c r="E1223" s="407" t="s">
        <v>6997</v>
      </c>
      <c r="F1223" s="407" t="s">
        <v>6998</v>
      </c>
      <c r="G1223" s="407" t="s">
        <v>6999</v>
      </c>
      <c r="H1223" s="460" t="e">
        <v>#N/A</v>
      </c>
      <c r="I1223" s="460" t="e">
        <v>#N/A</v>
      </c>
      <c r="J1223" s="460" t="e">
        <v>#N/A</v>
      </c>
      <c r="K1223" s="460" t="e">
        <v>#N/A</v>
      </c>
      <c r="L1223" s="459" t="e">
        <v>#N/A</v>
      </c>
      <c r="O1223">
        <v>0</v>
      </c>
      <c r="P1223" t="s">
        <v>9678</v>
      </c>
    </row>
    <row r="1224" spans="1:16" ht="14.4" x14ac:dyDescent="0.3">
      <c r="A1224">
        <v>293015</v>
      </c>
      <c r="B1224" t="str">
        <f t="shared" si="38"/>
        <v>S-komplet okuć S45 przednie drzwi</v>
      </c>
      <c r="C1224" s="185">
        <f t="shared" si="39"/>
        <v>103.24084000000001</v>
      </c>
      <c r="D1224" s="407" t="s">
        <v>7000</v>
      </c>
      <c r="E1224" s="407" t="s">
        <v>7001</v>
      </c>
      <c r="F1224" s="407" t="s">
        <v>7002</v>
      </c>
      <c r="G1224" s="407" t="s">
        <v>7003</v>
      </c>
      <c r="H1224" s="460">
        <v>548.30999999999995</v>
      </c>
      <c r="I1224" s="460">
        <v>23.401689999999999</v>
      </c>
      <c r="J1224" s="460">
        <v>103.24084000000001</v>
      </c>
      <c r="K1224" s="460" t="e">
        <v>#N/A</v>
      </c>
      <c r="L1224" s="459" t="s">
        <v>537</v>
      </c>
      <c r="O1224">
        <v>19.69745</v>
      </c>
      <c r="P1224" t="s">
        <v>9679</v>
      </c>
    </row>
    <row r="1225" spans="1:16" ht="14.4" x14ac:dyDescent="0.3">
      <c r="A1225">
        <v>293016</v>
      </c>
      <c r="B1225" t="str">
        <f t="shared" si="38"/>
        <v>S-komplet okuć S45 tylne drzwi</v>
      </c>
      <c r="C1225" s="185">
        <f t="shared" si="39"/>
        <v>72.24091</v>
      </c>
      <c r="D1225" s="407" t="s">
        <v>7004</v>
      </c>
      <c r="E1225" s="407" t="s">
        <v>7005</v>
      </c>
      <c r="F1225" s="407" t="s">
        <v>7006</v>
      </c>
      <c r="G1225" s="407" t="s">
        <v>7007</v>
      </c>
      <c r="H1225" s="460">
        <v>383.67</v>
      </c>
      <c r="I1225" s="460">
        <v>16.374919999999999</v>
      </c>
      <c r="J1225" s="460">
        <v>72.24091</v>
      </c>
      <c r="K1225" s="460" t="e">
        <v>#N/A</v>
      </c>
      <c r="L1225" s="459" t="s">
        <v>537</v>
      </c>
      <c r="O1225">
        <v>13.811529999999999</v>
      </c>
      <c r="P1225" t="s">
        <v>9680</v>
      </c>
    </row>
    <row r="1226" spans="1:16" ht="14.4" x14ac:dyDescent="0.3">
      <c r="A1226">
        <v>293019</v>
      </c>
      <c r="B1226" t="str">
        <f t="shared" si="38"/>
        <v>S-Slidix T25 tłumienie do kompletu S45 przednie</v>
      </c>
      <c r="C1226" s="185" t="e">
        <f t="shared" si="39"/>
        <v>#N/A</v>
      </c>
      <c r="D1226" s="407" t="s">
        <v>7008</v>
      </c>
      <c r="E1226" s="407" t="s">
        <v>7009</v>
      </c>
      <c r="F1226" s="407" t="s">
        <v>7010</v>
      </c>
      <c r="G1226" s="407" t="s">
        <v>7011</v>
      </c>
      <c r="H1226" s="460" t="e">
        <v>#N/A</v>
      </c>
      <c r="I1226" s="460" t="e">
        <v>#N/A</v>
      </c>
      <c r="J1226" s="460" t="e">
        <v>#N/A</v>
      </c>
      <c r="K1226" s="460" t="e">
        <v>#N/A</v>
      </c>
      <c r="L1226" s="459" t="e">
        <v>#N/A</v>
      </c>
      <c r="O1226">
        <v>13.694979999999999</v>
      </c>
      <c r="P1226" t="s">
        <v>9681</v>
      </c>
    </row>
    <row r="1227" spans="1:16" ht="14.4" x14ac:dyDescent="0.3">
      <c r="A1227">
        <v>293020</v>
      </c>
      <c r="B1227" t="str">
        <f t="shared" si="38"/>
        <v>S-Slidix T25 tłumienie do kompletu S45 tylne</v>
      </c>
      <c r="C1227" s="185" t="e">
        <f t="shared" si="39"/>
        <v>#N/A</v>
      </c>
      <c r="D1227" s="407" t="s">
        <v>7012</v>
      </c>
      <c r="E1227" s="407" t="s">
        <v>7013</v>
      </c>
      <c r="F1227" s="407" t="s">
        <v>7014</v>
      </c>
      <c r="G1227" s="407" t="s">
        <v>7015</v>
      </c>
      <c r="H1227" s="460" t="e">
        <v>#N/A</v>
      </c>
      <c r="I1227" s="460" t="e">
        <v>#N/A</v>
      </c>
      <c r="J1227" s="460" t="e">
        <v>#N/A</v>
      </c>
      <c r="K1227" s="460" t="e">
        <v>#N/A</v>
      </c>
      <c r="L1227" s="459" t="e">
        <v>#N/A</v>
      </c>
      <c r="O1227">
        <v>13.694979999999999</v>
      </c>
      <c r="P1227" t="s">
        <v>9682</v>
      </c>
    </row>
    <row r="1228" spans="1:16" ht="14.4" x14ac:dyDescent="0.3">
      <c r="A1228">
        <v>293147</v>
      </c>
      <c r="B1228" t="e">
        <f t="shared" si="38"/>
        <v>#N/A</v>
      </c>
      <c r="C1228" s="185" t="e">
        <f t="shared" si="39"/>
        <v>#N/A</v>
      </c>
      <c r="D1228" s="407" t="e">
        <v>#N/A</v>
      </c>
      <c r="E1228" s="407" t="e">
        <v>#N/A</v>
      </c>
      <c r="F1228" s="407" t="e">
        <v>#N/A</v>
      </c>
      <c r="G1228" s="407" t="e">
        <v>#N/A</v>
      </c>
      <c r="H1228" s="460" t="e">
        <v>#N/A</v>
      </c>
      <c r="I1228" s="460" t="e">
        <v>#N/A</v>
      </c>
      <c r="J1228" s="460" t="e">
        <v>#N/A</v>
      </c>
      <c r="K1228" s="460" t="e">
        <v>#N/A</v>
      </c>
      <c r="L1228" s="459" t="e">
        <v>#N/A</v>
      </c>
      <c r="O1228" t="e">
        <v>#N/A</v>
      </c>
      <c r="P1228" t="e">
        <v>#N/A</v>
      </c>
    </row>
    <row r="1229" spans="1:16" ht="14.4" x14ac:dyDescent="0.3">
      <c r="A1229">
        <v>293148</v>
      </c>
      <c r="B1229" t="e">
        <f t="shared" si="38"/>
        <v>#N/A</v>
      </c>
      <c r="C1229" s="185" t="e">
        <f t="shared" si="39"/>
        <v>#N/A</v>
      </c>
      <c r="D1229" s="407" t="e">
        <v>#N/A</v>
      </c>
      <c r="E1229" s="407" t="e">
        <v>#N/A</v>
      </c>
      <c r="F1229" s="407" t="e">
        <v>#N/A</v>
      </c>
      <c r="G1229" s="407" t="e">
        <v>#N/A</v>
      </c>
      <c r="H1229" s="460" t="e">
        <v>#N/A</v>
      </c>
      <c r="I1229" s="460" t="e">
        <v>#N/A</v>
      </c>
      <c r="J1229" s="460" t="e">
        <v>#N/A</v>
      </c>
      <c r="K1229" s="460" t="e">
        <v>#N/A</v>
      </c>
      <c r="L1229" s="459" t="e">
        <v>#N/A</v>
      </c>
      <c r="O1229" t="e">
        <v>#N/A</v>
      </c>
      <c r="P1229" t="e">
        <v>#N/A</v>
      </c>
    </row>
    <row r="1230" spans="1:16" ht="14.4" x14ac:dyDescent="0.3">
      <c r="A1230">
        <v>293151</v>
      </c>
      <c r="B1230" t="e">
        <f t="shared" si="38"/>
        <v>#N/A</v>
      </c>
      <c r="C1230" s="185" t="e">
        <f t="shared" si="39"/>
        <v>#N/A</v>
      </c>
      <c r="D1230" s="407" t="e">
        <v>#N/A</v>
      </c>
      <c r="E1230" s="407" t="e">
        <v>#N/A</v>
      </c>
      <c r="F1230" s="407" t="e">
        <v>#N/A</v>
      </c>
      <c r="G1230" s="407" t="e">
        <v>#N/A</v>
      </c>
      <c r="H1230" s="460" t="e">
        <v>#N/A</v>
      </c>
      <c r="I1230" s="460" t="e">
        <v>#N/A</v>
      </c>
      <c r="J1230" s="460" t="e">
        <v>#N/A</v>
      </c>
      <c r="K1230" s="460" t="e">
        <v>#N/A</v>
      </c>
      <c r="L1230" s="459" t="e">
        <v>#N/A</v>
      </c>
      <c r="O1230" t="e">
        <v>#N/A</v>
      </c>
      <c r="P1230" t="e">
        <v>#N/A</v>
      </c>
    </row>
    <row r="1231" spans="1:16" ht="14.4" x14ac:dyDescent="0.3">
      <c r="A1231">
        <v>293153</v>
      </c>
      <c r="B1231" t="e">
        <f t="shared" si="38"/>
        <v>#N/A</v>
      </c>
      <c r="C1231" s="185" t="e">
        <f t="shared" si="39"/>
        <v>#N/A</v>
      </c>
      <c r="D1231" s="407" t="e">
        <v>#N/A</v>
      </c>
      <c r="E1231" s="407" t="e">
        <v>#N/A</v>
      </c>
      <c r="F1231" s="407" t="e">
        <v>#N/A</v>
      </c>
      <c r="G1231" s="407" t="e">
        <v>#N/A</v>
      </c>
      <c r="H1231" s="460" t="e">
        <v>#N/A</v>
      </c>
      <c r="I1231" s="460" t="e">
        <v>#N/A</v>
      </c>
      <c r="J1231" s="460" t="e">
        <v>#N/A</v>
      </c>
      <c r="K1231" s="460" t="e">
        <v>#N/A</v>
      </c>
      <c r="L1231" s="459" t="e">
        <v>#N/A</v>
      </c>
      <c r="O1231" t="e">
        <v>#N/A</v>
      </c>
      <c r="P1231" t="e">
        <v>#N/A</v>
      </c>
    </row>
    <row r="1232" spans="1:16" ht="14.4" x14ac:dyDescent="0.3">
      <c r="A1232">
        <v>293159</v>
      </c>
      <c r="B1232" t="e">
        <f t="shared" si="38"/>
        <v>#N/A</v>
      </c>
      <c r="C1232" s="185" t="e">
        <f t="shared" si="39"/>
        <v>#N/A</v>
      </c>
      <c r="D1232" s="407" t="e">
        <v>#N/A</v>
      </c>
      <c r="E1232" s="407" t="e">
        <v>#N/A</v>
      </c>
      <c r="F1232" s="407" t="e">
        <v>#N/A</v>
      </c>
      <c r="G1232" s="407" t="e">
        <v>#N/A</v>
      </c>
      <c r="H1232" s="460" t="e">
        <v>#N/A</v>
      </c>
      <c r="I1232" s="460" t="e">
        <v>#N/A</v>
      </c>
      <c r="J1232" s="460" t="e">
        <v>#N/A</v>
      </c>
      <c r="K1232" s="460" t="e">
        <v>#N/A</v>
      </c>
      <c r="L1232" s="459" t="e">
        <v>#N/A</v>
      </c>
      <c r="O1232" t="e">
        <v>#N/A</v>
      </c>
      <c r="P1232" t="e">
        <v>#N/A</v>
      </c>
    </row>
    <row r="1233" spans="1:16" ht="14.4" x14ac:dyDescent="0.3">
      <c r="A1233">
        <v>293160</v>
      </c>
      <c r="B1233" t="e">
        <f t="shared" si="38"/>
        <v>#N/A</v>
      </c>
      <c r="C1233" s="185" t="e">
        <f t="shared" si="39"/>
        <v>#N/A</v>
      </c>
      <c r="D1233" s="407" t="e">
        <v>#N/A</v>
      </c>
      <c r="E1233" s="407" t="e">
        <v>#N/A</v>
      </c>
      <c r="F1233" s="407" t="e">
        <v>#N/A</v>
      </c>
      <c r="G1233" s="407" t="e">
        <v>#N/A</v>
      </c>
      <c r="H1233" s="460" t="e">
        <v>#N/A</v>
      </c>
      <c r="I1233" s="460" t="e">
        <v>#N/A</v>
      </c>
      <c r="J1233" s="460" t="e">
        <v>#N/A</v>
      </c>
      <c r="K1233" s="460" t="e">
        <v>#N/A</v>
      </c>
      <c r="L1233" s="459" t="e">
        <v>#N/A</v>
      </c>
      <c r="O1233" t="e">
        <v>#N/A</v>
      </c>
      <c r="P1233" t="e">
        <v>#N/A</v>
      </c>
    </row>
    <row r="1234" spans="1:16" ht="14.4" x14ac:dyDescent="0.3">
      <c r="A1234">
        <v>293161</v>
      </c>
      <c r="B1234" t="e">
        <f t="shared" si="38"/>
        <v>#N/A</v>
      </c>
      <c r="C1234" s="185" t="e">
        <f t="shared" si="39"/>
        <v>#N/A</v>
      </c>
      <c r="D1234" s="407" t="e">
        <v>#N/A</v>
      </c>
      <c r="E1234" s="407" t="e">
        <v>#N/A</v>
      </c>
      <c r="F1234" s="407" t="e">
        <v>#N/A</v>
      </c>
      <c r="G1234" s="407" t="e">
        <v>#N/A</v>
      </c>
      <c r="H1234" s="460" t="e">
        <v>#N/A</v>
      </c>
      <c r="I1234" s="460" t="e">
        <v>#N/A</v>
      </c>
      <c r="J1234" s="460" t="e">
        <v>#N/A</v>
      </c>
      <c r="K1234" s="460" t="e">
        <v>#N/A</v>
      </c>
      <c r="L1234" s="459" t="e">
        <v>#N/A</v>
      </c>
      <c r="O1234" t="e">
        <v>#N/A</v>
      </c>
      <c r="P1234" t="e">
        <v>#N/A</v>
      </c>
    </row>
    <row r="1235" spans="1:16" ht="14.4" x14ac:dyDescent="0.3">
      <c r="A1235">
        <v>293162</v>
      </c>
      <c r="B1235" t="e">
        <f t="shared" si="38"/>
        <v>#N/A</v>
      </c>
      <c r="C1235" s="185" t="e">
        <f t="shared" si="39"/>
        <v>#N/A</v>
      </c>
      <c r="D1235" s="407" t="e">
        <v>#N/A</v>
      </c>
      <c r="E1235" s="407" t="e">
        <v>#N/A</v>
      </c>
      <c r="F1235" s="407" t="e">
        <v>#N/A</v>
      </c>
      <c r="G1235" s="407" t="e">
        <v>#N/A</v>
      </c>
      <c r="H1235" s="460" t="e">
        <v>#N/A</v>
      </c>
      <c r="I1235" s="460" t="e">
        <v>#N/A</v>
      </c>
      <c r="J1235" s="460" t="e">
        <v>#N/A</v>
      </c>
      <c r="K1235" s="460" t="e">
        <v>#N/A</v>
      </c>
      <c r="L1235" s="459" t="e">
        <v>#N/A</v>
      </c>
      <c r="O1235" t="e">
        <v>#N/A</v>
      </c>
      <c r="P1235" t="e">
        <v>#N/A</v>
      </c>
    </row>
    <row r="1236" spans="1:16" ht="14.4" x14ac:dyDescent="0.3">
      <c r="A1236">
        <v>293163</v>
      </c>
      <c r="B1236" t="e">
        <f t="shared" si="38"/>
        <v>#N/A</v>
      </c>
      <c r="C1236" s="185" t="e">
        <f t="shared" si="39"/>
        <v>#N/A</v>
      </c>
      <c r="D1236" s="407" t="e">
        <v>#N/A</v>
      </c>
      <c r="E1236" s="407" t="e">
        <v>#N/A</v>
      </c>
      <c r="F1236" s="407" t="e">
        <v>#N/A</v>
      </c>
      <c r="G1236" s="407" t="e">
        <v>#N/A</v>
      </c>
      <c r="H1236" s="460" t="e">
        <v>#N/A</v>
      </c>
      <c r="I1236" s="460" t="e">
        <v>#N/A</v>
      </c>
      <c r="J1236" s="460" t="e">
        <v>#N/A</v>
      </c>
      <c r="K1236" s="460" t="e">
        <v>#N/A</v>
      </c>
      <c r="L1236" s="459" t="e">
        <v>#N/A</v>
      </c>
      <c r="O1236" t="e">
        <v>#N/A</v>
      </c>
      <c r="P1236" t="e">
        <v>#N/A</v>
      </c>
    </row>
    <row r="1237" spans="1:16" ht="14.4" x14ac:dyDescent="0.3">
      <c r="A1237">
        <v>293164</v>
      </c>
      <c r="B1237" t="e">
        <f t="shared" si="38"/>
        <v>#N/A</v>
      </c>
      <c r="C1237" s="185" t="e">
        <f t="shared" si="39"/>
        <v>#N/A</v>
      </c>
      <c r="D1237" s="407" t="e">
        <v>#N/A</v>
      </c>
      <c r="E1237" s="407" t="e">
        <v>#N/A</v>
      </c>
      <c r="F1237" s="407" t="e">
        <v>#N/A</v>
      </c>
      <c r="G1237" s="407" t="e">
        <v>#N/A</v>
      </c>
      <c r="H1237" s="460" t="e">
        <v>#N/A</v>
      </c>
      <c r="I1237" s="460" t="e">
        <v>#N/A</v>
      </c>
      <c r="J1237" s="460" t="e">
        <v>#N/A</v>
      </c>
      <c r="K1237" s="460" t="e">
        <v>#N/A</v>
      </c>
      <c r="L1237" s="459" t="e">
        <v>#N/A</v>
      </c>
      <c r="O1237" t="e">
        <v>#N/A</v>
      </c>
      <c r="P1237" t="e">
        <v>#N/A</v>
      </c>
    </row>
    <row r="1238" spans="1:16" ht="14.4" x14ac:dyDescent="0.3">
      <c r="A1238">
        <v>293165</v>
      </c>
      <c r="B1238" t="e">
        <f t="shared" si="38"/>
        <v>#N/A</v>
      </c>
      <c r="C1238" s="185" t="e">
        <f t="shared" si="39"/>
        <v>#N/A</v>
      </c>
      <c r="D1238" s="407" t="e">
        <v>#N/A</v>
      </c>
      <c r="E1238" s="407" t="e">
        <v>#N/A</v>
      </c>
      <c r="F1238" s="407" t="e">
        <v>#N/A</v>
      </c>
      <c r="G1238" s="407" t="e">
        <v>#N/A</v>
      </c>
      <c r="H1238" s="460" t="e">
        <v>#N/A</v>
      </c>
      <c r="I1238" s="460" t="e">
        <v>#N/A</v>
      </c>
      <c r="J1238" s="460" t="e">
        <v>#N/A</v>
      </c>
      <c r="K1238" s="460" t="e">
        <v>#N/A</v>
      </c>
      <c r="L1238" s="459" t="e">
        <v>#N/A</v>
      </c>
      <c r="O1238" t="e">
        <v>#N/A</v>
      </c>
      <c r="P1238" t="e">
        <v>#N/A</v>
      </c>
    </row>
    <row r="1239" spans="1:16" ht="14.4" x14ac:dyDescent="0.3">
      <c r="A1239">
        <v>293167</v>
      </c>
      <c r="B1239" t="e">
        <f t="shared" si="38"/>
        <v>#N/A</v>
      </c>
      <c r="C1239" s="185" t="e">
        <f t="shared" si="39"/>
        <v>#N/A</v>
      </c>
      <c r="D1239" s="407" t="e">
        <v>#N/A</v>
      </c>
      <c r="E1239" s="407" t="e">
        <v>#N/A</v>
      </c>
      <c r="F1239" s="407" t="e">
        <v>#N/A</v>
      </c>
      <c r="G1239" s="407" t="e">
        <v>#N/A</v>
      </c>
      <c r="H1239" s="460" t="e">
        <v>#N/A</v>
      </c>
      <c r="I1239" s="460" t="e">
        <v>#N/A</v>
      </c>
      <c r="J1239" s="460" t="e">
        <v>#N/A</v>
      </c>
      <c r="K1239" s="460" t="e">
        <v>#N/A</v>
      </c>
      <c r="L1239" s="459" t="e">
        <v>#N/A</v>
      </c>
      <c r="O1239" t="e">
        <v>#N/A</v>
      </c>
      <c r="P1239" t="e">
        <v>#N/A</v>
      </c>
    </row>
    <row r="1240" spans="1:16" ht="14.4" x14ac:dyDescent="0.3">
      <c r="A1240">
        <v>393220</v>
      </c>
      <c r="B1240" t="str">
        <f t="shared" si="38"/>
        <v>K-StrongLine Barnio zestaw Big 2 m bez tłumienia, 40-45 mm</v>
      </c>
      <c r="C1240" s="185">
        <f t="shared" si="39"/>
        <v>0</v>
      </c>
      <c r="D1240" s="407" t="s">
        <v>7016</v>
      </c>
      <c r="E1240" s="407" t="s">
        <v>7017</v>
      </c>
      <c r="F1240" s="407" t="s">
        <v>7018</v>
      </c>
      <c r="G1240" s="407" t="s">
        <v>7019</v>
      </c>
      <c r="H1240" s="460">
        <v>0</v>
      </c>
      <c r="I1240" s="460">
        <v>0</v>
      </c>
      <c r="J1240" s="460">
        <v>0</v>
      </c>
      <c r="K1240" s="460" t="e">
        <v>#N/A</v>
      </c>
      <c r="L1240" s="459" t="s">
        <v>538</v>
      </c>
      <c r="O1240">
        <v>0</v>
      </c>
      <c r="P1240" t="s">
        <v>9683</v>
      </c>
    </row>
    <row r="1241" spans="1:16" ht="14.4" x14ac:dyDescent="0.3">
      <c r="A1241">
        <v>393222</v>
      </c>
      <c r="B1241" t="str">
        <f t="shared" si="38"/>
        <v>K-StrongLine Barnio zestaw Big 2 m z tłumieniem, 40-45 mm</v>
      </c>
      <c r="C1241" s="185">
        <f t="shared" si="39"/>
        <v>0</v>
      </c>
      <c r="D1241" s="407" t="s">
        <v>7020</v>
      </c>
      <c r="E1241" s="407" t="s">
        <v>7021</v>
      </c>
      <c r="F1241" s="407" t="s">
        <v>7022</v>
      </c>
      <c r="G1241" s="407" t="s">
        <v>7023</v>
      </c>
      <c r="H1241" s="460">
        <v>0</v>
      </c>
      <c r="I1241" s="460">
        <v>0</v>
      </c>
      <c r="J1241" s="460">
        <v>0</v>
      </c>
      <c r="K1241" s="460" t="e">
        <v>#N/A</v>
      </c>
      <c r="L1241" s="459" t="s">
        <v>538</v>
      </c>
      <c r="O1241">
        <v>0</v>
      </c>
      <c r="P1241" t="s">
        <v>9684</v>
      </c>
    </row>
    <row r="1242" spans="1:16" ht="14.4" x14ac:dyDescent="0.3">
      <c r="A1242">
        <v>393224</v>
      </c>
      <c r="B1242" t="str">
        <f t="shared" si="38"/>
        <v>K-StrongLine Barnio zestaw Big 3 m bez tłumienia, 40-45 mm</v>
      </c>
      <c r="C1242" s="185">
        <f t="shared" si="39"/>
        <v>0</v>
      </c>
      <c r="D1242" s="407" t="s">
        <v>7024</v>
      </c>
      <c r="E1242" s="407" t="s">
        <v>7025</v>
      </c>
      <c r="F1242" s="407" t="s">
        <v>7026</v>
      </c>
      <c r="G1242" s="407" t="s">
        <v>7027</v>
      </c>
      <c r="H1242" s="460">
        <v>0</v>
      </c>
      <c r="I1242" s="460">
        <v>0</v>
      </c>
      <c r="J1242" s="460">
        <v>0</v>
      </c>
      <c r="K1242" s="460" t="e">
        <v>#N/A</v>
      </c>
      <c r="L1242" s="459" t="s">
        <v>538</v>
      </c>
      <c r="O1242">
        <v>0</v>
      </c>
      <c r="P1242" t="s">
        <v>9685</v>
      </c>
    </row>
    <row r="1243" spans="1:16" ht="14.4" x14ac:dyDescent="0.3">
      <c r="A1243">
        <v>393226</v>
      </c>
      <c r="B1243" t="str">
        <f t="shared" si="38"/>
        <v>K-StrongLine Barnio zestaw Big 3 m z tłumieniem, 40-45 mm</v>
      </c>
      <c r="C1243" s="185">
        <f t="shared" si="39"/>
        <v>0</v>
      </c>
      <c r="D1243" s="407" t="s">
        <v>7028</v>
      </c>
      <c r="E1243" s="407" t="s">
        <v>7029</v>
      </c>
      <c r="F1243" s="407" t="s">
        <v>7030</v>
      </c>
      <c r="G1243" s="407" t="s">
        <v>7031</v>
      </c>
      <c r="H1243" s="460">
        <v>0</v>
      </c>
      <c r="I1243" s="460">
        <v>0</v>
      </c>
      <c r="J1243" s="460">
        <v>0</v>
      </c>
      <c r="K1243" s="460" t="e">
        <v>#N/A</v>
      </c>
      <c r="L1243" s="459" t="s">
        <v>538</v>
      </c>
      <c r="O1243">
        <v>0</v>
      </c>
      <c r="P1243" t="s">
        <v>9686</v>
      </c>
    </row>
    <row r="1244" spans="1:16" ht="14.4" x14ac:dyDescent="0.3">
      <c r="A1244">
        <v>393227</v>
      </c>
      <c r="B1244" t="str">
        <f t="shared" si="38"/>
        <v>K-StrongLine Barnio zestaw Simple 2 m bez tłumienia, 40-45 mm</v>
      </c>
      <c r="C1244" s="185">
        <f t="shared" si="39"/>
        <v>0</v>
      </c>
      <c r="D1244" s="407" t="s">
        <v>7032</v>
      </c>
      <c r="E1244" s="407" t="s">
        <v>7033</v>
      </c>
      <c r="F1244" s="407" t="s">
        <v>7034</v>
      </c>
      <c r="G1244" s="407" t="s">
        <v>7035</v>
      </c>
      <c r="H1244" s="460">
        <v>0</v>
      </c>
      <c r="I1244" s="460">
        <v>0</v>
      </c>
      <c r="J1244" s="460">
        <v>0</v>
      </c>
      <c r="K1244" s="460" t="e">
        <v>#N/A</v>
      </c>
      <c r="L1244" s="459" t="s">
        <v>538</v>
      </c>
      <c r="O1244">
        <v>0</v>
      </c>
      <c r="P1244" t="s">
        <v>9687</v>
      </c>
    </row>
    <row r="1245" spans="1:16" ht="14.4" x14ac:dyDescent="0.3">
      <c r="A1245">
        <v>393229</v>
      </c>
      <c r="B1245" t="str">
        <f t="shared" si="38"/>
        <v>K-StrongLine Barnio zestaw Simple 2 m z tłumieniem, 40-45 mm</v>
      </c>
      <c r="C1245" s="185">
        <f t="shared" si="39"/>
        <v>0</v>
      </c>
      <c r="D1245" s="407" t="s">
        <v>7036</v>
      </c>
      <c r="E1245" s="407" t="s">
        <v>7037</v>
      </c>
      <c r="F1245" s="407" t="s">
        <v>7038</v>
      </c>
      <c r="G1245" s="407" t="s">
        <v>7039</v>
      </c>
      <c r="H1245" s="460">
        <v>0</v>
      </c>
      <c r="I1245" s="460">
        <v>0</v>
      </c>
      <c r="J1245" s="460">
        <v>0</v>
      </c>
      <c r="K1245" s="460" t="e">
        <v>#N/A</v>
      </c>
      <c r="L1245" s="459" t="s">
        <v>538</v>
      </c>
      <c r="O1245">
        <v>0</v>
      </c>
      <c r="P1245" t="s">
        <v>9688</v>
      </c>
    </row>
    <row r="1246" spans="1:16" ht="14.4" x14ac:dyDescent="0.3">
      <c r="A1246">
        <v>393230</v>
      </c>
      <c r="B1246" t="str">
        <f t="shared" si="38"/>
        <v>K-StrongLine Barnio zestaw Simple 3 m bez tłumienia, 40-45 mm</v>
      </c>
      <c r="C1246" s="185">
        <f t="shared" si="39"/>
        <v>0</v>
      </c>
      <c r="D1246" s="407" t="s">
        <v>7040</v>
      </c>
      <c r="E1246" s="407" t="s">
        <v>7041</v>
      </c>
      <c r="F1246" s="407" t="s">
        <v>7042</v>
      </c>
      <c r="G1246" s="407" t="s">
        <v>7043</v>
      </c>
      <c r="H1246" s="460">
        <v>0</v>
      </c>
      <c r="I1246" s="460">
        <v>0</v>
      </c>
      <c r="J1246" s="460">
        <v>0</v>
      </c>
      <c r="K1246" s="460" t="e">
        <v>#N/A</v>
      </c>
      <c r="L1246" s="459" t="s">
        <v>538</v>
      </c>
      <c r="O1246">
        <v>0</v>
      </c>
      <c r="P1246" t="s">
        <v>9689</v>
      </c>
    </row>
    <row r="1247" spans="1:16" ht="14.4" x14ac:dyDescent="0.3">
      <c r="A1247">
        <v>393231</v>
      </c>
      <c r="B1247" t="str">
        <f t="shared" si="38"/>
        <v>K-StrongLine Barnio zestaw Simple 3 m z tłumieniem, 40-45 mm</v>
      </c>
      <c r="C1247" s="185">
        <f t="shared" si="39"/>
        <v>0</v>
      </c>
      <c r="D1247" s="407" t="s">
        <v>7044</v>
      </c>
      <c r="E1247" s="407" t="s">
        <v>7045</v>
      </c>
      <c r="F1247" s="407" t="s">
        <v>7046</v>
      </c>
      <c r="G1247" s="407" t="s">
        <v>7047</v>
      </c>
      <c r="H1247" s="460">
        <v>0</v>
      </c>
      <c r="I1247" s="460">
        <v>0</v>
      </c>
      <c r="J1247" s="460">
        <v>0</v>
      </c>
      <c r="K1247" s="460" t="e">
        <v>#N/A</v>
      </c>
      <c r="L1247" s="459" t="s">
        <v>538</v>
      </c>
      <c r="O1247">
        <v>0</v>
      </c>
      <c r="P1247" t="s">
        <v>9690</v>
      </c>
    </row>
    <row r="1248" spans="1:16" ht="14.4" x14ac:dyDescent="0.3">
      <c r="A1248">
        <v>393232</v>
      </c>
      <c r="B1248" t="str">
        <f t="shared" si="38"/>
        <v>K-StrongLine Barnio zestaw Square 2 m bez tłumienia, 40-45 mm</v>
      </c>
      <c r="C1248" s="185">
        <f t="shared" si="39"/>
        <v>0</v>
      </c>
      <c r="D1248" s="407" t="s">
        <v>7048</v>
      </c>
      <c r="E1248" s="407" t="s">
        <v>7049</v>
      </c>
      <c r="F1248" s="407" t="s">
        <v>7050</v>
      </c>
      <c r="G1248" s="407" t="s">
        <v>7051</v>
      </c>
      <c r="H1248" s="460">
        <v>0</v>
      </c>
      <c r="I1248" s="460">
        <v>0</v>
      </c>
      <c r="J1248" s="460">
        <v>0</v>
      </c>
      <c r="K1248" s="460" t="e">
        <v>#N/A</v>
      </c>
      <c r="L1248" s="459" t="s">
        <v>538</v>
      </c>
      <c r="O1248">
        <v>0</v>
      </c>
      <c r="P1248" t="s">
        <v>9691</v>
      </c>
    </row>
    <row r="1249" spans="1:16" ht="14.4" x14ac:dyDescent="0.3">
      <c r="A1249">
        <v>393233</v>
      </c>
      <c r="B1249" t="str">
        <f t="shared" si="38"/>
        <v>K-StrongLine Barnio zestaw Square 2 m z tłumieniem, 40-45 mm</v>
      </c>
      <c r="C1249" s="185">
        <f t="shared" si="39"/>
        <v>0</v>
      </c>
      <c r="D1249" s="407" t="s">
        <v>7052</v>
      </c>
      <c r="E1249" s="407" t="s">
        <v>7053</v>
      </c>
      <c r="F1249" s="407" t="s">
        <v>7054</v>
      </c>
      <c r="G1249" s="407" t="s">
        <v>7055</v>
      </c>
      <c r="H1249" s="460">
        <v>0</v>
      </c>
      <c r="I1249" s="460">
        <v>0</v>
      </c>
      <c r="J1249" s="460">
        <v>0</v>
      </c>
      <c r="K1249" s="460" t="e">
        <v>#N/A</v>
      </c>
      <c r="L1249" s="459" t="s">
        <v>538</v>
      </c>
      <c r="O1249">
        <v>0</v>
      </c>
      <c r="P1249" t="s">
        <v>9692</v>
      </c>
    </row>
    <row r="1250" spans="1:16" ht="14.4" x14ac:dyDescent="0.3">
      <c r="A1250">
        <v>393234</v>
      </c>
      <c r="B1250" t="str">
        <f t="shared" si="38"/>
        <v>K-StrongLine Barnio zestaw Square 3 m bez tłumienia, 40-45 mm</v>
      </c>
      <c r="C1250" s="185">
        <f t="shared" si="39"/>
        <v>0</v>
      </c>
      <c r="D1250" s="407" t="s">
        <v>7056</v>
      </c>
      <c r="E1250" s="407" t="s">
        <v>7057</v>
      </c>
      <c r="F1250" s="407" t="s">
        <v>7058</v>
      </c>
      <c r="G1250" s="407" t="s">
        <v>7059</v>
      </c>
      <c r="H1250" s="460">
        <v>0</v>
      </c>
      <c r="I1250" s="460">
        <v>0</v>
      </c>
      <c r="J1250" s="460">
        <v>0</v>
      </c>
      <c r="K1250" s="460" t="e">
        <v>#N/A</v>
      </c>
      <c r="L1250" s="459" t="s">
        <v>538</v>
      </c>
      <c r="O1250">
        <v>0</v>
      </c>
      <c r="P1250" t="s">
        <v>9693</v>
      </c>
    </row>
    <row r="1251" spans="1:16" ht="14.4" x14ac:dyDescent="0.3">
      <c r="A1251">
        <v>393235</v>
      </c>
      <c r="B1251" t="str">
        <f t="shared" si="38"/>
        <v>K-StrongLine Barnio zestaw Square 3 m z tłumieniem, 40-45 mm</v>
      </c>
      <c r="C1251" s="185">
        <f t="shared" si="39"/>
        <v>0</v>
      </c>
      <c r="D1251" s="407" t="s">
        <v>7060</v>
      </c>
      <c r="E1251" s="407" t="s">
        <v>7061</v>
      </c>
      <c r="F1251" s="407" t="s">
        <v>7062</v>
      </c>
      <c r="G1251" s="407" t="s">
        <v>7063</v>
      </c>
      <c r="H1251" s="460">
        <v>0</v>
      </c>
      <c r="I1251" s="460">
        <v>0</v>
      </c>
      <c r="J1251" s="460">
        <v>0</v>
      </c>
      <c r="K1251" s="460" t="e">
        <v>#N/A</v>
      </c>
      <c r="L1251" s="459" t="s">
        <v>538</v>
      </c>
      <c r="O1251">
        <v>0</v>
      </c>
      <c r="P1251" t="s">
        <v>9694</v>
      </c>
    </row>
    <row r="1252" spans="1:16" ht="14.4" x14ac:dyDescent="0.3">
      <c r="A1252">
        <v>393273</v>
      </c>
      <c r="B1252" t="str">
        <f t="shared" si="38"/>
        <v>Okucia wewnętrzne przesuwne 1399 40kg 2x amortyzator</v>
      </c>
      <c r="C1252" s="185">
        <f t="shared" si="39"/>
        <v>158.80853999999999</v>
      </c>
      <c r="D1252" s="407" t="s">
        <v>7064</v>
      </c>
      <c r="E1252" s="407" t="s">
        <v>7065</v>
      </c>
      <c r="F1252" s="407" t="s">
        <v>7066</v>
      </c>
      <c r="G1252" s="407" t="s">
        <v>7067</v>
      </c>
      <c r="H1252" s="460">
        <v>860.14351999999997</v>
      </c>
      <c r="I1252" s="460">
        <v>35.80292</v>
      </c>
      <c r="J1252" s="460">
        <v>158.80853999999999</v>
      </c>
      <c r="K1252" s="460" t="e">
        <v>#N/A</v>
      </c>
      <c r="L1252" s="459" t="s">
        <v>538</v>
      </c>
      <c r="O1252">
        <v>29.437799999999999</v>
      </c>
      <c r="P1252" t="s">
        <v>9695</v>
      </c>
    </row>
    <row r="1253" spans="1:16" ht="14.4" x14ac:dyDescent="0.3">
      <c r="A1253">
        <v>393276</v>
      </c>
      <c r="B1253" t="str">
        <f t="shared" si="38"/>
        <v>Okucie do drzwi przesuwnych do wnętrz 1399/155 40kg  2x tłumienie</v>
      </c>
      <c r="C1253" s="185">
        <f t="shared" si="39"/>
        <v>295.72973999999999</v>
      </c>
      <c r="D1253" s="407" t="s">
        <v>7068</v>
      </c>
      <c r="E1253" s="407" t="s">
        <v>7069</v>
      </c>
      <c r="F1253" s="407" t="s">
        <v>7070</v>
      </c>
      <c r="G1253" s="407" t="s">
        <v>7071</v>
      </c>
      <c r="H1253" s="460">
        <v>1601.7402400000001</v>
      </c>
      <c r="I1253" s="460">
        <v>66.671390000000002</v>
      </c>
      <c r="J1253" s="460">
        <v>295.72973999999999</v>
      </c>
      <c r="K1253" s="460" t="e">
        <v>#N/A</v>
      </c>
      <c r="L1253" s="459" t="s">
        <v>538</v>
      </c>
      <c r="O1253">
        <v>54.818399999999997</v>
      </c>
      <c r="P1253" t="s">
        <v>9696</v>
      </c>
    </row>
    <row r="1254" spans="1:16" ht="14.4" x14ac:dyDescent="0.3">
      <c r="A1254">
        <v>393278</v>
      </c>
      <c r="B1254" t="str">
        <f t="shared" si="38"/>
        <v>SEVROLL Maxim tor górny 1,8m srebrny</v>
      </c>
      <c r="C1254" s="185" t="e">
        <f t="shared" si="39"/>
        <v>#N/A</v>
      </c>
      <c r="D1254" s="407" t="s">
        <v>1358</v>
      </c>
      <c r="E1254" s="407" t="s">
        <v>1810</v>
      </c>
      <c r="F1254" s="407" t="s">
        <v>2152</v>
      </c>
      <c r="G1254" s="407" t="s">
        <v>2375</v>
      </c>
      <c r="H1254" s="460" t="e">
        <v>#N/A</v>
      </c>
      <c r="I1254" s="460" t="e">
        <v>#N/A</v>
      </c>
      <c r="J1254" s="460" t="e">
        <v>#N/A</v>
      </c>
      <c r="K1254" s="460" t="e">
        <v>#N/A</v>
      </c>
      <c r="L1254" s="459" t="e">
        <v>#N/A</v>
      </c>
      <c r="O1254">
        <v>15.773999999999999</v>
      </c>
      <c r="P1254" t="s">
        <v>9697</v>
      </c>
    </row>
    <row r="1255" spans="1:16" ht="14.4" x14ac:dyDescent="0.3">
      <c r="A1255">
        <v>393279</v>
      </c>
      <c r="B1255" t="str">
        <f t="shared" si="38"/>
        <v>SEVROLL Maxim maskownica dolna 1,8m 18mm srebrny</v>
      </c>
      <c r="C1255" s="185" t="e">
        <f t="shared" si="39"/>
        <v>#N/A</v>
      </c>
      <c r="D1255" s="407" t="s">
        <v>1359</v>
      </c>
      <c r="E1255" s="407" t="s">
        <v>1811</v>
      </c>
      <c r="F1255" s="407" t="s">
        <v>2159</v>
      </c>
      <c r="G1255" s="407" t="s">
        <v>2376</v>
      </c>
      <c r="H1255" s="460" t="e">
        <v>#N/A</v>
      </c>
      <c r="I1255" s="460" t="e">
        <v>#N/A</v>
      </c>
      <c r="J1255" s="460" t="e">
        <v>#N/A</v>
      </c>
      <c r="K1255" s="460" t="e">
        <v>#N/A</v>
      </c>
      <c r="L1255" s="459" t="e">
        <v>#N/A</v>
      </c>
      <c r="O1255" t="e">
        <v>#N/A</v>
      </c>
      <c r="P1255" t="e">
        <v>#N/A</v>
      </c>
    </row>
    <row r="1256" spans="1:16" ht="14.4" x14ac:dyDescent="0.3">
      <c r="A1256">
        <v>393305</v>
      </c>
      <c r="B1256" t="str">
        <f t="shared" si="38"/>
        <v>Okucie do drzwi przesuwnych do wnętrz 1399/190 40kg  2x tłumienie</v>
      </c>
      <c r="C1256" s="185">
        <f t="shared" si="39"/>
        <v>317.77584999999999</v>
      </c>
      <c r="D1256" s="407" t="s">
        <v>7072</v>
      </c>
      <c r="E1256" s="407" t="s">
        <v>7073</v>
      </c>
      <c r="F1256" s="407" t="s">
        <v>7074</v>
      </c>
      <c r="G1256" s="407" t="s">
        <v>7075</v>
      </c>
      <c r="H1256" s="460">
        <v>1729.2900400000001</v>
      </c>
      <c r="I1256" s="460">
        <v>71.641630000000006</v>
      </c>
      <c r="J1256" s="460">
        <v>317.77584999999999</v>
      </c>
      <c r="K1256" s="460" t="e">
        <v>#N/A</v>
      </c>
      <c r="L1256" s="459" t="s">
        <v>538</v>
      </c>
      <c r="O1256">
        <v>60.129300000000001</v>
      </c>
      <c r="P1256" t="s">
        <v>9698</v>
      </c>
    </row>
    <row r="1257" spans="1:16" ht="14.4" x14ac:dyDescent="0.3">
      <c r="A1257">
        <v>393306</v>
      </c>
      <c r="B1257" t="str">
        <f t="shared" si="38"/>
        <v>Okucie do drzwi przesuwnych do wnętrz 1399/230 40kg  2x tłumienie</v>
      </c>
      <c r="C1257" s="185">
        <f t="shared" si="39"/>
        <v>348.43383999999998</v>
      </c>
      <c r="D1257" s="407" t="s">
        <v>7076</v>
      </c>
      <c r="E1257" s="407" t="s">
        <v>7077</v>
      </c>
      <c r="F1257" s="407" t="s">
        <v>7078</v>
      </c>
      <c r="G1257" s="407" t="s">
        <v>7079</v>
      </c>
      <c r="H1257" s="460">
        <v>1906.3681799999999</v>
      </c>
      <c r="I1257" s="460">
        <v>78.065079999999995</v>
      </c>
      <c r="J1257" s="460">
        <v>348.43383999999998</v>
      </c>
      <c r="K1257" s="460" t="e">
        <v>#N/A</v>
      </c>
      <c r="L1257" s="459" t="s">
        <v>538</v>
      </c>
      <c r="O1257">
        <v>66.286500000000004</v>
      </c>
      <c r="P1257" t="s">
        <v>9699</v>
      </c>
    </row>
    <row r="1258" spans="1:16" ht="14.4" x14ac:dyDescent="0.3">
      <c r="A1258">
        <v>393307</v>
      </c>
      <c r="B1258" t="str">
        <f t="shared" si="38"/>
        <v>Okucie do drzwi przesuwnych do wnętrz 1399/280 40kg 2x tłumienie</v>
      </c>
      <c r="C1258" s="185">
        <f t="shared" si="39"/>
        <v>385.35800999999998</v>
      </c>
      <c r="D1258" s="407" t="s">
        <v>7080</v>
      </c>
      <c r="E1258" s="407" t="s">
        <v>7081</v>
      </c>
      <c r="F1258" s="407" t="s">
        <v>7082</v>
      </c>
      <c r="G1258" s="407" t="s">
        <v>7083</v>
      </c>
      <c r="H1258" s="460">
        <v>2108.3894500000001</v>
      </c>
      <c r="I1258" s="460">
        <v>84.962559999999996</v>
      </c>
      <c r="J1258" s="460">
        <v>385.35800999999998</v>
      </c>
      <c r="K1258" s="460" t="e">
        <v>#N/A</v>
      </c>
      <c r="L1258" s="459" t="s">
        <v>538</v>
      </c>
      <c r="O1258">
        <v>73.311000000000007</v>
      </c>
      <c r="P1258" t="s">
        <v>9700</v>
      </c>
    </row>
    <row r="1259" spans="1:16" ht="14.4" x14ac:dyDescent="0.3">
      <c r="A1259">
        <v>393308</v>
      </c>
      <c r="B1259" t="str">
        <f t="shared" si="38"/>
        <v>Okucie do drzwi przesuwnych do wnętrz 1399/330 40kg 2x tłumienie</v>
      </c>
      <c r="C1259" s="185">
        <f t="shared" si="39"/>
        <v>422.88929999999999</v>
      </c>
      <c r="D1259" s="407" t="s">
        <v>7084</v>
      </c>
      <c r="E1259" s="407" t="s">
        <v>7085</v>
      </c>
      <c r="F1259" s="407" t="s">
        <v>7086</v>
      </c>
      <c r="G1259" s="407" t="s">
        <v>7087</v>
      </c>
      <c r="H1259" s="460">
        <v>2313.73245</v>
      </c>
      <c r="I1259" s="460">
        <v>93.237350000000006</v>
      </c>
      <c r="J1259" s="460">
        <v>422.88929999999999</v>
      </c>
      <c r="K1259" s="460" t="e">
        <v>#N/A</v>
      </c>
      <c r="L1259" s="459" t="s">
        <v>539</v>
      </c>
      <c r="O1259">
        <v>80.450999999999993</v>
      </c>
      <c r="P1259" t="s">
        <v>9701</v>
      </c>
    </row>
    <row r="1260" spans="1:16" ht="14.4" x14ac:dyDescent="0.3">
      <c r="A1260">
        <v>416531</v>
      </c>
      <c r="B1260" t="str">
        <f t="shared" si="38"/>
        <v>S-Softclose S30/S42 Slidix T60</v>
      </c>
      <c r="C1260" s="185" t="e">
        <f t="shared" si="39"/>
        <v>#N/A</v>
      </c>
      <c r="D1260" s="407" t="s">
        <v>7088</v>
      </c>
      <c r="E1260" s="407" t="s">
        <v>7088</v>
      </c>
      <c r="F1260" s="407" t="s">
        <v>7088</v>
      </c>
      <c r="G1260" s="407" t="s">
        <v>7088</v>
      </c>
      <c r="H1260" s="460" t="e">
        <v>#N/A</v>
      </c>
      <c r="I1260" s="460" t="e">
        <v>#N/A</v>
      </c>
      <c r="J1260" s="460" t="e">
        <v>#N/A</v>
      </c>
      <c r="K1260" s="460" t="e">
        <v>#N/A</v>
      </c>
      <c r="L1260" s="459" t="e">
        <v>#N/A</v>
      </c>
      <c r="O1260">
        <v>15.50155</v>
      </c>
      <c r="P1260" t="s">
        <v>7088</v>
      </c>
    </row>
    <row r="1261" spans="1:16" ht="14.4" x14ac:dyDescent="0.3">
      <c r="A1261">
        <v>416695</v>
      </c>
      <c r="B1261" t="str">
        <f t="shared" si="38"/>
        <v>SEVROLL Harmony zestaw okuć dla 2 drzwi</v>
      </c>
      <c r="C1261" s="185" t="e">
        <f t="shared" si="39"/>
        <v>#N/A</v>
      </c>
      <c r="D1261" s="407" t="s">
        <v>1360</v>
      </c>
      <c r="E1261" s="407" t="s">
        <v>1812</v>
      </c>
      <c r="F1261" s="407" t="s">
        <v>2160</v>
      </c>
      <c r="G1261" s="407" t="s">
        <v>2377</v>
      </c>
      <c r="H1261" s="460" t="e">
        <v>#N/A</v>
      </c>
      <c r="I1261" s="460" t="e">
        <v>#N/A</v>
      </c>
      <c r="J1261" s="460" t="e">
        <v>#N/A</v>
      </c>
      <c r="K1261" s="460" t="e">
        <v>#N/A</v>
      </c>
      <c r="L1261" s="459" t="e">
        <v>#N/A</v>
      </c>
      <c r="O1261" t="e">
        <v>#N/A</v>
      </c>
      <c r="P1261" t="e">
        <v>#N/A</v>
      </c>
    </row>
    <row r="1262" spans="1:16" ht="14.4" x14ac:dyDescent="0.3">
      <c r="A1262">
        <v>464138</v>
      </c>
      <c r="B1262" t="str">
        <f t="shared" si="38"/>
        <v>SEVROLL kątownik Mini 17x11mm 4,05m srebrny</v>
      </c>
      <c r="C1262" s="185" t="e">
        <f t="shared" si="39"/>
        <v>#N/A</v>
      </c>
      <c r="D1262" s="407" t="s">
        <v>5828</v>
      </c>
      <c r="E1262" s="407" t="s">
        <v>5829</v>
      </c>
      <c r="F1262" s="407" t="s">
        <v>5830</v>
      </c>
      <c r="G1262" s="407" t="s">
        <v>5831</v>
      </c>
      <c r="H1262" s="460" t="e">
        <v>#N/A</v>
      </c>
      <c r="I1262" s="460" t="e">
        <v>#N/A</v>
      </c>
      <c r="J1262" s="460" t="e">
        <v>#N/A</v>
      </c>
      <c r="K1262" s="460" t="e">
        <v>#N/A</v>
      </c>
      <c r="L1262" s="459" t="e">
        <v>#N/A</v>
      </c>
      <c r="O1262">
        <v>0</v>
      </c>
      <c r="P1262" t="s">
        <v>9702</v>
      </c>
    </row>
    <row r="1263" spans="1:16" ht="14.4" x14ac:dyDescent="0.3">
      <c r="A1263">
        <v>464295</v>
      </c>
      <c r="B1263" t="str">
        <f t="shared" si="38"/>
        <v/>
      </c>
      <c r="C1263" s="185" t="e">
        <f t="shared" si="39"/>
        <v>#N/A</v>
      </c>
      <c r="D1263" s="407" t="s">
        <v>1361</v>
      </c>
      <c r="E1263" s="407" t="s">
        <v>68</v>
      </c>
      <c r="F1263" s="407" t="s">
        <v>68</v>
      </c>
      <c r="G1263" s="407" t="s">
        <v>68</v>
      </c>
      <c r="H1263" s="460" t="e">
        <v>#N/A</v>
      </c>
      <c r="I1263" s="460" t="e">
        <v>#N/A</v>
      </c>
      <c r="J1263" s="460" t="e">
        <v>#N/A</v>
      </c>
      <c r="K1263" s="460" t="e">
        <v>#N/A</v>
      </c>
      <c r="L1263" s="459" t="e">
        <v>#N/A</v>
      </c>
      <c r="O1263" t="e">
        <v>#N/A</v>
      </c>
      <c r="P1263" t="e">
        <v>#N/A</v>
      </c>
    </row>
    <row r="1264" spans="1:16" ht="14.4" x14ac:dyDescent="0.3">
      <c r="A1264">
        <v>464296</v>
      </c>
      <c r="B1264" t="str">
        <f t="shared" si="38"/>
        <v/>
      </c>
      <c r="C1264" s="185">
        <f t="shared" si="39"/>
        <v>1</v>
      </c>
      <c r="D1264" s="407" t="s">
        <v>1362</v>
      </c>
      <c r="E1264" s="407" t="s">
        <v>68</v>
      </c>
      <c r="F1264" s="407" t="s">
        <v>68</v>
      </c>
      <c r="G1264" s="407" t="s">
        <v>68</v>
      </c>
      <c r="H1264" s="460">
        <v>7.1199999999999996E-3</v>
      </c>
      <c r="I1264" s="460">
        <v>2.5000000000000001E-4</v>
      </c>
      <c r="J1264" s="460">
        <v>1</v>
      </c>
      <c r="K1264" s="460">
        <v>11</v>
      </c>
      <c r="L1264" s="459" t="s">
        <v>541</v>
      </c>
      <c r="O1264">
        <v>2.2000000000000001E-4</v>
      </c>
      <c r="P1264" t="s">
        <v>9703</v>
      </c>
    </row>
    <row r="1265" spans="1:16" ht="14.4" x14ac:dyDescent="0.3">
      <c r="A1265">
        <v>391700</v>
      </c>
      <c r="B1265" t="str">
        <f t="shared" si="38"/>
        <v>SEVROLL Micra V komplet okuć dla 1 skrzydła</v>
      </c>
      <c r="C1265" s="185">
        <f t="shared" si="39"/>
        <v>25.214400000000001</v>
      </c>
      <c r="D1265" s="407" t="s">
        <v>1363</v>
      </c>
      <c r="E1265" s="407" t="s">
        <v>1813</v>
      </c>
      <c r="F1265" s="407" t="s">
        <v>5832</v>
      </c>
      <c r="G1265" s="407" t="s">
        <v>5833</v>
      </c>
      <c r="H1265" s="460">
        <v>176.59450000000001</v>
      </c>
      <c r="I1265" s="460">
        <v>6.3495100000000004</v>
      </c>
      <c r="J1265" s="460">
        <v>25.214400000000001</v>
      </c>
      <c r="K1265" s="460">
        <v>2443.8374100000001</v>
      </c>
      <c r="L1265" s="459" t="s">
        <v>538</v>
      </c>
      <c r="O1265">
        <v>5.9619999999999997</v>
      </c>
      <c r="P1265" t="s">
        <v>9704</v>
      </c>
    </row>
    <row r="1266" spans="1:16" ht="14.4" x14ac:dyDescent="0.3">
      <c r="A1266">
        <v>391738</v>
      </c>
      <c r="B1266" t="e">
        <f t="shared" si="38"/>
        <v>#N/A</v>
      </c>
      <c r="C1266" s="185" t="e">
        <f t="shared" si="39"/>
        <v>#N/A</v>
      </c>
      <c r="D1266" s="407" t="e">
        <v>#N/A</v>
      </c>
      <c r="E1266" s="407" t="e">
        <v>#N/A</v>
      </c>
      <c r="F1266" s="407" t="e">
        <v>#N/A</v>
      </c>
      <c r="G1266" s="407" t="e">
        <v>#N/A</v>
      </c>
      <c r="H1266" s="460" t="e">
        <v>#N/A</v>
      </c>
      <c r="I1266" s="460" t="e">
        <v>#N/A</v>
      </c>
      <c r="J1266" s="460" t="e">
        <v>#N/A</v>
      </c>
      <c r="K1266" s="460" t="e">
        <v>#N/A</v>
      </c>
      <c r="L1266" s="459" t="e">
        <v>#N/A</v>
      </c>
      <c r="O1266" t="e">
        <v>#N/A</v>
      </c>
      <c r="P1266" t="e">
        <v>#N/A</v>
      </c>
    </row>
    <row r="1267" spans="1:16" ht="14.4" x14ac:dyDescent="0.3">
      <c r="A1267">
        <v>391739</v>
      </c>
      <c r="B1267" t="e">
        <f t="shared" si="38"/>
        <v>#N/A</v>
      </c>
      <c r="C1267" s="185" t="e">
        <f t="shared" si="39"/>
        <v>#N/A</v>
      </c>
      <c r="D1267" s="407" t="e">
        <v>#N/A</v>
      </c>
      <c r="E1267" s="407" t="e">
        <v>#N/A</v>
      </c>
      <c r="F1267" s="407" t="e">
        <v>#N/A</v>
      </c>
      <c r="G1267" s="407" t="e">
        <v>#N/A</v>
      </c>
      <c r="H1267" s="460" t="e">
        <v>#N/A</v>
      </c>
      <c r="I1267" s="460" t="e">
        <v>#N/A</v>
      </c>
      <c r="J1267" s="460" t="e">
        <v>#N/A</v>
      </c>
      <c r="K1267" s="460" t="e">
        <v>#N/A</v>
      </c>
      <c r="L1267" s="459" t="e">
        <v>#N/A</v>
      </c>
      <c r="O1267" t="e">
        <v>#N/A</v>
      </c>
      <c r="P1267" t="e">
        <v>#N/A</v>
      </c>
    </row>
    <row r="1268" spans="1:16" ht="14.4" x14ac:dyDescent="0.3">
      <c r="A1268">
        <v>391740</v>
      </c>
      <c r="B1268" t="e">
        <f t="shared" si="38"/>
        <v>#N/A</v>
      </c>
      <c r="C1268" s="185" t="e">
        <f t="shared" si="39"/>
        <v>#N/A</v>
      </c>
      <c r="D1268" s="407" t="e">
        <v>#N/A</v>
      </c>
      <c r="E1268" s="407" t="e">
        <v>#N/A</v>
      </c>
      <c r="F1268" s="407" t="e">
        <v>#N/A</v>
      </c>
      <c r="G1268" s="407" t="e">
        <v>#N/A</v>
      </c>
      <c r="H1268" s="460" t="e">
        <v>#N/A</v>
      </c>
      <c r="I1268" s="460" t="e">
        <v>#N/A</v>
      </c>
      <c r="J1268" s="460" t="e">
        <v>#N/A</v>
      </c>
      <c r="K1268" s="460" t="e">
        <v>#N/A</v>
      </c>
      <c r="L1268" s="459" t="e">
        <v>#N/A</v>
      </c>
      <c r="O1268" t="e">
        <v>#N/A</v>
      </c>
      <c r="P1268" t="e">
        <v>#N/A</v>
      </c>
    </row>
    <row r="1269" spans="1:16" ht="14.4" x14ac:dyDescent="0.3">
      <c r="A1269">
        <v>391741</v>
      </c>
      <c r="B1269" t="e">
        <f t="shared" si="38"/>
        <v>#N/A</v>
      </c>
      <c r="C1269" s="185" t="e">
        <f t="shared" si="39"/>
        <v>#N/A</v>
      </c>
      <c r="D1269" s="407" t="e">
        <v>#N/A</v>
      </c>
      <c r="E1269" s="407" t="e">
        <v>#N/A</v>
      </c>
      <c r="F1269" s="407" t="e">
        <v>#N/A</v>
      </c>
      <c r="G1269" s="407" t="e">
        <v>#N/A</v>
      </c>
      <c r="H1269" s="460" t="e">
        <v>#N/A</v>
      </c>
      <c r="I1269" s="460" t="e">
        <v>#N/A</v>
      </c>
      <c r="J1269" s="460" t="e">
        <v>#N/A</v>
      </c>
      <c r="K1269" s="460" t="e">
        <v>#N/A</v>
      </c>
      <c r="L1269" s="459" t="e">
        <v>#N/A</v>
      </c>
      <c r="O1269" t="e">
        <v>#N/A</v>
      </c>
      <c r="P1269" t="e">
        <v>#N/A</v>
      </c>
    </row>
    <row r="1270" spans="1:16" ht="14.4" x14ac:dyDescent="0.3">
      <c r="A1270">
        <v>392153</v>
      </c>
      <c r="B1270" t="str">
        <f t="shared" si="38"/>
        <v/>
      </c>
      <c r="C1270" s="185" t="e">
        <f t="shared" si="39"/>
        <v>#N/A</v>
      </c>
      <c r="D1270" s="407" t="s">
        <v>7089</v>
      </c>
      <c r="E1270" s="407" t="s">
        <v>7090</v>
      </c>
      <c r="F1270" s="407" t="s">
        <v>7091</v>
      </c>
      <c r="G1270" s="407" t="s">
        <v>68</v>
      </c>
      <c r="H1270" s="460" t="e">
        <v>#N/A</v>
      </c>
      <c r="I1270" s="460" t="e">
        <v>#N/A</v>
      </c>
      <c r="J1270" s="460" t="e">
        <v>#N/A</v>
      </c>
      <c r="K1270" s="460" t="e">
        <v>#N/A</v>
      </c>
      <c r="L1270" s="459" t="e">
        <v>#N/A</v>
      </c>
      <c r="O1270">
        <v>0</v>
      </c>
      <c r="P1270" t="s">
        <v>9705</v>
      </c>
    </row>
    <row r="1271" spans="1:16" ht="14.4" x14ac:dyDescent="0.3">
      <c r="A1271">
        <v>392154</v>
      </c>
      <c r="B1271" t="str">
        <f t="shared" si="38"/>
        <v/>
      </c>
      <c r="C1271" s="185" t="e">
        <f t="shared" si="39"/>
        <v>#N/A</v>
      </c>
      <c r="D1271" s="407" t="s">
        <v>7092</v>
      </c>
      <c r="E1271" s="407" t="s">
        <v>7093</v>
      </c>
      <c r="F1271" s="407" t="s">
        <v>7094</v>
      </c>
      <c r="G1271" s="407" t="s">
        <v>68</v>
      </c>
      <c r="H1271" s="460" t="e">
        <v>#N/A</v>
      </c>
      <c r="I1271" s="460" t="e">
        <v>#N/A</v>
      </c>
      <c r="J1271" s="460" t="e">
        <v>#N/A</v>
      </c>
      <c r="K1271" s="460" t="e">
        <v>#N/A</v>
      </c>
      <c r="L1271" s="459" t="e">
        <v>#N/A</v>
      </c>
      <c r="O1271">
        <v>0</v>
      </c>
      <c r="P1271" t="s">
        <v>9706</v>
      </c>
    </row>
    <row r="1272" spans="1:16" ht="14.4" x14ac:dyDescent="0.3">
      <c r="A1272">
        <v>392155</v>
      </c>
      <c r="B1272" t="str">
        <f t="shared" si="38"/>
        <v/>
      </c>
      <c r="C1272" s="185" t="e">
        <f t="shared" si="39"/>
        <v>#N/A</v>
      </c>
      <c r="D1272" s="407" t="s">
        <v>7095</v>
      </c>
      <c r="E1272" s="407" t="s">
        <v>7096</v>
      </c>
      <c r="F1272" s="407" t="s">
        <v>7097</v>
      </c>
      <c r="G1272" s="407" t="s">
        <v>68</v>
      </c>
      <c r="H1272" s="460" t="e">
        <v>#N/A</v>
      </c>
      <c r="I1272" s="460" t="e">
        <v>#N/A</v>
      </c>
      <c r="J1272" s="460" t="e">
        <v>#N/A</v>
      </c>
      <c r="K1272" s="460" t="e">
        <v>#N/A</v>
      </c>
      <c r="L1272" s="459" t="e">
        <v>#N/A</v>
      </c>
      <c r="O1272">
        <v>0</v>
      </c>
      <c r="P1272" t="s">
        <v>9707</v>
      </c>
    </row>
    <row r="1273" spans="1:16" ht="14.4" x14ac:dyDescent="0.3">
      <c r="A1273">
        <v>392156</v>
      </c>
      <c r="B1273" t="str">
        <f t="shared" si="38"/>
        <v/>
      </c>
      <c r="C1273" s="185" t="e">
        <f t="shared" si="39"/>
        <v>#N/A</v>
      </c>
      <c r="D1273" s="407" t="s">
        <v>7098</v>
      </c>
      <c r="E1273" s="407" t="s">
        <v>7099</v>
      </c>
      <c r="F1273" s="407" t="s">
        <v>7100</v>
      </c>
      <c r="G1273" s="407" t="s">
        <v>68</v>
      </c>
      <c r="H1273" s="460" t="e">
        <v>#N/A</v>
      </c>
      <c r="I1273" s="460" t="e">
        <v>#N/A</v>
      </c>
      <c r="J1273" s="460" t="e">
        <v>#N/A</v>
      </c>
      <c r="K1273" s="460" t="e">
        <v>#N/A</v>
      </c>
      <c r="L1273" s="459" t="e">
        <v>#N/A</v>
      </c>
      <c r="O1273">
        <v>0</v>
      </c>
      <c r="P1273" t="s">
        <v>9708</v>
      </c>
    </row>
    <row r="1274" spans="1:16" ht="14.4" x14ac:dyDescent="0.3">
      <c r="A1274">
        <v>392157</v>
      </c>
      <c r="B1274" t="str">
        <f t="shared" si="38"/>
        <v/>
      </c>
      <c r="C1274" s="185" t="e">
        <f t="shared" si="39"/>
        <v>#N/A</v>
      </c>
      <c r="D1274" s="407" t="s">
        <v>7101</v>
      </c>
      <c r="E1274" s="407" t="s">
        <v>7102</v>
      </c>
      <c r="F1274" s="407" t="s">
        <v>7103</v>
      </c>
      <c r="G1274" s="407" t="s">
        <v>68</v>
      </c>
      <c r="H1274" s="460" t="e">
        <v>#N/A</v>
      </c>
      <c r="I1274" s="460" t="e">
        <v>#N/A</v>
      </c>
      <c r="J1274" s="460" t="e">
        <v>#N/A</v>
      </c>
      <c r="K1274" s="460" t="e">
        <v>#N/A</v>
      </c>
      <c r="L1274" s="459" t="e">
        <v>#N/A</v>
      </c>
      <c r="O1274">
        <v>0</v>
      </c>
      <c r="P1274" t="s">
        <v>9709</v>
      </c>
    </row>
    <row r="1275" spans="1:16" ht="14.4" x14ac:dyDescent="0.3">
      <c r="A1275">
        <v>392649</v>
      </c>
      <c r="B1275" t="str">
        <f t="shared" si="38"/>
        <v>StrongLine Barnio śruba łącząca do drzwi 30-40 mm</v>
      </c>
      <c r="C1275" s="185">
        <f t="shared" si="39"/>
        <v>3.3393299999999999</v>
      </c>
      <c r="D1275" s="407" t="s">
        <v>7104</v>
      </c>
      <c r="E1275" s="407" t="s">
        <v>7105</v>
      </c>
      <c r="F1275" s="407" t="s">
        <v>7106</v>
      </c>
      <c r="G1275" s="407" t="s">
        <v>7107</v>
      </c>
      <c r="H1275" s="460">
        <v>20.63693</v>
      </c>
      <c r="I1275" s="460">
        <v>0.73704999999999998</v>
      </c>
      <c r="J1275" s="460">
        <v>3.3393299999999999</v>
      </c>
      <c r="K1275" s="460" t="e">
        <v>#N/A</v>
      </c>
      <c r="L1275" s="459" t="s">
        <v>538</v>
      </c>
      <c r="O1275">
        <v>0.59623000000000004</v>
      </c>
      <c r="P1275" t="s">
        <v>9710</v>
      </c>
    </row>
    <row r="1276" spans="1:16" ht="14.4" x14ac:dyDescent="0.3">
      <c r="A1276">
        <v>392650</v>
      </c>
      <c r="B1276" t="str">
        <f t="shared" si="38"/>
        <v>StrongLine Barnio śruba łącząca do drzwi 40-45 mm</v>
      </c>
      <c r="C1276" s="185">
        <f t="shared" si="39"/>
        <v>2.9540299999999999</v>
      </c>
      <c r="D1276" s="407" t="s">
        <v>7108</v>
      </c>
      <c r="E1276" s="407" t="s">
        <v>7109</v>
      </c>
      <c r="F1276" s="407" t="s">
        <v>7110</v>
      </c>
      <c r="G1276" s="407" t="s">
        <v>7111</v>
      </c>
      <c r="H1276" s="460">
        <v>18.255739999999999</v>
      </c>
      <c r="I1276" s="460">
        <v>0.65200000000000002</v>
      </c>
      <c r="J1276" s="460">
        <v>2.9540299999999999</v>
      </c>
      <c r="K1276" s="460" t="e">
        <v>#N/A</v>
      </c>
      <c r="L1276" s="459" t="s">
        <v>538</v>
      </c>
      <c r="O1276">
        <v>0.52742999999999995</v>
      </c>
      <c r="P1276" t="s">
        <v>9711</v>
      </c>
    </row>
    <row r="1277" spans="1:16" ht="14.4" x14ac:dyDescent="0.3">
      <c r="A1277">
        <v>393162</v>
      </c>
      <c r="B1277" t="e">
        <f t="shared" si="38"/>
        <v>#N/A</v>
      </c>
      <c r="C1277" s="185" t="e">
        <f t="shared" si="39"/>
        <v>#N/A</v>
      </c>
      <c r="D1277" s="407" t="e">
        <v>#N/A</v>
      </c>
      <c r="E1277" s="407" t="e">
        <v>#N/A</v>
      </c>
      <c r="F1277" s="407" t="e">
        <v>#N/A</v>
      </c>
      <c r="G1277" s="407" t="e">
        <v>#N/A</v>
      </c>
      <c r="H1277" s="460" t="e">
        <v>#N/A</v>
      </c>
      <c r="I1277" s="460" t="e">
        <v>#N/A</v>
      </c>
      <c r="J1277" s="460" t="e">
        <v>#N/A</v>
      </c>
      <c r="K1277" s="460" t="e">
        <v>#N/A</v>
      </c>
      <c r="L1277" s="459" t="e">
        <v>#N/A</v>
      </c>
      <c r="O1277" t="e">
        <v>#N/A</v>
      </c>
      <c r="P1277" t="e">
        <v>#N/A</v>
      </c>
    </row>
    <row r="1278" spans="1:16" ht="14.4" x14ac:dyDescent="0.3">
      <c r="A1278">
        <v>320750</v>
      </c>
      <c r="B1278" t="str">
        <f t="shared" si="38"/>
        <v>WC Zamek ze wskaźnikiem zajęte/wolne do płyty laminowanej 18 mm</v>
      </c>
      <c r="C1278" s="185">
        <f t="shared" si="39"/>
        <v>61.919499999999999</v>
      </c>
      <c r="D1278" s="407" t="s">
        <v>7112</v>
      </c>
      <c r="E1278" s="407" t="s">
        <v>7113</v>
      </c>
      <c r="F1278" s="407" t="s">
        <v>7114</v>
      </c>
      <c r="G1278" s="407" t="s">
        <v>7115</v>
      </c>
      <c r="H1278" s="460">
        <v>316.04831999999999</v>
      </c>
      <c r="I1278" s="460">
        <v>15.153600000000001</v>
      </c>
      <c r="J1278" s="460">
        <v>61.919499999999999</v>
      </c>
      <c r="K1278" s="460" t="e">
        <v>#N/A</v>
      </c>
      <c r="L1278" s="459" t="s">
        <v>540</v>
      </c>
      <c r="O1278">
        <v>29.359680000000001</v>
      </c>
      <c r="P1278" t="s">
        <v>9712</v>
      </c>
    </row>
    <row r="1279" spans="1:16" ht="14.4" x14ac:dyDescent="0.3">
      <c r="A1279">
        <v>320753</v>
      </c>
      <c r="B1279" t="str">
        <f t="shared" si="38"/>
        <v>K-WC Nóżka regulowana VS-U uniwersalna 18 mm</v>
      </c>
      <c r="C1279" s="185">
        <f t="shared" si="39"/>
        <v>0</v>
      </c>
      <c r="D1279" s="407" t="s">
        <v>7116</v>
      </c>
      <c r="E1279" s="407" t="s">
        <v>7117</v>
      </c>
      <c r="F1279" s="407" t="s">
        <v>7118</v>
      </c>
      <c r="G1279" s="407" t="s">
        <v>7119</v>
      </c>
      <c r="H1279" s="460">
        <v>0</v>
      </c>
      <c r="I1279" s="460">
        <v>0</v>
      </c>
      <c r="J1279" s="460">
        <v>0</v>
      </c>
      <c r="K1279" s="460" t="e">
        <v>#N/A</v>
      </c>
      <c r="L1279" s="459" t="s">
        <v>538</v>
      </c>
      <c r="O1279">
        <v>20.13</v>
      </c>
      <c r="P1279" t="s">
        <v>9713</v>
      </c>
    </row>
    <row r="1280" spans="1:16" ht="14.4" x14ac:dyDescent="0.3">
      <c r="A1280">
        <v>415648</v>
      </c>
      <c r="B1280" t="str">
        <f t="shared" si="38"/>
        <v>WC Al elox profil U boczny 18 mm, długość  2 m</v>
      </c>
      <c r="C1280" s="185">
        <f t="shared" si="39"/>
        <v>65.176649999999995</v>
      </c>
      <c r="D1280" s="407" t="s">
        <v>7120</v>
      </c>
      <c r="E1280" s="407" t="s">
        <v>7121</v>
      </c>
      <c r="F1280" s="407" t="s">
        <v>7122</v>
      </c>
      <c r="G1280" s="407" t="s">
        <v>7123</v>
      </c>
      <c r="H1280" s="460">
        <v>466.62461999999999</v>
      </c>
      <c r="I1280" s="460">
        <v>17.900189999999998</v>
      </c>
      <c r="J1280" s="460">
        <v>65.176649999999995</v>
      </c>
      <c r="K1280" s="460" t="e">
        <v>#N/A</v>
      </c>
      <c r="L1280" s="459" t="s">
        <v>538</v>
      </c>
      <c r="O1280">
        <v>15.246</v>
      </c>
      <c r="P1280" t="s">
        <v>9714</v>
      </c>
    </row>
    <row r="1281" spans="1:16" ht="14.4" x14ac:dyDescent="0.3">
      <c r="A1281">
        <v>415751</v>
      </c>
      <c r="B1281" t="str">
        <f t="shared" si="38"/>
        <v>WC Al elox profil U 13 mm, długość  2 m</v>
      </c>
      <c r="C1281" s="185">
        <f t="shared" si="39"/>
        <v>66.134349999999998</v>
      </c>
      <c r="D1281" s="407" t="s">
        <v>7124</v>
      </c>
      <c r="E1281" s="407" t="s">
        <v>7125</v>
      </c>
      <c r="F1281" s="407" t="s">
        <v>7126</v>
      </c>
      <c r="G1281" s="407" t="s">
        <v>7127</v>
      </c>
      <c r="H1281" s="460">
        <v>466.62461999999999</v>
      </c>
      <c r="I1281" s="460">
        <v>17.900189999999998</v>
      </c>
      <c r="J1281" s="460">
        <v>66.134349999999998</v>
      </c>
      <c r="K1281" s="460" t="e">
        <v>#N/A</v>
      </c>
      <c r="L1281" s="459" t="s">
        <v>538</v>
      </c>
      <c r="O1281">
        <v>15.246</v>
      </c>
      <c r="P1281" t="s">
        <v>9715</v>
      </c>
    </row>
    <row r="1282" spans="1:16" ht="14.4" x14ac:dyDescent="0.3">
      <c r="A1282">
        <v>415752</v>
      </c>
      <c r="B1282" t="str">
        <f t="shared" si="38"/>
        <v>WC Al elox profil U 25 mm, długość  2 m</v>
      </c>
      <c r="C1282" s="185">
        <f t="shared" si="39"/>
        <v>65.650660000000002</v>
      </c>
      <c r="D1282" s="407" t="s">
        <v>7128</v>
      </c>
      <c r="E1282" s="407" t="s">
        <v>7129</v>
      </c>
      <c r="F1282" s="407" t="s">
        <v>7130</v>
      </c>
      <c r="G1282" s="407" t="s">
        <v>7131</v>
      </c>
      <c r="H1282" s="460">
        <v>466.62461999999999</v>
      </c>
      <c r="I1282" s="460">
        <v>17.900189999999998</v>
      </c>
      <c r="J1282" s="460">
        <v>65.650660000000002</v>
      </c>
      <c r="K1282" s="460" t="e">
        <v>#N/A</v>
      </c>
      <c r="L1282" s="459" t="s">
        <v>538</v>
      </c>
      <c r="O1282">
        <v>15.246</v>
      </c>
      <c r="P1282" t="s">
        <v>9716</v>
      </c>
    </row>
    <row r="1283" spans="1:16" ht="14.4" x14ac:dyDescent="0.3">
      <c r="A1283">
        <v>416530</v>
      </c>
      <c r="B1283" t="str">
        <f t="shared" si="38"/>
        <v>S-Softclose S30/S42 Slidix T40</v>
      </c>
      <c r="C1283" s="185">
        <f t="shared" si="39"/>
        <v>81.098039999999997</v>
      </c>
      <c r="D1283" s="407" t="s">
        <v>7132</v>
      </c>
      <c r="E1283" s="407" t="s">
        <v>7132</v>
      </c>
      <c r="F1283" s="407" t="s">
        <v>7132</v>
      </c>
      <c r="G1283" s="407" t="s">
        <v>7132</v>
      </c>
      <c r="H1283" s="460">
        <v>430.71</v>
      </c>
      <c r="I1283" s="460">
        <v>18.382560000000002</v>
      </c>
      <c r="J1283" s="460">
        <v>81.098039999999997</v>
      </c>
      <c r="K1283" s="460" t="e">
        <v>#N/A</v>
      </c>
      <c r="L1283" s="459" t="s">
        <v>537</v>
      </c>
      <c r="O1283">
        <v>15.50155</v>
      </c>
      <c r="P1283" t="s">
        <v>7132</v>
      </c>
    </row>
    <row r="1284" spans="1:16" ht="14.4" x14ac:dyDescent="0.3">
      <c r="A1284">
        <v>144095</v>
      </c>
      <c r="B1284" t="str">
        <f t="shared" ref="B1284:B1347" si="40">IF($A$2=1,D1284,IF($A$2=2,F1284,IF($A$2=3,G1284,IF($A$2=4,E1284,IF($A$2&gt;4,P1284,"zadat jazyk")))))</f>
        <v>S-komplet okuć S80</v>
      </c>
      <c r="C1284" s="185" t="e">
        <f t="shared" ref="C1284:C1347" si="41">IF($A$2=1,H1284,IF($A$2=2,I1284,IF($A$2=3,J1284,IF($A$2=4,K1284,IF($A$2&gt;4,O1284,"zadat jazyk")))))</f>
        <v>#N/A</v>
      </c>
      <c r="D1284" s="407" t="s">
        <v>7133</v>
      </c>
      <c r="E1284" s="407" t="s">
        <v>7134</v>
      </c>
      <c r="F1284" s="407" t="s">
        <v>7135</v>
      </c>
      <c r="G1284" s="407" t="s">
        <v>7136</v>
      </c>
      <c r="H1284" s="460" t="e">
        <v>#N/A</v>
      </c>
      <c r="I1284" s="460" t="e">
        <v>#N/A</v>
      </c>
      <c r="J1284" s="460" t="e">
        <v>#N/A</v>
      </c>
      <c r="K1284" s="460" t="e">
        <v>#N/A</v>
      </c>
      <c r="L1284" s="459" t="e">
        <v>#N/A</v>
      </c>
      <c r="O1284">
        <v>21.62059</v>
      </c>
      <c r="P1284" t="s">
        <v>9717</v>
      </c>
    </row>
    <row r="1285" spans="1:16" ht="14.4" x14ac:dyDescent="0.3">
      <c r="A1285">
        <v>144096</v>
      </c>
      <c r="B1285" t="str">
        <f t="shared" si="40"/>
        <v>S-S40/80 górna listwa alu 2m</v>
      </c>
      <c r="C1285" s="185" t="e">
        <f t="shared" si="41"/>
        <v>#N/A</v>
      </c>
      <c r="D1285" s="407" t="s">
        <v>7137</v>
      </c>
      <c r="E1285" s="407" t="s">
        <v>7138</v>
      </c>
      <c r="F1285" s="407" t="s">
        <v>7139</v>
      </c>
      <c r="G1285" s="407" t="s">
        <v>7140</v>
      </c>
      <c r="H1285" s="460" t="e">
        <v>#N/A</v>
      </c>
      <c r="I1285" s="460" t="e">
        <v>#N/A</v>
      </c>
      <c r="J1285" s="460" t="e">
        <v>#N/A</v>
      </c>
      <c r="K1285" s="460" t="e">
        <v>#N/A</v>
      </c>
      <c r="L1285" s="459" t="e">
        <v>#N/A</v>
      </c>
      <c r="O1285">
        <v>0</v>
      </c>
      <c r="P1285" t="s">
        <v>9718</v>
      </c>
    </row>
    <row r="1286" spans="1:16" ht="14.4" x14ac:dyDescent="0.3">
      <c r="A1286">
        <v>352014</v>
      </c>
      <c r="B1286" t="str">
        <f t="shared" si="40"/>
        <v>HAWA 053.3389.071 Frontino 20 H OS FS typ S1 1200-1399 mm</v>
      </c>
      <c r="C1286" s="185" t="e">
        <f t="shared" si="41"/>
        <v>#N/A</v>
      </c>
      <c r="D1286" s="407" t="s">
        <v>7141</v>
      </c>
      <c r="E1286" s="407" t="s">
        <v>7142</v>
      </c>
      <c r="F1286" s="407" t="s">
        <v>7141</v>
      </c>
      <c r="G1286" s="407" t="s">
        <v>7143</v>
      </c>
      <c r="H1286" s="460" t="e">
        <v>#N/A</v>
      </c>
      <c r="I1286" s="460" t="e">
        <v>#N/A</v>
      </c>
      <c r="J1286" s="460" t="e">
        <v>#N/A</v>
      </c>
      <c r="K1286" s="460" t="e">
        <v>#N/A</v>
      </c>
      <c r="L1286" s="459" t="e">
        <v>#N/A</v>
      </c>
      <c r="O1286">
        <v>958.01368000000002</v>
      </c>
      <c r="P1286" t="s">
        <v>9719</v>
      </c>
    </row>
    <row r="1287" spans="1:16" ht="14.4" x14ac:dyDescent="0.3">
      <c r="A1287">
        <v>352015</v>
      </c>
      <c r="B1287" t="str">
        <f t="shared" si="40"/>
        <v>HAWA 053.3389.072 Frontino 20 H OS FS typ S2 1400-1599 mm</v>
      </c>
      <c r="C1287" s="185" t="e">
        <f t="shared" si="41"/>
        <v>#N/A</v>
      </c>
      <c r="D1287" s="407" t="s">
        <v>7144</v>
      </c>
      <c r="E1287" s="407" t="s">
        <v>7145</v>
      </c>
      <c r="F1287" s="407" t="s">
        <v>7144</v>
      </c>
      <c r="G1287" s="407" t="s">
        <v>7146</v>
      </c>
      <c r="H1287" s="460" t="e">
        <v>#N/A</v>
      </c>
      <c r="I1287" s="460" t="e">
        <v>#N/A</v>
      </c>
      <c r="J1287" s="460" t="e">
        <v>#N/A</v>
      </c>
      <c r="K1287" s="460" t="e">
        <v>#N/A</v>
      </c>
      <c r="L1287" s="459" t="e">
        <v>#N/A</v>
      </c>
      <c r="O1287">
        <v>974.46756000000005</v>
      </c>
      <c r="P1287" t="s">
        <v>9720</v>
      </c>
    </row>
    <row r="1288" spans="1:16" ht="14.4" x14ac:dyDescent="0.3">
      <c r="A1288">
        <v>352016</v>
      </c>
      <c r="B1288" t="str">
        <f t="shared" si="40"/>
        <v>HAWA 053.3389.073 Frontino 20 H OS FS typ S3 1600-1799 mm</v>
      </c>
      <c r="C1288" s="185" t="e">
        <f t="shared" si="41"/>
        <v>#N/A</v>
      </c>
      <c r="D1288" s="407" t="s">
        <v>7147</v>
      </c>
      <c r="E1288" s="407" t="s">
        <v>7148</v>
      </c>
      <c r="F1288" s="407" t="s">
        <v>7147</v>
      </c>
      <c r="G1288" s="407" t="s">
        <v>7149</v>
      </c>
      <c r="H1288" s="460" t="e">
        <v>#N/A</v>
      </c>
      <c r="I1288" s="460" t="e">
        <v>#N/A</v>
      </c>
      <c r="J1288" s="460" t="e">
        <v>#N/A</v>
      </c>
      <c r="K1288" s="460" t="e">
        <v>#N/A</v>
      </c>
      <c r="L1288" s="459" t="e">
        <v>#N/A</v>
      </c>
      <c r="O1288">
        <v>990.77959999999996</v>
      </c>
      <c r="P1288" t="s">
        <v>9721</v>
      </c>
    </row>
    <row r="1289" spans="1:16" ht="14.4" x14ac:dyDescent="0.3">
      <c r="A1289">
        <v>352017</v>
      </c>
      <c r="B1289" t="str">
        <f t="shared" si="40"/>
        <v>HAWA 053.3389.074 Frontino 20 H OS FS typ S4 1800-1999 mm</v>
      </c>
      <c r="C1289" s="185" t="e">
        <f t="shared" si="41"/>
        <v>#N/A</v>
      </c>
      <c r="D1289" s="407" t="s">
        <v>7150</v>
      </c>
      <c r="E1289" s="407" t="s">
        <v>7151</v>
      </c>
      <c r="F1289" s="407" t="s">
        <v>7150</v>
      </c>
      <c r="G1289" s="407" t="s">
        <v>7152</v>
      </c>
      <c r="H1289" s="460" t="e">
        <v>#N/A</v>
      </c>
      <c r="I1289" s="460" t="e">
        <v>#N/A</v>
      </c>
      <c r="J1289" s="460" t="e">
        <v>#N/A</v>
      </c>
      <c r="K1289" s="460" t="e">
        <v>#N/A</v>
      </c>
      <c r="L1289" s="459" t="e">
        <v>#N/A</v>
      </c>
      <c r="O1289">
        <v>1039.4320700000001</v>
      </c>
      <c r="P1289" t="s">
        <v>9722</v>
      </c>
    </row>
    <row r="1290" spans="1:16" ht="14.4" x14ac:dyDescent="0.3">
      <c r="A1290">
        <v>352018</v>
      </c>
      <c r="B1290" t="str">
        <f t="shared" si="40"/>
        <v>HAWA 053.3389.075 Frontino 20 H OS FS typ S5 2000-2199 mm</v>
      </c>
      <c r="C1290" s="185" t="e">
        <f t="shared" si="41"/>
        <v>#N/A</v>
      </c>
      <c r="D1290" s="407" t="s">
        <v>7153</v>
      </c>
      <c r="E1290" s="407" t="s">
        <v>7154</v>
      </c>
      <c r="F1290" s="407" t="s">
        <v>7153</v>
      </c>
      <c r="G1290" s="407" t="s">
        <v>7155</v>
      </c>
      <c r="H1290" s="460" t="e">
        <v>#N/A</v>
      </c>
      <c r="I1290" s="460" t="e">
        <v>#N/A</v>
      </c>
      <c r="J1290" s="460" t="e">
        <v>#N/A</v>
      </c>
      <c r="K1290" s="460" t="e">
        <v>#N/A</v>
      </c>
      <c r="L1290" s="459" t="e">
        <v>#N/A</v>
      </c>
      <c r="O1290">
        <v>1055.7441100000001</v>
      </c>
      <c r="P1290" t="s">
        <v>9723</v>
      </c>
    </row>
    <row r="1291" spans="1:16" ht="14.4" x14ac:dyDescent="0.3">
      <c r="A1291">
        <v>352019</v>
      </c>
      <c r="B1291" t="str">
        <f t="shared" si="40"/>
        <v>HAWA 053.3389.076 Frontino 20 H OS FS typ S6 2200-2400 mm</v>
      </c>
      <c r="C1291" s="185" t="e">
        <f t="shared" si="41"/>
        <v>#N/A</v>
      </c>
      <c r="D1291" s="407" t="s">
        <v>7156</v>
      </c>
      <c r="E1291" s="407" t="s">
        <v>7157</v>
      </c>
      <c r="F1291" s="407" t="s">
        <v>7156</v>
      </c>
      <c r="G1291" s="407" t="s">
        <v>7158</v>
      </c>
      <c r="H1291" s="460" t="e">
        <v>#N/A</v>
      </c>
      <c r="I1291" s="460" t="e">
        <v>#N/A</v>
      </c>
      <c r="J1291" s="460" t="e">
        <v>#N/A</v>
      </c>
      <c r="K1291" s="460" t="e">
        <v>#N/A</v>
      </c>
      <c r="L1291" s="459" t="e">
        <v>#N/A</v>
      </c>
      <c r="O1291">
        <v>1071.9143200000001</v>
      </c>
      <c r="P1291" t="s">
        <v>9724</v>
      </c>
    </row>
    <row r="1292" spans="1:16" ht="14.4" x14ac:dyDescent="0.3">
      <c r="A1292">
        <v>352021</v>
      </c>
      <c r="B1292" t="str">
        <f t="shared" si="40"/>
        <v>HAWA 053.3390.071 Frontino 20 H FS typ S1 1200-1399 mm</v>
      </c>
      <c r="C1292" s="185" t="e">
        <f t="shared" si="41"/>
        <v>#N/A</v>
      </c>
      <c r="D1292" s="407" t="s">
        <v>7159</v>
      </c>
      <c r="E1292" s="407" t="s">
        <v>7160</v>
      </c>
      <c r="F1292" s="407" t="s">
        <v>7159</v>
      </c>
      <c r="G1292" s="407" t="s">
        <v>7161</v>
      </c>
      <c r="H1292" s="460" t="e">
        <v>#N/A</v>
      </c>
      <c r="I1292" s="460" t="e">
        <v>#N/A</v>
      </c>
      <c r="J1292" s="460" t="e">
        <v>#N/A</v>
      </c>
      <c r="K1292" s="460" t="e">
        <v>#N/A</v>
      </c>
      <c r="L1292" s="459" t="e">
        <v>#N/A</v>
      </c>
      <c r="O1292">
        <v>958.01368000000002</v>
      </c>
      <c r="P1292" t="s">
        <v>9725</v>
      </c>
    </row>
    <row r="1293" spans="1:16" ht="14.4" x14ac:dyDescent="0.3">
      <c r="A1293">
        <v>352022</v>
      </c>
      <c r="B1293" t="str">
        <f t="shared" si="40"/>
        <v>HAWA 053.3390.072 Frontino 20 H FS typ S2 1400-1599 mm</v>
      </c>
      <c r="C1293" s="185" t="e">
        <f t="shared" si="41"/>
        <v>#N/A</v>
      </c>
      <c r="D1293" s="407" t="s">
        <v>7162</v>
      </c>
      <c r="E1293" s="407" t="s">
        <v>7163</v>
      </c>
      <c r="F1293" s="407" t="s">
        <v>7162</v>
      </c>
      <c r="G1293" s="407" t="s">
        <v>7164</v>
      </c>
      <c r="H1293" s="460" t="e">
        <v>#N/A</v>
      </c>
      <c r="I1293" s="460" t="e">
        <v>#N/A</v>
      </c>
      <c r="J1293" s="460" t="e">
        <v>#N/A</v>
      </c>
      <c r="K1293" s="460" t="e">
        <v>#N/A</v>
      </c>
      <c r="L1293" s="459" t="e">
        <v>#N/A</v>
      </c>
      <c r="O1293">
        <v>974.46756000000005</v>
      </c>
      <c r="P1293" t="s">
        <v>9726</v>
      </c>
    </row>
    <row r="1294" spans="1:16" ht="14.4" x14ac:dyDescent="0.3">
      <c r="A1294">
        <v>352025</v>
      </c>
      <c r="B1294" t="str">
        <f t="shared" si="40"/>
        <v>HAWA 053.3390.075 Frontino 20 H FS typ S5 2000-2199 mm</v>
      </c>
      <c r="C1294" s="185" t="e">
        <f t="shared" si="41"/>
        <v>#N/A</v>
      </c>
      <c r="D1294" s="407" t="s">
        <v>7165</v>
      </c>
      <c r="E1294" s="407" t="s">
        <v>7166</v>
      </c>
      <c r="F1294" s="407" t="s">
        <v>7165</v>
      </c>
      <c r="G1294" s="407" t="s">
        <v>7167</v>
      </c>
      <c r="H1294" s="460" t="e">
        <v>#N/A</v>
      </c>
      <c r="I1294" s="460" t="e">
        <v>#N/A</v>
      </c>
      <c r="J1294" s="460" t="e">
        <v>#N/A</v>
      </c>
      <c r="K1294" s="460" t="e">
        <v>#N/A</v>
      </c>
      <c r="L1294" s="459" t="e">
        <v>#N/A</v>
      </c>
      <c r="O1294">
        <v>1055.7441100000001</v>
      </c>
      <c r="P1294" t="s">
        <v>9727</v>
      </c>
    </row>
    <row r="1295" spans="1:16" ht="14.4" x14ac:dyDescent="0.3">
      <c r="A1295">
        <v>352026</v>
      </c>
      <c r="B1295" t="str">
        <f t="shared" si="40"/>
        <v>HAWA 053.3390.076 Frontino 20 H FS typ S6 2200-2400 mm</v>
      </c>
      <c r="C1295" s="185" t="e">
        <f t="shared" si="41"/>
        <v>#N/A</v>
      </c>
      <c r="D1295" s="407" t="s">
        <v>7168</v>
      </c>
      <c r="E1295" s="407" t="s">
        <v>7169</v>
      </c>
      <c r="F1295" s="407" t="s">
        <v>7168</v>
      </c>
      <c r="G1295" s="407" t="s">
        <v>7170</v>
      </c>
      <c r="H1295" s="460" t="e">
        <v>#N/A</v>
      </c>
      <c r="I1295" s="460" t="e">
        <v>#N/A</v>
      </c>
      <c r="J1295" s="460" t="e">
        <v>#N/A</v>
      </c>
      <c r="K1295" s="460" t="e">
        <v>#N/A</v>
      </c>
      <c r="L1295" s="459" t="e">
        <v>#N/A</v>
      </c>
      <c r="O1295">
        <v>1071.9143200000001</v>
      </c>
      <c r="P1295" t="s">
        <v>9728</v>
      </c>
    </row>
    <row r="1296" spans="1:16" ht="14.4" x14ac:dyDescent="0.3">
      <c r="A1296">
        <v>352029</v>
      </c>
      <c r="B1296" t="str">
        <f t="shared" si="40"/>
        <v>HAWA 053.3320.071 Frontino 40 H FS typ S 1200-1799 mm komplet okuć</v>
      </c>
      <c r="C1296" s="185" t="e">
        <f t="shared" si="41"/>
        <v>#N/A</v>
      </c>
      <c r="D1296" s="407" t="s">
        <v>7171</v>
      </c>
      <c r="E1296" s="407" t="s">
        <v>7172</v>
      </c>
      <c r="F1296" s="407" t="s">
        <v>7173</v>
      </c>
      <c r="G1296" s="407" t="s">
        <v>7174</v>
      </c>
      <c r="H1296" s="460" t="e">
        <v>#N/A</v>
      </c>
      <c r="I1296" s="460" t="e">
        <v>#N/A</v>
      </c>
      <c r="J1296" s="460" t="e">
        <v>#N/A</v>
      </c>
      <c r="K1296" s="460" t="e">
        <v>#N/A</v>
      </c>
      <c r="L1296" s="459" t="e">
        <v>#N/A</v>
      </c>
      <c r="O1296">
        <v>866.38251000000002</v>
      </c>
      <c r="P1296" t="s">
        <v>9729</v>
      </c>
    </row>
    <row r="1297" spans="1:16" ht="14.4" x14ac:dyDescent="0.3">
      <c r="A1297">
        <v>352030</v>
      </c>
      <c r="B1297" t="str">
        <f t="shared" si="40"/>
        <v>HAWA 053.3320.072 Frontino 40 H FS typ M 1800-2199 mm komplet okuć</v>
      </c>
      <c r="C1297" s="185">
        <f t="shared" si="41"/>
        <v>3675.9360099999999</v>
      </c>
      <c r="D1297" s="407" t="s">
        <v>7175</v>
      </c>
      <c r="E1297" s="407" t="s">
        <v>7176</v>
      </c>
      <c r="F1297" s="407" t="s">
        <v>7177</v>
      </c>
      <c r="G1297" s="407" t="s">
        <v>7178</v>
      </c>
      <c r="H1297" s="460">
        <v>25100.390609999999</v>
      </c>
      <c r="I1297" s="460">
        <v>927.69992000000002</v>
      </c>
      <c r="J1297" s="460">
        <v>3675.9360099999999</v>
      </c>
      <c r="K1297" s="460" t="e">
        <v>#N/A</v>
      </c>
      <c r="L1297" s="459" t="s">
        <v>539</v>
      </c>
      <c r="O1297">
        <v>880.42503999999997</v>
      </c>
      <c r="P1297" t="s">
        <v>9730</v>
      </c>
    </row>
    <row r="1298" spans="1:16" ht="14.4" x14ac:dyDescent="0.3">
      <c r="A1298">
        <v>352031</v>
      </c>
      <c r="B1298" t="str">
        <f t="shared" si="40"/>
        <v>HAWA 053.3320.073 Frontino 40 H FS typ L 2200-2400 mm komplet okuć</v>
      </c>
      <c r="C1298" s="185" t="e">
        <f t="shared" si="41"/>
        <v>#N/A</v>
      </c>
      <c r="D1298" s="407" t="s">
        <v>7179</v>
      </c>
      <c r="E1298" s="407" t="s">
        <v>7180</v>
      </c>
      <c r="F1298" s="407" t="s">
        <v>7181</v>
      </c>
      <c r="G1298" s="407" t="s">
        <v>7182</v>
      </c>
      <c r="H1298" s="460" t="e">
        <v>#N/A</v>
      </c>
      <c r="I1298" s="460" t="e">
        <v>#N/A</v>
      </c>
      <c r="J1298" s="460" t="e">
        <v>#N/A</v>
      </c>
      <c r="K1298" s="460" t="e">
        <v>#N/A</v>
      </c>
      <c r="L1298" s="459" t="e">
        <v>#N/A</v>
      </c>
      <c r="O1298">
        <v>850.25437999999997</v>
      </c>
      <c r="P1298" t="s">
        <v>9731</v>
      </c>
    </row>
    <row r="1299" spans="1:16" ht="14.4" x14ac:dyDescent="0.3">
      <c r="A1299">
        <v>352032</v>
      </c>
      <c r="B1299" t="str">
        <f t="shared" si="40"/>
        <v>HAWA 053.3321.180 Frontino 40 Typ S 1200-1799 mm komplet torów</v>
      </c>
      <c r="C1299" s="185" t="e">
        <f t="shared" si="41"/>
        <v>#N/A</v>
      </c>
      <c r="D1299" s="407" t="s">
        <v>7183</v>
      </c>
      <c r="E1299" s="407" t="s">
        <v>7184</v>
      </c>
      <c r="F1299" s="407" t="s">
        <v>7185</v>
      </c>
      <c r="G1299" s="407" t="s">
        <v>7186</v>
      </c>
      <c r="H1299" s="460" t="e">
        <v>#N/A</v>
      </c>
      <c r="I1299" s="460" t="e">
        <v>#N/A</v>
      </c>
      <c r="J1299" s="460" t="e">
        <v>#N/A</v>
      </c>
      <c r="K1299" s="460" t="e">
        <v>#N/A</v>
      </c>
      <c r="L1299" s="459" t="e">
        <v>#N/A</v>
      </c>
      <c r="O1299">
        <v>278.96863999999999</v>
      </c>
      <c r="P1299" t="s">
        <v>9732</v>
      </c>
    </row>
    <row r="1300" spans="1:16" ht="14.4" x14ac:dyDescent="0.3">
      <c r="A1300">
        <v>352033</v>
      </c>
      <c r="B1300" t="str">
        <f t="shared" si="40"/>
        <v>HAWA 053.3321.220 Frontino 40 Typ M 1800-2199 mm komplet torów</v>
      </c>
      <c r="C1300" s="185">
        <f t="shared" si="41"/>
        <v>1399.8100099999999</v>
      </c>
      <c r="D1300" s="407" t="s">
        <v>7187</v>
      </c>
      <c r="E1300" s="407" t="s">
        <v>7188</v>
      </c>
      <c r="F1300" s="407" t="s">
        <v>7189</v>
      </c>
      <c r="G1300" s="407" t="s">
        <v>7190</v>
      </c>
      <c r="H1300" s="460">
        <v>9560.1593499999999</v>
      </c>
      <c r="I1300" s="460">
        <v>353.33947999999998</v>
      </c>
      <c r="J1300" s="460">
        <v>1399.8100099999999</v>
      </c>
      <c r="K1300" s="460" t="e">
        <v>#N/A</v>
      </c>
      <c r="L1300" s="459" t="s">
        <v>539</v>
      </c>
      <c r="O1300">
        <v>335.31896999999998</v>
      </c>
      <c r="P1300" t="s">
        <v>9733</v>
      </c>
    </row>
    <row r="1301" spans="1:16" ht="14.4" x14ac:dyDescent="0.3">
      <c r="A1301">
        <v>352034</v>
      </c>
      <c r="B1301" t="str">
        <f t="shared" si="40"/>
        <v>HAWA 053.3321.240 Frontino 40 Typ L 2200-2400 mm komplet torów</v>
      </c>
      <c r="C1301" s="185" t="e">
        <f t="shared" si="41"/>
        <v>#N/A</v>
      </c>
      <c r="D1301" s="407" t="s">
        <v>7191</v>
      </c>
      <c r="E1301" s="407" t="s">
        <v>7192</v>
      </c>
      <c r="F1301" s="407" t="s">
        <v>7193</v>
      </c>
      <c r="G1301" s="407" t="s">
        <v>7194</v>
      </c>
      <c r="H1301" s="460" t="e">
        <v>#N/A</v>
      </c>
      <c r="I1301" s="460" t="e">
        <v>#N/A</v>
      </c>
      <c r="J1301" s="460" t="e">
        <v>#N/A</v>
      </c>
      <c r="K1301" s="460" t="e">
        <v>#N/A</v>
      </c>
      <c r="L1301" s="459" t="e">
        <v>#N/A</v>
      </c>
      <c r="O1301">
        <v>332.22752000000003</v>
      </c>
      <c r="P1301" t="s">
        <v>9734</v>
      </c>
    </row>
    <row r="1302" spans="1:16" ht="14.4" x14ac:dyDescent="0.3">
      <c r="A1302">
        <v>227762</v>
      </c>
      <c r="B1302" t="str">
        <f t="shared" si="40"/>
        <v>IC-Dolna listwa maskująca  10mm 3m srebrna</v>
      </c>
      <c r="C1302" s="185" t="e">
        <f t="shared" si="41"/>
        <v>#N/A</v>
      </c>
      <c r="D1302" s="407" t="s">
        <v>7195</v>
      </c>
      <c r="E1302" s="407" t="s">
        <v>7196</v>
      </c>
      <c r="F1302" s="407" t="s">
        <v>7197</v>
      </c>
      <c r="G1302" s="407" t="s">
        <v>7198</v>
      </c>
      <c r="H1302" s="460" t="e">
        <v>#N/A</v>
      </c>
      <c r="I1302" s="460" t="e">
        <v>#N/A</v>
      </c>
      <c r="J1302" s="460" t="e">
        <v>#N/A</v>
      </c>
      <c r="K1302" s="460" t="e">
        <v>#N/A</v>
      </c>
      <c r="L1302" s="459" t="e">
        <v>#N/A</v>
      </c>
      <c r="O1302">
        <v>0</v>
      </c>
      <c r="P1302" t="s">
        <v>9735</v>
      </c>
    </row>
    <row r="1303" spans="1:16" ht="14.4" x14ac:dyDescent="0.3">
      <c r="A1303">
        <v>227765</v>
      </c>
      <c r="B1303" t="str">
        <f t="shared" si="40"/>
        <v>IC-profil łączący H 10mm 3m srebrny</v>
      </c>
      <c r="C1303" s="185" t="e">
        <f t="shared" si="41"/>
        <v>#N/A</v>
      </c>
      <c r="D1303" s="407" t="s">
        <v>7199</v>
      </c>
      <c r="E1303" s="407" t="s">
        <v>7200</v>
      </c>
      <c r="F1303" s="407" t="s">
        <v>7201</v>
      </c>
      <c r="G1303" s="407" t="s">
        <v>7202</v>
      </c>
      <c r="H1303" s="460" t="e">
        <v>#N/A</v>
      </c>
      <c r="I1303" s="460" t="e">
        <v>#N/A</v>
      </c>
      <c r="J1303" s="460" t="e">
        <v>#N/A</v>
      </c>
      <c r="K1303" s="460" t="e">
        <v>#N/A</v>
      </c>
      <c r="L1303" s="459" t="e">
        <v>#N/A</v>
      </c>
      <c r="O1303">
        <v>0</v>
      </c>
      <c r="P1303" t="s">
        <v>9736</v>
      </c>
    </row>
    <row r="1304" spans="1:16" ht="14.4" x14ac:dyDescent="0.3">
      <c r="A1304">
        <v>227803</v>
      </c>
      <c r="B1304" t="str">
        <f t="shared" si="40"/>
        <v>IC-úchwyt Harmony 10 mm 2,7 m szampan</v>
      </c>
      <c r="C1304" s="185" t="e">
        <f t="shared" si="41"/>
        <v>#N/A</v>
      </c>
      <c r="D1304" s="407" t="s">
        <v>7203</v>
      </c>
      <c r="E1304" s="407" t="s">
        <v>7204</v>
      </c>
      <c r="F1304" s="407" t="s">
        <v>7203</v>
      </c>
      <c r="G1304" s="407" t="s">
        <v>7205</v>
      </c>
      <c r="H1304" s="460" t="e">
        <v>#N/A</v>
      </c>
      <c r="I1304" s="460" t="e">
        <v>#N/A</v>
      </c>
      <c r="J1304" s="460" t="e">
        <v>#N/A</v>
      </c>
      <c r="K1304" s="460" t="e">
        <v>#N/A</v>
      </c>
      <c r="L1304" s="459" t="e">
        <v>#N/A</v>
      </c>
      <c r="O1304">
        <v>0</v>
      </c>
      <c r="P1304" t="s">
        <v>9737</v>
      </c>
    </row>
    <row r="1305" spans="1:16" ht="14.4" x14ac:dyDescent="0.3">
      <c r="A1305">
        <v>227804</v>
      </c>
      <c r="B1305" t="str">
        <f t="shared" si="40"/>
        <v>IC-Górna listwa torowa 10mm 2m szampan</v>
      </c>
      <c r="C1305" s="185" t="e">
        <f t="shared" si="41"/>
        <v>#N/A</v>
      </c>
      <c r="D1305" s="407" t="s">
        <v>7206</v>
      </c>
      <c r="E1305" s="407" t="s">
        <v>7207</v>
      </c>
      <c r="F1305" s="407" t="s">
        <v>7208</v>
      </c>
      <c r="G1305" s="407" t="s">
        <v>7209</v>
      </c>
      <c r="H1305" s="460" t="e">
        <v>#N/A</v>
      </c>
      <c r="I1305" s="460" t="e">
        <v>#N/A</v>
      </c>
      <c r="J1305" s="460" t="e">
        <v>#N/A</v>
      </c>
      <c r="K1305" s="460" t="e">
        <v>#N/A</v>
      </c>
      <c r="L1305" s="459" t="e">
        <v>#N/A</v>
      </c>
      <c r="O1305">
        <v>0</v>
      </c>
      <c r="P1305" t="s">
        <v>9738</v>
      </c>
    </row>
    <row r="1306" spans="1:16" ht="14.4" x14ac:dyDescent="0.3">
      <c r="A1306">
        <v>227805</v>
      </c>
      <c r="B1306" t="str">
        <f t="shared" si="40"/>
        <v>IC-Górna listwa torowa 10mm 3m szampan</v>
      </c>
      <c r="C1306" s="185" t="e">
        <f t="shared" si="41"/>
        <v>#N/A</v>
      </c>
      <c r="D1306" s="407" t="s">
        <v>7210</v>
      </c>
      <c r="E1306" s="407" t="s">
        <v>7211</v>
      </c>
      <c r="F1306" s="407" t="s">
        <v>7212</v>
      </c>
      <c r="G1306" s="407" t="s">
        <v>7213</v>
      </c>
      <c r="H1306" s="460" t="e">
        <v>#N/A</v>
      </c>
      <c r="I1306" s="460" t="e">
        <v>#N/A</v>
      </c>
      <c r="J1306" s="460" t="e">
        <v>#N/A</v>
      </c>
      <c r="K1306" s="460" t="e">
        <v>#N/A</v>
      </c>
      <c r="L1306" s="459" t="e">
        <v>#N/A</v>
      </c>
      <c r="O1306">
        <v>0</v>
      </c>
      <c r="P1306" t="s">
        <v>9739</v>
      </c>
    </row>
    <row r="1307" spans="1:16" ht="14.4" x14ac:dyDescent="0.3">
      <c r="A1307">
        <v>227806</v>
      </c>
      <c r="B1307" t="str">
        <f t="shared" si="40"/>
        <v>IC-Górna listwa torowa 10mm 5m szampan</v>
      </c>
      <c r="C1307" s="185" t="e">
        <f t="shared" si="41"/>
        <v>#N/A</v>
      </c>
      <c r="D1307" s="407" t="s">
        <v>7214</v>
      </c>
      <c r="E1307" s="407" t="s">
        <v>7215</v>
      </c>
      <c r="F1307" s="407" t="s">
        <v>7216</v>
      </c>
      <c r="G1307" s="407" t="s">
        <v>7217</v>
      </c>
      <c r="H1307" s="460" t="e">
        <v>#N/A</v>
      </c>
      <c r="I1307" s="460" t="e">
        <v>#N/A</v>
      </c>
      <c r="J1307" s="460" t="e">
        <v>#N/A</v>
      </c>
      <c r="K1307" s="460" t="e">
        <v>#N/A</v>
      </c>
      <c r="L1307" s="459" t="e">
        <v>#N/A</v>
      </c>
      <c r="O1307">
        <v>0</v>
      </c>
      <c r="P1307" t="s">
        <v>9740</v>
      </c>
    </row>
    <row r="1308" spans="1:16" ht="14.4" x14ac:dyDescent="0.3">
      <c r="A1308">
        <v>227807</v>
      </c>
      <c r="B1308" t="str">
        <f t="shared" si="40"/>
        <v>IC-Dolna listwa maskująca 10 mm 2 m szampan</v>
      </c>
      <c r="C1308" s="185" t="e">
        <f t="shared" si="41"/>
        <v>#N/A</v>
      </c>
      <c r="D1308" s="407" t="s">
        <v>7218</v>
      </c>
      <c r="E1308" s="407" t="s">
        <v>7219</v>
      </c>
      <c r="F1308" s="407" t="s">
        <v>7220</v>
      </c>
      <c r="G1308" s="407" t="s">
        <v>7221</v>
      </c>
      <c r="H1308" s="460" t="e">
        <v>#N/A</v>
      </c>
      <c r="I1308" s="460" t="e">
        <v>#N/A</v>
      </c>
      <c r="J1308" s="460" t="e">
        <v>#N/A</v>
      </c>
      <c r="K1308" s="460" t="e">
        <v>#N/A</v>
      </c>
      <c r="L1308" s="459" t="e">
        <v>#N/A</v>
      </c>
      <c r="O1308">
        <v>0</v>
      </c>
      <c r="P1308" t="s">
        <v>9741</v>
      </c>
    </row>
    <row r="1309" spans="1:16" ht="14.4" x14ac:dyDescent="0.3">
      <c r="A1309">
        <v>227808</v>
      </c>
      <c r="B1309" t="str">
        <f t="shared" si="40"/>
        <v>IC-Dolna listwa maskująca 10 mm 3 m szampan</v>
      </c>
      <c r="C1309" s="185" t="e">
        <f t="shared" si="41"/>
        <v>#N/A</v>
      </c>
      <c r="D1309" s="407" t="s">
        <v>7222</v>
      </c>
      <c r="E1309" s="407" t="s">
        <v>7223</v>
      </c>
      <c r="F1309" s="407" t="s">
        <v>7224</v>
      </c>
      <c r="G1309" s="407" t="s">
        <v>7225</v>
      </c>
      <c r="H1309" s="460" t="e">
        <v>#N/A</v>
      </c>
      <c r="I1309" s="460" t="e">
        <v>#N/A</v>
      </c>
      <c r="J1309" s="460" t="e">
        <v>#N/A</v>
      </c>
      <c r="K1309" s="460" t="e">
        <v>#N/A</v>
      </c>
      <c r="L1309" s="459" t="e">
        <v>#N/A</v>
      </c>
      <c r="O1309">
        <v>0</v>
      </c>
      <c r="P1309" t="s">
        <v>9742</v>
      </c>
    </row>
    <row r="1310" spans="1:16" ht="14.4" x14ac:dyDescent="0.3">
      <c r="A1310">
        <v>227809</v>
      </c>
      <c r="B1310" t="str">
        <f t="shared" si="40"/>
        <v>IC-Dolna listwa maskująca 10 mm 5 m szampan</v>
      </c>
      <c r="C1310" s="185" t="e">
        <f t="shared" si="41"/>
        <v>#N/A</v>
      </c>
      <c r="D1310" s="407" t="s">
        <v>7226</v>
      </c>
      <c r="E1310" s="407" t="s">
        <v>7227</v>
      </c>
      <c r="F1310" s="407" t="s">
        <v>7228</v>
      </c>
      <c r="G1310" s="407" t="s">
        <v>7229</v>
      </c>
      <c r="H1310" s="460" t="e">
        <v>#N/A</v>
      </c>
      <c r="I1310" s="460" t="e">
        <v>#N/A</v>
      </c>
      <c r="J1310" s="460" t="e">
        <v>#N/A</v>
      </c>
      <c r="K1310" s="460" t="e">
        <v>#N/A</v>
      </c>
      <c r="L1310" s="459" t="e">
        <v>#N/A</v>
      </c>
      <c r="O1310">
        <v>0</v>
      </c>
      <c r="P1310" t="s">
        <v>9743</v>
      </c>
    </row>
    <row r="1311" spans="1:16" ht="14.4" x14ac:dyDescent="0.3">
      <c r="A1311">
        <v>227811</v>
      </c>
      <c r="B1311" t="str">
        <f t="shared" si="40"/>
        <v>IC-profil łączący H 10mm 3m szampan</v>
      </c>
      <c r="C1311" s="185" t="e">
        <f t="shared" si="41"/>
        <v>#N/A</v>
      </c>
      <c r="D1311" s="407" t="s">
        <v>7230</v>
      </c>
      <c r="E1311" s="407" t="s">
        <v>7231</v>
      </c>
      <c r="F1311" s="407" t="s">
        <v>7230</v>
      </c>
      <c r="G1311" s="407" t="s">
        <v>7232</v>
      </c>
      <c r="H1311" s="460" t="e">
        <v>#N/A</v>
      </c>
      <c r="I1311" s="460" t="e">
        <v>#N/A</v>
      </c>
      <c r="J1311" s="460" t="e">
        <v>#N/A</v>
      </c>
      <c r="K1311" s="460" t="e">
        <v>#N/A</v>
      </c>
      <c r="L1311" s="459" t="e">
        <v>#N/A</v>
      </c>
      <c r="O1311">
        <v>0</v>
      </c>
      <c r="P1311" t="s">
        <v>9744</v>
      </c>
    </row>
    <row r="1312" spans="1:16" ht="14.4" x14ac:dyDescent="0.3">
      <c r="A1312">
        <v>227812</v>
      </c>
      <c r="B1312" t="str">
        <f t="shared" si="40"/>
        <v>IC-profil łączący H 10mm 5m szampan</v>
      </c>
      <c r="C1312" s="185" t="e">
        <f t="shared" si="41"/>
        <v>#N/A</v>
      </c>
      <c r="D1312" s="407" t="s">
        <v>7233</v>
      </c>
      <c r="E1312" s="407" t="s">
        <v>7234</v>
      </c>
      <c r="F1312" s="407" t="s">
        <v>7233</v>
      </c>
      <c r="G1312" s="407" t="s">
        <v>7235</v>
      </c>
      <c r="H1312" s="460" t="e">
        <v>#N/A</v>
      </c>
      <c r="I1312" s="460" t="e">
        <v>#N/A</v>
      </c>
      <c r="J1312" s="460" t="e">
        <v>#N/A</v>
      </c>
      <c r="K1312" s="460" t="e">
        <v>#N/A</v>
      </c>
      <c r="L1312" s="459" t="e">
        <v>#N/A</v>
      </c>
      <c r="O1312">
        <v>0</v>
      </c>
      <c r="P1312" t="s">
        <v>9745</v>
      </c>
    </row>
    <row r="1313" spans="1:16" ht="14.4" x14ac:dyDescent="0.3">
      <c r="A1313">
        <v>228555</v>
      </c>
      <c r="B1313" t="e">
        <f t="shared" si="40"/>
        <v>#N/A</v>
      </c>
      <c r="C1313" s="185" t="e">
        <f t="shared" si="41"/>
        <v>#N/A</v>
      </c>
      <c r="D1313" s="407" t="e">
        <v>#N/A</v>
      </c>
      <c r="E1313" s="407" t="e">
        <v>#N/A</v>
      </c>
      <c r="F1313" s="407" t="e">
        <v>#N/A</v>
      </c>
      <c r="G1313" s="407" t="e">
        <v>#N/A</v>
      </c>
      <c r="H1313" s="460" t="e">
        <v>#N/A</v>
      </c>
      <c r="I1313" s="460" t="e">
        <v>#N/A</v>
      </c>
      <c r="J1313" s="460" t="e">
        <v>#N/A</v>
      </c>
      <c r="K1313" s="460" t="e">
        <v>#N/A</v>
      </c>
      <c r="L1313" s="459" t="e">
        <v>#N/A</v>
      </c>
      <c r="O1313" t="e">
        <v>#N/A</v>
      </c>
      <c r="P1313" t="e">
        <v>#N/A</v>
      </c>
    </row>
    <row r="1314" spans="1:16" ht="14.4" x14ac:dyDescent="0.3">
      <c r="A1314">
        <v>304699</v>
      </c>
      <c r="B1314" t="str">
        <f t="shared" si="40"/>
        <v>S-tłumienie obustronne Slidix Centro T40 S55/S60/S65</v>
      </c>
      <c r="C1314" s="185" t="e">
        <f t="shared" si="41"/>
        <v>#N/A</v>
      </c>
      <c r="D1314" s="407" t="s">
        <v>7236</v>
      </c>
      <c r="E1314" s="407" t="s">
        <v>7237</v>
      </c>
      <c r="F1314" s="407" t="s">
        <v>7238</v>
      </c>
      <c r="G1314" s="407" t="s">
        <v>7239</v>
      </c>
      <c r="H1314" s="460" t="e">
        <v>#N/A</v>
      </c>
      <c r="I1314" s="460" t="e">
        <v>#N/A</v>
      </c>
      <c r="J1314" s="460" t="e">
        <v>#N/A</v>
      </c>
      <c r="K1314" s="460" t="e">
        <v>#N/A</v>
      </c>
      <c r="L1314" s="459" t="e">
        <v>#N/A</v>
      </c>
      <c r="O1314">
        <v>61.015500000000003</v>
      </c>
      <c r="P1314" t="s">
        <v>9746</v>
      </c>
    </row>
    <row r="1315" spans="1:16" ht="14.4" x14ac:dyDescent="0.3">
      <c r="A1315">
        <v>304747</v>
      </c>
      <c r="B1315" t="str">
        <f t="shared" si="40"/>
        <v>S-profil S11 jasny brąz 2,7m</v>
      </c>
      <c r="C1315" s="185" t="e">
        <f t="shared" si="41"/>
        <v>#N/A</v>
      </c>
      <c r="D1315" s="407" t="s">
        <v>7240</v>
      </c>
      <c r="E1315" s="407" t="s">
        <v>7241</v>
      </c>
      <c r="F1315" s="407" t="s">
        <v>7242</v>
      </c>
      <c r="G1315" s="407" t="s">
        <v>7243</v>
      </c>
      <c r="H1315" s="460" t="e">
        <v>#N/A</v>
      </c>
      <c r="I1315" s="460" t="e">
        <v>#N/A</v>
      </c>
      <c r="J1315" s="460" t="e">
        <v>#N/A</v>
      </c>
      <c r="K1315" s="460" t="e">
        <v>#N/A</v>
      </c>
      <c r="L1315" s="459" t="e">
        <v>#N/A</v>
      </c>
      <c r="O1315">
        <v>0</v>
      </c>
      <c r="P1315" t="s">
        <v>9747</v>
      </c>
    </row>
    <row r="1316" spans="1:16" ht="14.4" x14ac:dyDescent="0.3">
      <c r="A1316">
        <v>304748</v>
      </c>
      <c r="B1316" t="str">
        <f t="shared" si="40"/>
        <v>S-S05 górny profil prowadzący jasny brąz 3m</v>
      </c>
      <c r="C1316" s="185" t="e">
        <f t="shared" si="41"/>
        <v>#N/A</v>
      </c>
      <c r="D1316" s="407" t="s">
        <v>7244</v>
      </c>
      <c r="E1316" s="407" t="s">
        <v>7245</v>
      </c>
      <c r="F1316" s="407" t="s">
        <v>7246</v>
      </c>
      <c r="G1316" s="407" t="s">
        <v>7247</v>
      </c>
      <c r="H1316" s="460" t="e">
        <v>#N/A</v>
      </c>
      <c r="I1316" s="460" t="e">
        <v>#N/A</v>
      </c>
      <c r="J1316" s="460" t="e">
        <v>#N/A</v>
      </c>
      <c r="K1316" s="460" t="e">
        <v>#N/A</v>
      </c>
      <c r="L1316" s="459" t="e">
        <v>#N/A</v>
      </c>
      <c r="O1316">
        <v>0</v>
      </c>
      <c r="P1316" t="s">
        <v>9748</v>
      </c>
    </row>
    <row r="1317" spans="1:16" ht="14.4" x14ac:dyDescent="0.3">
      <c r="A1317">
        <v>304788</v>
      </c>
      <c r="B1317" t="str">
        <f t="shared" si="40"/>
        <v>S-S06NN dolny profil prowadzący 3m jasny brąz</v>
      </c>
      <c r="C1317" s="185" t="e">
        <f t="shared" si="41"/>
        <v>#N/A</v>
      </c>
      <c r="D1317" s="407" t="s">
        <v>7248</v>
      </c>
      <c r="E1317" s="407" t="s">
        <v>7249</v>
      </c>
      <c r="F1317" s="407" t="s">
        <v>7250</v>
      </c>
      <c r="G1317" s="407" t="s">
        <v>7251</v>
      </c>
      <c r="H1317" s="460" t="e">
        <v>#N/A</v>
      </c>
      <c r="I1317" s="460" t="e">
        <v>#N/A</v>
      </c>
      <c r="J1317" s="460" t="e">
        <v>#N/A</v>
      </c>
      <c r="K1317" s="460" t="e">
        <v>#N/A</v>
      </c>
      <c r="L1317" s="459" t="e">
        <v>#N/A</v>
      </c>
      <c r="O1317">
        <v>0</v>
      </c>
      <c r="P1317" t="s">
        <v>9749</v>
      </c>
    </row>
    <row r="1318" spans="1:16" ht="14.4" x14ac:dyDescent="0.3">
      <c r="A1318">
        <v>304789</v>
      </c>
      <c r="B1318" t="str">
        <f t="shared" si="40"/>
        <v>S-S65 górny a středový profil 3,5m jasny brąz</v>
      </c>
      <c r="C1318" s="185" t="e">
        <f t="shared" si="41"/>
        <v>#N/A</v>
      </c>
      <c r="D1318" s="407" t="s">
        <v>7252</v>
      </c>
      <c r="E1318" s="407" t="s">
        <v>7253</v>
      </c>
      <c r="F1318" s="407" t="s">
        <v>7254</v>
      </c>
      <c r="G1318" s="407" t="s">
        <v>7255</v>
      </c>
      <c r="H1318" s="460" t="e">
        <v>#N/A</v>
      </c>
      <c r="I1318" s="460" t="e">
        <v>#N/A</v>
      </c>
      <c r="J1318" s="460" t="e">
        <v>#N/A</v>
      </c>
      <c r="K1318" s="460" t="e">
        <v>#N/A</v>
      </c>
      <c r="L1318" s="459" t="e">
        <v>#N/A</v>
      </c>
      <c r="O1318">
        <v>0</v>
      </c>
      <c r="P1318" t="s">
        <v>9750</v>
      </c>
    </row>
    <row r="1319" spans="1:16" ht="14.4" x14ac:dyDescent="0.3">
      <c r="A1319">
        <v>304790</v>
      </c>
      <c r="B1319" t="str">
        <f t="shared" si="40"/>
        <v>S-S65 dolny profil 4/18mm 3,5m jasny brąz</v>
      </c>
      <c r="C1319" s="185" t="e">
        <f t="shared" si="41"/>
        <v>#N/A</v>
      </c>
      <c r="D1319" s="407" t="s">
        <v>7256</v>
      </c>
      <c r="E1319" s="407" t="s">
        <v>7257</v>
      </c>
      <c r="F1319" s="407" t="s">
        <v>7258</v>
      </c>
      <c r="G1319" s="407" t="s">
        <v>7259</v>
      </c>
      <c r="H1319" s="460" t="e">
        <v>#N/A</v>
      </c>
      <c r="I1319" s="460" t="e">
        <v>#N/A</v>
      </c>
      <c r="J1319" s="460" t="e">
        <v>#N/A</v>
      </c>
      <c r="K1319" s="460" t="e">
        <v>#N/A</v>
      </c>
      <c r="L1319" s="459" t="e">
        <v>#N/A</v>
      </c>
      <c r="O1319">
        <v>0</v>
      </c>
      <c r="P1319" t="s">
        <v>9751</v>
      </c>
    </row>
    <row r="1320" spans="1:16" ht="14.4" x14ac:dyDescent="0.3">
      <c r="A1320">
        <v>304792</v>
      </c>
      <c r="B1320" t="str">
        <f t="shared" si="40"/>
        <v>S-S06N profl maskujący 3m jasny brąz</v>
      </c>
      <c r="C1320" s="185" t="e">
        <f t="shared" si="41"/>
        <v>#N/A</v>
      </c>
      <c r="D1320" s="407" t="s">
        <v>7260</v>
      </c>
      <c r="E1320" s="407" t="s">
        <v>7261</v>
      </c>
      <c r="F1320" s="407" t="s">
        <v>7262</v>
      </c>
      <c r="G1320" s="407" t="s">
        <v>7263</v>
      </c>
      <c r="H1320" s="460" t="e">
        <v>#N/A</v>
      </c>
      <c r="I1320" s="460" t="e">
        <v>#N/A</v>
      </c>
      <c r="J1320" s="460" t="e">
        <v>#N/A</v>
      </c>
      <c r="K1320" s="460" t="e">
        <v>#N/A</v>
      </c>
      <c r="L1320" s="459" t="e">
        <v>#N/A</v>
      </c>
      <c r="O1320">
        <v>0</v>
      </c>
      <c r="P1320" t="s">
        <v>9752</v>
      </c>
    </row>
    <row r="1321" spans="1:16" ht="14.4" x14ac:dyDescent="0.3">
      <c r="A1321">
        <v>305487</v>
      </c>
      <c r="B1321" t="str">
        <f t="shared" si="40"/>
        <v>S-S45-górny profil prowadzący 3m srebrny</v>
      </c>
      <c r="C1321" s="185" t="e">
        <f t="shared" si="41"/>
        <v>#N/A</v>
      </c>
      <c r="D1321" s="407" t="s">
        <v>7264</v>
      </c>
      <c r="E1321" s="407" t="s">
        <v>7265</v>
      </c>
      <c r="F1321" s="407" t="s">
        <v>7266</v>
      </c>
      <c r="G1321" s="407" t="s">
        <v>7267</v>
      </c>
      <c r="H1321" s="460" t="e">
        <v>#N/A</v>
      </c>
      <c r="I1321" s="460" t="e">
        <v>#N/A</v>
      </c>
      <c r="J1321" s="460" t="e">
        <v>#N/A</v>
      </c>
      <c r="K1321" s="460" t="e">
        <v>#N/A</v>
      </c>
      <c r="L1321" s="459" t="e">
        <v>#N/A</v>
      </c>
      <c r="O1321">
        <v>0</v>
      </c>
      <c r="P1321" t="s">
        <v>9753</v>
      </c>
    </row>
    <row r="1322" spans="1:16" ht="14.4" x14ac:dyDescent="0.3">
      <c r="A1322">
        <v>305491</v>
      </c>
      <c r="B1322" t="str">
        <f t="shared" si="40"/>
        <v>S-profil S30/45 dolny elox 3m</v>
      </c>
      <c r="C1322" s="185" t="e">
        <f t="shared" si="41"/>
        <v>#N/A</v>
      </c>
      <c r="D1322" s="407" t="s">
        <v>7268</v>
      </c>
      <c r="E1322" s="407" t="s">
        <v>7269</v>
      </c>
      <c r="F1322" s="407" t="s">
        <v>7270</v>
      </c>
      <c r="G1322" s="407" t="s">
        <v>7271</v>
      </c>
      <c r="H1322" s="460" t="e">
        <v>#N/A</v>
      </c>
      <c r="I1322" s="460" t="e">
        <v>#N/A</v>
      </c>
      <c r="J1322" s="460" t="e">
        <v>#N/A</v>
      </c>
      <c r="K1322" s="460" t="e">
        <v>#N/A</v>
      </c>
      <c r="L1322" s="459" t="e">
        <v>#N/A</v>
      </c>
      <c r="O1322">
        <v>0</v>
      </c>
      <c r="P1322" t="s">
        <v>9754</v>
      </c>
    </row>
    <row r="1323" spans="1:16" ht="14.4" x14ac:dyDescent="0.3">
      <c r="A1323">
        <v>88671</v>
      </c>
      <c r="B1323" t="str">
        <f t="shared" si="40"/>
        <v>S-S40SD górny tor 2m (dodać 85355)</v>
      </c>
      <c r="C1323" s="185" t="e">
        <f t="shared" si="41"/>
        <v>#N/A</v>
      </c>
      <c r="D1323" s="407" t="s">
        <v>7272</v>
      </c>
      <c r="E1323" s="407" t="s">
        <v>7273</v>
      </c>
      <c r="F1323" s="407" t="s">
        <v>7274</v>
      </c>
      <c r="G1323" s="407" t="s">
        <v>7275</v>
      </c>
      <c r="H1323" s="460" t="e">
        <v>#N/A</v>
      </c>
      <c r="I1323" s="460" t="e">
        <v>#N/A</v>
      </c>
      <c r="J1323" s="460" t="e">
        <v>#N/A</v>
      </c>
      <c r="K1323" s="460" t="e">
        <v>#N/A</v>
      </c>
      <c r="L1323" s="459" t="e">
        <v>#N/A</v>
      </c>
      <c r="O1323">
        <v>0</v>
      </c>
      <c r="P1323" t="s">
        <v>9755</v>
      </c>
    </row>
    <row r="1324" spans="1:16" ht="14.4" x14ac:dyDescent="0.3">
      <c r="A1324">
        <v>88673</v>
      </c>
      <c r="B1324" t="str">
        <f t="shared" si="40"/>
        <v>S-S40SD górny tor 3m (dodać 85355)</v>
      </c>
      <c r="C1324" s="185" t="e">
        <f t="shared" si="41"/>
        <v>#N/A</v>
      </c>
      <c r="D1324" s="407" t="s">
        <v>7276</v>
      </c>
      <c r="E1324" s="407" t="s">
        <v>7277</v>
      </c>
      <c r="F1324" s="407" t="s">
        <v>7278</v>
      </c>
      <c r="G1324" s="407" t="s">
        <v>7279</v>
      </c>
      <c r="H1324" s="460" t="e">
        <v>#N/A</v>
      </c>
      <c r="I1324" s="460" t="e">
        <v>#N/A</v>
      </c>
      <c r="J1324" s="460" t="e">
        <v>#N/A</v>
      </c>
      <c r="K1324" s="460" t="e">
        <v>#N/A</v>
      </c>
      <c r="L1324" s="459" t="e">
        <v>#N/A</v>
      </c>
      <c r="O1324">
        <v>0</v>
      </c>
      <c r="P1324" t="s">
        <v>9756</v>
      </c>
    </row>
    <row r="1325" spans="1:16" ht="14.4" x14ac:dyDescent="0.3">
      <c r="A1325">
        <v>88674</v>
      </c>
      <c r="B1325" t="str">
        <f t="shared" si="40"/>
        <v>S-40SD dolna listwa alu surowa 2m</v>
      </c>
      <c r="C1325" s="185" t="e">
        <f t="shared" si="41"/>
        <v>#N/A</v>
      </c>
      <c r="D1325" s="407" t="s">
        <v>7280</v>
      </c>
      <c r="E1325" s="407" t="s">
        <v>7281</v>
      </c>
      <c r="F1325" s="407" t="s">
        <v>7282</v>
      </c>
      <c r="G1325" s="407" t="s">
        <v>7283</v>
      </c>
      <c r="H1325" s="460" t="e">
        <v>#N/A</v>
      </c>
      <c r="I1325" s="460" t="e">
        <v>#N/A</v>
      </c>
      <c r="J1325" s="460" t="e">
        <v>#N/A</v>
      </c>
      <c r="K1325" s="460" t="e">
        <v>#N/A</v>
      </c>
      <c r="L1325" s="459" t="e">
        <v>#N/A</v>
      </c>
      <c r="O1325">
        <v>0</v>
      </c>
      <c r="P1325" t="s">
        <v>9757</v>
      </c>
    </row>
    <row r="1326" spans="1:16" ht="14.4" x14ac:dyDescent="0.3">
      <c r="A1326">
        <v>88675</v>
      </c>
      <c r="B1326" t="str">
        <f t="shared" si="40"/>
        <v>S-40SD dolna listwa alu surowa 2,5m</v>
      </c>
      <c r="C1326" s="185" t="e">
        <f t="shared" si="41"/>
        <v>#N/A</v>
      </c>
      <c r="D1326" s="407" t="s">
        <v>7284</v>
      </c>
      <c r="E1326" s="407" t="s">
        <v>7285</v>
      </c>
      <c r="F1326" s="407" t="s">
        <v>7286</v>
      </c>
      <c r="G1326" s="407" t="s">
        <v>7287</v>
      </c>
      <c r="H1326" s="460" t="e">
        <v>#N/A</v>
      </c>
      <c r="I1326" s="460" t="e">
        <v>#N/A</v>
      </c>
      <c r="J1326" s="460" t="e">
        <v>#N/A</v>
      </c>
      <c r="K1326" s="460" t="e">
        <v>#N/A</v>
      </c>
      <c r="L1326" s="459" t="e">
        <v>#N/A</v>
      </c>
      <c r="O1326">
        <v>0</v>
      </c>
      <c r="P1326" t="s">
        <v>9758</v>
      </c>
    </row>
    <row r="1327" spans="1:16" ht="14.4" x14ac:dyDescent="0.3">
      <c r="A1327">
        <v>88676</v>
      </c>
      <c r="B1327" t="str">
        <f t="shared" si="40"/>
        <v>S-40SD dolna listwa alu surowa 3m</v>
      </c>
      <c r="C1327" s="185" t="e">
        <f t="shared" si="41"/>
        <v>#N/A</v>
      </c>
      <c r="D1327" s="407" t="s">
        <v>7288</v>
      </c>
      <c r="E1327" s="407" t="s">
        <v>7289</v>
      </c>
      <c r="F1327" s="407" t="s">
        <v>7290</v>
      </c>
      <c r="G1327" s="407" t="s">
        <v>7291</v>
      </c>
      <c r="H1327" s="460" t="e">
        <v>#N/A</v>
      </c>
      <c r="I1327" s="460" t="e">
        <v>#N/A</v>
      </c>
      <c r="J1327" s="460" t="e">
        <v>#N/A</v>
      </c>
      <c r="K1327" s="460" t="e">
        <v>#N/A</v>
      </c>
      <c r="L1327" s="459" t="e">
        <v>#N/A</v>
      </c>
      <c r="O1327">
        <v>0</v>
      </c>
      <c r="P1327" t="s">
        <v>9759</v>
      </c>
    </row>
    <row r="1328" spans="1:16" ht="14.4" x14ac:dyDescent="0.3">
      <c r="A1328">
        <v>88677</v>
      </c>
      <c r="B1328" t="str">
        <f t="shared" si="40"/>
        <v>S-S40SD komplet okuć lewy</v>
      </c>
      <c r="C1328" s="185" t="e">
        <f t="shared" si="41"/>
        <v>#N/A</v>
      </c>
      <c r="D1328" s="407" t="s">
        <v>7292</v>
      </c>
      <c r="E1328" s="407" t="s">
        <v>7293</v>
      </c>
      <c r="F1328" s="407" t="s">
        <v>7294</v>
      </c>
      <c r="G1328" s="407" t="s">
        <v>7295</v>
      </c>
      <c r="H1328" s="460" t="e">
        <v>#N/A</v>
      </c>
      <c r="I1328" s="460" t="e">
        <v>#N/A</v>
      </c>
      <c r="J1328" s="460" t="e">
        <v>#N/A</v>
      </c>
      <c r="K1328" s="460" t="e">
        <v>#N/A</v>
      </c>
      <c r="L1328" s="459" t="e">
        <v>#N/A</v>
      </c>
      <c r="O1328">
        <v>48.078110000000002</v>
      </c>
      <c r="P1328" t="s">
        <v>9760</v>
      </c>
    </row>
    <row r="1329" spans="1:16" ht="14.4" x14ac:dyDescent="0.3">
      <c r="A1329">
        <v>88678</v>
      </c>
      <c r="B1329" t="str">
        <f t="shared" si="40"/>
        <v>S-S40SD komplet okuć prawy</v>
      </c>
      <c r="C1329" s="185" t="e">
        <f t="shared" si="41"/>
        <v>#N/A</v>
      </c>
      <c r="D1329" s="407" t="s">
        <v>7296</v>
      </c>
      <c r="E1329" s="407" t="s">
        <v>7297</v>
      </c>
      <c r="F1329" s="407" t="s">
        <v>7298</v>
      </c>
      <c r="G1329" s="407" t="s">
        <v>7299</v>
      </c>
      <c r="H1329" s="460" t="e">
        <v>#N/A</v>
      </c>
      <c r="I1329" s="460" t="e">
        <v>#N/A</v>
      </c>
      <c r="J1329" s="460" t="e">
        <v>#N/A</v>
      </c>
      <c r="K1329" s="460" t="e">
        <v>#N/A</v>
      </c>
      <c r="L1329" s="459" t="e">
        <v>#N/A</v>
      </c>
      <c r="O1329">
        <v>48.078110000000002</v>
      </c>
      <c r="P1329" t="s">
        <v>9761</v>
      </c>
    </row>
    <row r="1330" spans="1:16" ht="14.4" x14ac:dyDescent="0.3">
      <c r="A1330">
        <v>88679</v>
      </c>
      <c r="B1330" t="str">
        <f t="shared" si="40"/>
        <v>S-40SD dolna listwa alu surowa 5m</v>
      </c>
      <c r="C1330" s="185" t="e">
        <f t="shared" si="41"/>
        <v>#N/A</v>
      </c>
      <c r="D1330" s="407" t="s">
        <v>7300</v>
      </c>
      <c r="E1330" s="407" t="s">
        <v>7301</v>
      </c>
      <c r="F1330" s="407" t="s">
        <v>7302</v>
      </c>
      <c r="G1330" s="407" t="s">
        <v>7303</v>
      </c>
      <c r="H1330" s="460" t="e">
        <v>#N/A</v>
      </c>
      <c r="I1330" s="460" t="e">
        <v>#N/A</v>
      </c>
      <c r="J1330" s="460" t="e">
        <v>#N/A</v>
      </c>
      <c r="K1330" s="460" t="e">
        <v>#N/A</v>
      </c>
      <c r="L1330" s="459" t="e">
        <v>#N/A</v>
      </c>
      <c r="O1330">
        <v>0</v>
      </c>
      <c r="P1330" t="s">
        <v>9762</v>
      </c>
    </row>
    <row r="1331" spans="1:16" ht="14.4" x14ac:dyDescent="0.3">
      <c r="A1331">
        <v>88169</v>
      </c>
      <c r="B1331" t="str">
        <f t="shared" si="40"/>
        <v>S-S20/30 hamulec plastikowy</v>
      </c>
      <c r="C1331" s="185">
        <f t="shared" si="41"/>
        <v>2.21428</v>
      </c>
      <c r="D1331" s="407" t="s">
        <v>7304</v>
      </c>
      <c r="E1331" s="407" t="s">
        <v>7305</v>
      </c>
      <c r="F1331" s="407" t="s">
        <v>7304</v>
      </c>
      <c r="G1331" s="407" t="s">
        <v>7306</v>
      </c>
      <c r="H1331" s="460">
        <v>11.76</v>
      </c>
      <c r="I1331" s="460">
        <v>0.50190999999999997</v>
      </c>
      <c r="J1331" s="460">
        <v>2.21428</v>
      </c>
      <c r="K1331" s="460" t="e">
        <v>#N/A</v>
      </c>
      <c r="L1331" s="459" t="s">
        <v>538</v>
      </c>
      <c r="O1331">
        <v>0.43736999999999998</v>
      </c>
      <c r="P1331" t="s">
        <v>9763</v>
      </c>
    </row>
    <row r="1332" spans="1:16" ht="14.4" x14ac:dyDescent="0.3">
      <c r="A1332">
        <v>88684</v>
      </c>
      <c r="B1332" t="str">
        <f t="shared" si="40"/>
        <v>S-H50 hamulec prawy</v>
      </c>
      <c r="C1332" s="185" t="e">
        <f t="shared" si="41"/>
        <v>#N/A</v>
      </c>
      <c r="D1332" s="407" t="s">
        <v>7307</v>
      </c>
      <c r="E1332" s="407" t="s">
        <v>7308</v>
      </c>
      <c r="F1332" s="407" t="s">
        <v>7309</v>
      </c>
      <c r="G1332" s="407" t="s">
        <v>7310</v>
      </c>
      <c r="H1332" s="460" t="e">
        <v>#N/A</v>
      </c>
      <c r="I1332" s="460" t="e">
        <v>#N/A</v>
      </c>
      <c r="J1332" s="460" t="e">
        <v>#N/A</v>
      </c>
      <c r="K1332" s="460" t="e">
        <v>#N/A</v>
      </c>
      <c r="L1332" s="459" t="e">
        <v>#N/A</v>
      </c>
      <c r="O1332">
        <v>0</v>
      </c>
      <c r="P1332" t="s">
        <v>9764</v>
      </c>
    </row>
    <row r="1333" spans="1:16" ht="14.4" x14ac:dyDescent="0.3">
      <c r="A1333">
        <v>88691</v>
      </c>
      <c r="B1333" t="str">
        <f t="shared" si="40"/>
        <v>S-S40SD odbojnik</v>
      </c>
      <c r="C1333" s="185" t="e">
        <f t="shared" si="41"/>
        <v>#N/A</v>
      </c>
      <c r="D1333" s="407" t="s">
        <v>7311</v>
      </c>
      <c r="E1333" s="407" t="s">
        <v>7312</v>
      </c>
      <c r="F1333" s="407" t="s">
        <v>7311</v>
      </c>
      <c r="G1333" s="407" t="s">
        <v>7313</v>
      </c>
      <c r="H1333" s="460" t="e">
        <v>#N/A</v>
      </c>
      <c r="I1333" s="460" t="e">
        <v>#N/A</v>
      </c>
      <c r="J1333" s="460" t="e">
        <v>#N/A</v>
      </c>
      <c r="K1333" s="460" t="e">
        <v>#N/A</v>
      </c>
      <c r="L1333" s="459" t="e">
        <v>#N/A</v>
      </c>
      <c r="O1333">
        <v>0</v>
      </c>
      <c r="P1333" t="s">
        <v>9765</v>
      </c>
    </row>
    <row r="1334" spans="1:16" ht="14.4" x14ac:dyDescent="0.3">
      <c r="A1334">
        <v>88699</v>
      </c>
      <c r="B1334" t="str">
        <f t="shared" si="40"/>
        <v>S-S70C listwa uchwytowa 2,7m</v>
      </c>
      <c r="C1334" s="185" t="e">
        <f t="shared" si="41"/>
        <v>#N/A</v>
      </c>
      <c r="D1334" s="407" t="s">
        <v>7314</v>
      </c>
      <c r="E1334" s="407" t="s">
        <v>7315</v>
      </c>
      <c r="F1334" s="407" t="s">
        <v>7316</v>
      </c>
      <c r="G1334" s="407" t="s">
        <v>7317</v>
      </c>
      <c r="H1334" s="460" t="e">
        <v>#N/A</v>
      </c>
      <c r="I1334" s="460" t="e">
        <v>#N/A</v>
      </c>
      <c r="J1334" s="460" t="e">
        <v>#N/A</v>
      </c>
      <c r="K1334" s="460" t="e">
        <v>#N/A</v>
      </c>
      <c r="L1334" s="459" t="e">
        <v>#N/A</v>
      </c>
      <c r="O1334">
        <v>0</v>
      </c>
      <c r="P1334" t="s">
        <v>9766</v>
      </c>
    </row>
    <row r="1335" spans="1:16" ht="14.4" x14ac:dyDescent="0.3">
      <c r="A1335">
        <v>413734</v>
      </c>
      <c r="B1335" t="str">
        <f t="shared" si="40"/>
        <v>SEVROLL Taboret-podest składany szary wys. 27cm</v>
      </c>
      <c r="C1335" s="185">
        <f t="shared" si="41"/>
        <v>5.6100000000000004E-3</v>
      </c>
      <c r="D1335" s="407" t="s">
        <v>1364</v>
      </c>
      <c r="E1335" s="407" t="s">
        <v>1814</v>
      </c>
      <c r="F1335" s="407" t="s">
        <v>68</v>
      </c>
      <c r="G1335" s="407" t="s">
        <v>5834</v>
      </c>
      <c r="H1335" s="460">
        <v>0.28789999999999999</v>
      </c>
      <c r="I1335" s="460">
        <v>0</v>
      </c>
      <c r="J1335" s="460">
        <v>5.6100000000000004E-3</v>
      </c>
      <c r="K1335" s="460">
        <v>0</v>
      </c>
      <c r="L1335" s="459" t="s">
        <v>541</v>
      </c>
      <c r="O1335">
        <v>5.9729999999999999</v>
      </c>
      <c r="P1335" t="s">
        <v>9767</v>
      </c>
    </row>
    <row r="1336" spans="1:16" ht="14.4" x14ac:dyDescent="0.3">
      <c r="A1336">
        <v>413735</v>
      </c>
      <c r="B1336" t="str">
        <f t="shared" si="40"/>
        <v>SEVROLL Taboret-podest składany szary wys. 39cm</v>
      </c>
      <c r="C1336" s="185" t="e">
        <f t="shared" si="41"/>
        <v>#N/A</v>
      </c>
      <c r="D1336" s="407" t="s">
        <v>1365</v>
      </c>
      <c r="E1336" s="407" t="s">
        <v>1814</v>
      </c>
      <c r="F1336" s="407" t="s">
        <v>68</v>
      </c>
      <c r="G1336" s="407" t="s">
        <v>5835</v>
      </c>
      <c r="H1336" s="460" t="e">
        <v>#N/A</v>
      </c>
      <c r="I1336" s="460" t="e">
        <v>#N/A</v>
      </c>
      <c r="J1336" s="460" t="e">
        <v>#N/A</v>
      </c>
      <c r="K1336" s="460" t="e">
        <v>#N/A</v>
      </c>
      <c r="L1336" s="459" t="e">
        <v>#N/A</v>
      </c>
      <c r="O1336">
        <v>7.8650000000000002</v>
      </c>
      <c r="P1336" t="s">
        <v>9767</v>
      </c>
    </row>
    <row r="1337" spans="1:16" ht="14.4" x14ac:dyDescent="0.3">
      <c r="A1337">
        <v>413883</v>
      </c>
      <c r="B1337" t="e">
        <f t="shared" si="40"/>
        <v>#N/A</v>
      </c>
      <c r="C1337" s="185" t="e">
        <f t="shared" si="41"/>
        <v>#N/A</v>
      </c>
      <c r="D1337" s="407" t="e">
        <v>#N/A</v>
      </c>
      <c r="E1337" s="407" t="e">
        <v>#N/A</v>
      </c>
      <c r="F1337" s="407" t="e">
        <v>#N/A</v>
      </c>
      <c r="G1337" s="407" t="e">
        <v>#N/A</v>
      </c>
      <c r="H1337" s="460" t="e">
        <v>#N/A</v>
      </c>
      <c r="I1337" s="460" t="e">
        <v>#N/A</v>
      </c>
      <c r="J1337" s="460" t="e">
        <v>#N/A</v>
      </c>
      <c r="K1337" s="460" t="e">
        <v>#N/A</v>
      </c>
      <c r="L1337" s="459" t="e">
        <v>#N/A</v>
      </c>
      <c r="O1337" t="e">
        <v>#N/A</v>
      </c>
      <c r="P1337" t="e">
        <v>#N/A</v>
      </c>
    </row>
    <row r="1338" spans="1:16" ht="14.4" x14ac:dyDescent="0.3">
      <c r="A1338">
        <v>413885</v>
      </c>
      <c r="B1338" t="e">
        <f t="shared" si="40"/>
        <v>#N/A</v>
      </c>
      <c r="C1338" s="185" t="e">
        <f t="shared" si="41"/>
        <v>#N/A</v>
      </c>
      <c r="D1338" s="407" t="e">
        <v>#N/A</v>
      </c>
      <c r="E1338" s="407" t="e">
        <v>#N/A</v>
      </c>
      <c r="F1338" s="407" t="e">
        <v>#N/A</v>
      </c>
      <c r="G1338" s="407" t="e">
        <v>#N/A</v>
      </c>
      <c r="H1338" s="460" t="e">
        <v>#N/A</v>
      </c>
      <c r="I1338" s="460" t="e">
        <v>#N/A</v>
      </c>
      <c r="J1338" s="460" t="e">
        <v>#N/A</v>
      </c>
      <c r="K1338" s="460" t="e">
        <v>#N/A</v>
      </c>
      <c r="L1338" s="459" t="e">
        <v>#N/A</v>
      </c>
      <c r="O1338" t="e">
        <v>#N/A</v>
      </c>
      <c r="P1338" t="e">
        <v>#N/A</v>
      </c>
    </row>
    <row r="1339" spans="1:16" ht="14.4" x14ac:dyDescent="0.3">
      <c r="A1339">
        <v>414086</v>
      </c>
      <c r="B1339" t="str">
        <f t="shared" si="40"/>
        <v>SEVROLL maskownica do toru Elegant II 3m czarny mat</v>
      </c>
      <c r="C1339" s="185">
        <f t="shared" si="41"/>
        <v>21.542400000000001</v>
      </c>
      <c r="D1339" s="407" t="s">
        <v>1366</v>
      </c>
      <c r="E1339" s="407" t="s">
        <v>1815</v>
      </c>
      <c r="F1339" s="407" t="s">
        <v>5836</v>
      </c>
      <c r="G1339" s="407" t="s">
        <v>5837</v>
      </c>
      <c r="H1339" s="460">
        <v>163.56704999999999</v>
      </c>
      <c r="I1339" s="460">
        <v>5.8811099999999996</v>
      </c>
      <c r="J1339" s="460">
        <v>21.542400000000001</v>
      </c>
      <c r="K1339" s="460">
        <v>2263.5540099999998</v>
      </c>
      <c r="L1339" s="459" t="s">
        <v>538</v>
      </c>
      <c r="O1339">
        <v>5.7640000000000002</v>
      </c>
      <c r="P1339" t="s">
        <v>9768</v>
      </c>
    </row>
    <row r="1340" spans="1:16" ht="14.4" x14ac:dyDescent="0.3">
      <c r="A1340">
        <v>266722</v>
      </c>
      <c r="B1340" t="e">
        <f t="shared" si="40"/>
        <v>#N/A</v>
      </c>
      <c r="C1340" s="185" t="e">
        <f t="shared" si="41"/>
        <v>#N/A</v>
      </c>
      <c r="D1340" s="407" t="e">
        <v>#N/A</v>
      </c>
      <c r="E1340" s="407" t="e">
        <v>#N/A</v>
      </c>
      <c r="F1340" s="407" t="e">
        <v>#N/A</v>
      </c>
      <c r="G1340" s="407" t="e">
        <v>#N/A</v>
      </c>
      <c r="H1340" s="460" t="e">
        <v>#N/A</v>
      </c>
      <c r="I1340" s="460" t="e">
        <v>#N/A</v>
      </c>
      <c r="J1340" s="460" t="e">
        <v>#N/A</v>
      </c>
      <c r="K1340" s="460" t="e">
        <v>#N/A</v>
      </c>
      <c r="L1340" s="459" t="e">
        <v>#N/A</v>
      </c>
      <c r="O1340" t="e">
        <v>#N/A</v>
      </c>
      <c r="P1340" t="e">
        <v>#N/A</v>
      </c>
    </row>
    <row r="1341" spans="1:16" ht="14.4" x14ac:dyDescent="0.3">
      <c r="A1341">
        <v>266723</v>
      </c>
      <c r="B1341" t="e">
        <f t="shared" si="40"/>
        <v>#N/A</v>
      </c>
      <c r="C1341" s="185" t="e">
        <f t="shared" si="41"/>
        <v>#N/A</v>
      </c>
      <c r="D1341" s="407" t="e">
        <v>#N/A</v>
      </c>
      <c r="E1341" s="407" t="e">
        <v>#N/A</v>
      </c>
      <c r="F1341" s="407" t="e">
        <v>#N/A</v>
      </c>
      <c r="G1341" s="407" t="e">
        <v>#N/A</v>
      </c>
      <c r="H1341" s="460" t="e">
        <v>#N/A</v>
      </c>
      <c r="I1341" s="460" t="e">
        <v>#N/A</v>
      </c>
      <c r="J1341" s="460" t="e">
        <v>#N/A</v>
      </c>
      <c r="K1341" s="460" t="e">
        <v>#N/A</v>
      </c>
      <c r="L1341" s="459" t="e">
        <v>#N/A</v>
      </c>
      <c r="O1341" t="e">
        <v>#N/A</v>
      </c>
      <c r="P1341" t="e">
        <v>#N/A</v>
      </c>
    </row>
    <row r="1342" spans="1:16" ht="14.4" x14ac:dyDescent="0.3">
      <c r="A1342">
        <v>266741</v>
      </c>
      <c r="B1342" t="e">
        <f t="shared" si="40"/>
        <v>#N/A</v>
      </c>
      <c r="C1342" s="185" t="e">
        <f t="shared" si="41"/>
        <v>#N/A</v>
      </c>
      <c r="D1342" s="407" t="e">
        <v>#N/A</v>
      </c>
      <c r="E1342" s="407" t="e">
        <v>#N/A</v>
      </c>
      <c r="F1342" s="407" t="e">
        <v>#N/A</v>
      </c>
      <c r="G1342" s="407" t="e">
        <v>#N/A</v>
      </c>
      <c r="H1342" s="460" t="e">
        <v>#N/A</v>
      </c>
      <c r="I1342" s="460" t="e">
        <v>#N/A</v>
      </c>
      <c r="J1342" s="460" t="e">
        <v>#N/A</v>
      </c>
      <c r="K1342" s="460" t="e">
        <v>#N/A</v>
      </c>
      <c r="L1342" s="459" t="e">
        <v>#N/A</v>
      </c>
      <c r="O1342" t="e">
        <v>#N/A</v>
      </c>
      <c r="P1342" t="e">
        <v>#N/A</v>
      </c>
    </row>
    <row r="1343" spans="1:16" ht="14.4" x14ac:dyDescent="0.3">
      <c r="A1343">
        <v>266742</v>
      </c>
      <c r="B1343" t="e">
        <f t="shared" si="40"/>
        <v>#N/A</v>
      </c>
      <c r="C1343" s="185" t="e">
        <f t="shared" si="41"/>
        <v>#N/A</v>
      </c>
      <c r="D1343" s="407" t="e">
        <v>#N/A</v>
      </c>
      <c r="E1343" s="407" t="e">
        <v>#N/A</v>
      </c>
      <c r="F1343" s="407" t="e">
        <v>#N/A</v>
      </c>
      <c r="G1343" s="407" t="e">
        <v>#N/A</v>
      </c>
      <c r="H1343" s="460" t="e">
        <v>#N/A</v>
      </c>
      <c r="I1343" s="460" t="e">
        <v>#N/A</v>
      </c>
      <c r="J1343" s="460" t="e">
        <v>#N/A</v>
      </c>
      <c r="K1343" s="460" t="e">
        <v>#N/A</v>
      </c>
      <c r="L1343" s="459" t="e">
        <v>#N/A</v>
      </c>
      <c r="O1343" t="e">
        <v>#N/A</v>
      </c>
      <c r="P1343" t="e">
        <v>#N/A</v>
      </c>
    </row>
    <row r="1344" spans="1:16" ht="14.4" x14ac:dyDescent="0.3">
      <c r="A1344">
        <v>266745</v>
      </c>
      <c r="B1344" t="e">
        <f t="shared" si="40"/>
        <v>#N/A</v>
      </c>
      <c r="C1344" s="185" t="e">
        <f t="shared" si="41"/>
        <v>#N/A</v>
      </c>
      <c r="D1344" s="407" t="e">
        <v>#N/A</v>
      </c>
      <c r="E1344" s="407" t="e">
        <v>#N/A</v>
      </c>
      <c r="F1344" s="407" t="e">
        <v>#N/A</v>
      </c>
      <c r="G1344" s="407" t="e">
        <v>#N/A</v>
      </c>
      <c r="H1344" s="460" t="e">
        <v>#N/A</v>
      </c>
      <c r="I1344" s="460" t="e">
        <v>#N/A</v>
      </c>
      <c r="J1344" s="460" t="e">
        <v>#N/A</v>
      </c>
      <c r="K1344" s="460" t="e">
        <v>#N/A</v>
      </c>
      <c r="L1344" s="459" t="e">
        <v>#N/A</v>
      </c>
      <c r="O1344" t="e">
        <v>#N/A</v>
      </c>
      <c r="P1344" t="e">
        <v>#N/A</v>
      </c>
    </row>
    <row r="1345" spans="1:16" ht="14.4" x14ac:dyDescent="0.3">
      <c r="A1345">
        <v>266994</v>
      </c>
      <c r="B1345" t="str">
        <f t="shared" si="40"/>
        <v>S-S06NN dolny profil 4m elox srebrny</v>
      </c>
      <c r="C1345" s="185" t="e">
        <f t="shared" si="41"/>
        <v>#N/A</v>
      </c>
      <c r="D1345" s="407" t="s">
        <v>7318</v>
      </c>
      <c r="E1345" s="407" t="s">
        <v>7319</v>
      </c>
      <c r="F1345" s="407" t="s">
        <v>7320</v>
      </c>
      <c r="G1345" s="407" t="s">
        <v>7321</v>
      </c>
      <c r="H1345" s="460" t="e">
        <v>#N/A</v>
      </c>
      <c r="I1345" s="460" t="e">
        <v>#N/A</v>
      </c>
      <c r="J1345" s="460" t="e">
        <v>#N/A</v>
      </c>
      <c r="K1345" s="460" t="e">
        <v>#N/A</v>
      </c>
      <c r="L1345" s="459" t="e">
        <v>#N/A</v>
      </c>
      <c r="O1345">
        <v>0</v>
      </c>
      <c r="P1345" t="s">
        <v>9769</v>
      </c>
    </row>
    <row r="1346" spans="1:16" ht="14.4" x14ac:dyDescent="0.3">
      <c r="A1346">
        <v>266995</v>
      </c>
      <c r="B1346" t="str">
        <f t="shared" si="40"/>
        <v>S-S06N profil maskujący 4m srebrny</v>
      </c>
      <c r="C1346" s="185" t="e">
        <f t="shared" si="41"/>
        <v>#N/A</v>
      </c>
      <c r="D1346" s="407" t="s">
        <v>7322</v>
      </c>
      <c r="E1346" s="407" t="s">
        <v>7323</v>
      </c>
      <c r="F1346" s="407" t="s">
        <v>7324</v>
      </c>
      <c r="G1346" s="407" t="s">
        <v>7325</v>
      </c>
      <c r="H1346" s="460" t="e">
        <v>#N/A</v>
      </c>
      <c r="I1346" s="460" t="e">
        <v>#N/A</v>
      </c>
      <c r="J1346" s="460" t="e">
        <v>#N/A</v>
      </c>
      <c r="K1346" s="460" t="e">
        <v>#N/A</v>
      </c>
      <c r="L1346" s="459" t="e">
        <v>#N/A</v>
      </c>
      <c r="O1346">
        <v>0</v>
      </c>
      <c r="P1346" t="s">
        <v>9770</v>
      </c>
    </row>
    <row r="1347" spans="1:16" ht="14.4" x14ac:dyDescent="0.3">
      <c r="A1347">
        <v>267011</v>
      </c>
      <c r="B1347" t="str">
        <f t="shared" si="40"/>
        <v>S-S05-górny profil prowadzący 6m srebrny</v>
      </c>
      <c r="C1347" s="185" t="e">
        <f t="shared" si="41"/>
        <v>#N/A</v>
      </c>
      <c r="D1347" s="407" t="s">
        <v>7326</v>
      </c>
      <c r="E1347" s="407" t="s">
        <v>7327</v>
      </c>
      <c r="F1347" s="407" t="s">
        <v>7328</v>
      </c>
      <c r="G1347" s="407" t="s">
        <v>7329</v>
      </c>
      <c r="H1347" s="460" t="e">
        <v>#N/A</v>
      </c>
      <c r="I1347" s="460" t="e">
        <v>#N/A</v>
      </c>
      <c r="J1347" s="460" t="e">
        <v>#N/A</v>
      </c>
      <c r="K1347" s="460" t="e">
        <v>#N/A</v>
      </c>
      <c r="L1347" s="459" t="e">
        <v>#N/A</v>
      </c>
      <c r="O1347">
        <v>0</v>
      </c>
      <c r="P1347" t="s">
        <v>9771</v>
      </c>
    </row>
    <row r="1348" spans="1:16" ht="14.4" x14ac:dyDescent="0.3">
      <c r="A1348">
        <v>267012</v>
      </c>
      <c r="B1348" t="str">
        <f t="shared" ref="B1348:B1411" si="42">IF($A$2=1,D1348,IF($A$2=2,F1348,IF($A$2=3,G1348,IF($A$2=4,E1348,IF($A$2&gt;4,P1348,"zadat jazyk")))))</f>
        <v>S-profil S11 srebrny elox 3,2m</v>
      </c>
      <c r="C1348" s="185" t="e">
        <f t="shared" ref="C1348:C1411" si="43">IF($A$2=1,H1348,IF($A$2=2,I1348,IF($A$2=3,J1348,IF($A$2=4,K1348,IF($A$2&gt;4,O1348,"zadat jazyk")))))</f>
        <v>#N/A</v>
      </c>
      <c r="D1348" s="407" t="s">
        <v>7330</v>
      </c>
      <c r="E1348" s="407" t="s">
        <v>7331</v>
      </c>
      <c r="F1348" s="407" t="s">
        <v>7332</v>
      </c>
      <c r="G1348" s="407" t="s">
        <v>7333</v>
      </c>
      <c r="H1348" s="460" t="e">
        <v>#N/A</v>
      </c>
      <c r="I1348" s="460" t="e">
        <v>#N/A</v>
      </c>
      <c r="J1348" s="460" t="e">
        <v>#N/A</v>
      </c>
      <c r="K1348" s="460" t="e">
        <v>#N/A</v>
      </c>
      <c r="L1348" s="459" t="e">
        <v>#N/A</v>
      </c>
      <c r="O1348">
        <v>0</v>
      </c>
      <c r="P1348" t="s">
        <v>9772</v>
      </c>
    </row>
    <row r="1349" spans="1:16" ht="14.4" x14ac:dyDescent="0.3">
      <c r="A1349">
        <v>267013</v>
      </c>
      <c r="B1349" t="str">
        <f t="shared" si="42"/>
        <v>S-S06NN dolny profil 6m srebrny</v>
      </c>
      <c r="C1349" s="185" t="e">
        <f t="shared" si="43"/>
        <v>#N/A</v>
      </c>
      <c r="D1349" s="407" t="s">
        <v>7334</v>
      </c>
      <c r="E1349" s="407" t="s">
        <v>7335</v>
      </c>
      <c r="F1349" s="407" t="s">
        <v>7336</v>
      </c>
      <c r="G1349" s="407" t="s">
        <v>7337</v>
      </c>
      <c r="H1349" s="460" t="e">
        <v>#N/A</v>
      </c>
      <c r="I1349" s="460" t="e">
        <v>#N/A</v>
      </c>
      <c r="J1349" s="460" t="e">
        <v>#N/A</v>
      </c>
      <c r="K1349" s="460" t="e">
        <v>#N/A</v>
      </c>
      <c r="L1349" s="459" t="e">
        <v>#N/A</v>
      </c>
      <c r="O1349">
        <v>0</v>
      </c>
      <c r="P1349" t="s">
        <v>9773</v>
      </c>
    </row>
    <row r="1350" spans="1:16" ht="14.4" x14ac:dyDescent="0.3">
      <c r="A1350">
        <v>267014</v>
      </c>
      <c r="B1350" t="str">
        <f t="shared" si="42"/>
        <v>S-S06N profl maskujący 6m srebrny</v>
      </c>
      <c r="C1350" s="185" t="e">
        <f t="shared" si="43"/>
        <v>#N/A</v>
      </c>
      <c r="D1350" s="407" t="s">
        <v>7338</v>
      </c>
      <c r="E1350" s="407" t="s">
        <v>7339</v>
      </c>
      <c r="F1350" s="407" t="s">
        <v>7340</v>
      </c>
      <c r="G1350" s="407" t="s">
        <v>7341</v>
      </c>
      <c r="H1350" s="460" t="e">
        <v>#N/A</v>
      </c>
      <c r="I1350" s="460" t="e">
        <v>#N/A</v>
      </c>
      <c r="J1350" s="460" t="e">
        <v>#N/A</v>
      </c>
      <c r="K1350" s="460" t="e">
        <v>#N/A</v>
      </c>
      <c r="L1350" s="459" t="e">
        <v>#N/A</v>
      </c>
      <c r="O1350">
        <v>0</v>
      </c>
      <c r="P1350" t="s">
        <v>9774</v>
      </c>
    </row>
    <row r="1351" spans="1:16" ht="14.4" x14ac:dyDescent="0.3">
      <c r="A1351">
        <v>267015</v>
      </c>
      <c r="B1351" t="str">
        <f t="shared" si="42"/>
        <v>S-S65 górny i środkowy profil 4/18mm 4m srebrny</v>
      </c>
      <c r="C1351" s="185" t="e">
        <f t="shared" si="43"/>
        <v>#N/A</v>
      </c>
      <c r="D1351" s="407" t="s">
        <v>7342</v>
      </c>
      <c r="E1351" s="407" t="s">
        <v>7343</v>
      </c>
      <c r="F1351" s="407" t="s">
        <v>7344</v>
      </c>
      <c r="G1351" s="407" t="s">
        <v>7345</v>
      </c>
      <c r="H1351" s="460" t="e">
        <v>#N/A</v>
      </c>
      <c r="I1351" s="460" t="e">
        <v>#N/A</v>
      </c>
      <c r="J1351" s="460" t="e">
        <v>#N/A</v>
      </c>
      <c r="K1351" s="460" t="e">
        <v>#N/A</v>
      </c>
      <c r="L1351" s="459" t="e">
        <v>#N/A</v>
      </c>
      <c r="O1351">
        <v>0</v>
      </c>
      <c r="P1351" t="s">
        <v>9775</v>
      </c>
    </row>
    <row r="1352" spans="1:16" ht="14.4" x14ac:dyDescent="0.3">
      <c r="A1352">
        <v>267016</v>
      </c>
      <c r="B1352" t="str">
        <f t="shared" si="42"/>
        <v>S-S65 dolny profil 4/18mm 4m srebrny</v>
      </c>
      <c r="C1352" s="185" t="e">
        <f t="shared" si="43"/>
        <v>#N/A</v>
      </c>
      <c r="D1352" s="407" t="s">
        <v>7346</v>
      </c>
      <c r="E1352" s="407" t="s">
        <v>7347</v>
      </c>
      <c r="F1352" s="407" t="s">
        <v>7348</v>
      </c>
      <c r="G1352" s="407" t="s">
        <v>7349</v>
      </c>
      <c r="H1352" s="460" t="e">
        <v>#N/A</v>
      </c>
      <c r="I1352" s="460" t="e">
        <v>#N/A</v>
      </c>
      <c r="J1352" s="460" t="e">
        <v>#N/A</v>
      </c>
      <c r="K1352" s="460" t="e">
        <v>#N/A</v>
      </c>
      <c r="L1352" s="459" t="e">
        <v>#N/A</v>
      </c>
      <c r="O1352">
        <v>0</v>
      </c>
      <c r="P1352" t="s">
        <v>9776</v>
      </c>
    </row>
    <row r="1353" spans="1:16" ht="14.4" x14ac:dyDescent="0.3">
      <c r="A1353">
        <v>267338</v>
      </c>
      <c r="B1353" t="e">
        <f t="shared" si="42"/>
        <v>#N/A</v>
      </c>
      <c r="C1353" s="185" t="e">
        <f t="shared" si="43"/>
        <v>#N/A</v>
      </c>
      <c r="D1353" s="407" t="e">
        <v>#N/A</v>
      </c>
      <c r="E1353" s="407" t="e">
        <v>#N/A</v>
      </c>
      <c r="F1353" s="407" t="e">
        <v>#N/A</v>
      </c>
      <c r="G1353" s="407" t="e">
        <v>#N/A</v>
      </c>
      <c r="H1353" s="460" t="e">
        <v>#N/A</v>
      </c>
      <c r="I1353" s="460" t="e">
        <v>#N/A</v>
      </c>
      <c r="J1353" s="460" t="e">
        <v>#N/A</v>
      </c>
      <c r="K1353" s="460" t="e">
        <v>#N/A</v>
      </c>
      <c r="L1353" s="459" t="e">
        <v>#N/A</v>
      </c>
      <c r="O1353" t="e">
        <v>#N/A</v>
      </c>
      <c r="P1353" t="e">
        <v>#N/A</v>
      </c>
    </row>
    <row r="1354" spans="1:16" ht="14.4" x14ac:dyDescent="0.3">
      <c r="A1354">
        <v>267339</v>
      </c>
      <c r="B1354" t="e">
        <f t="shared" si="42"/>
        <v>#N/A</v>
      </c>
      <c r="C1354" s="185" t="e">
        <f t="shared" si="43"/>
        <v>#N/A</v>
      </c>
      <c r="D1354" s="407" t="e">
        <v>#N/A</v>
      </c>
      <c r="E1354" s="407" t="e">
        <v>#N/A</v>
      </c>
      <c r="F1354" s="407" t="e">
        <v>#N/A</v>
      </c>
      <c r="G1354" s="407" t="e">
        <v>#N/A</v>
      </c>
      <c r="H1354" s="460" t="e">
        <v>#N/A</v>
      </c>
      <c r="I1354" s="460" t="e">
        <v>#N/A</v>
      </c>
      <c r="J1354" s="460" t="e">
        <v>#N/A</v>
      </c>
      <c r="K1354" s="460" t="e">
        <v>#N/A</v>
      </c>
      <c r="L1354" s="459" t="e">
        <v>#N/A</v>
      </c>
      <c r="O1354" t="e">
        <v>#N/A</v>
      </c>
      <c r="P1354" t="e">
        <v>#N/A</v>
      </c>
    </row>
    <row r="1355" spans="1:16" ht="14.4" x14ac:dyDescent="0.3">
      <c r="A1355">
        <v>267340</v>
      </c>
      <c r="B1355" t="e">
        <f t="shared" si="42"/>
        <v>#N/A</v>
      </c>
      <c r="C1355" s="185" t="e">
        <f t="shared" si="43"/>
        <v>#N/A</v>
      </c>
      <c r="D1355" s="407" t="e">
        <v>#N/A</v>
      </c>
      <c r="E1355" s="407" t="e">
        <v>#N/A</v>
      </c>
      <c r="F1355" s="407" t="e">
        <v>#N/A</v>
      </c>
      <c r="G1355" s="407" t="e">
        <v>#N/A</v>
      </c>
      <c r="H1355" s="460" t="e">
        <v>#N/A</v>
      </c>
      <c r="I1355" s="460" t="e">
        <v>#N/A</v>
      </c>
      <c r="J1355" s="460" t="e">
        <v>#N/A</v>
      </c>
      <c r="K1355" s="460" t="e">
        <v>#N/A</v>
      </c>
      <c r="L1355" s="459" t="e">
        <v>#N/A</v>
      </c>
      <c r="O1355" t="e">
        <v>#N/A</v>
      </c>
      <c r="P1355" t="e">
        <v>#N/A</v>
      </c>
    </row>
    <row r="1356" spans="1:16" ht="14.4" x14ac:dyDescent="0.3">
      <c r="A1356">
        <v>267341</v>
      </c>
      <c r="B1356" t="e">
        <f t="shared" si="42"/>
        <v>#N/A</v>
      </c>
      <c r="C1356" s="185" t="e">
        <f t="shared" si="43"/>
        <v>#N/A</v>
      </c>
      <c r="D1356" s="407" t="e">
        <v>#N/A</v>
      </c>
      <c r="E1356" s="407" t="e">
        <v>#N/A</v>
      </c>
      <c r="F1356" s="407" t="e">
        <v>#N/A</v>
      </c>
      <c r="G1356" s="407" t="e">
        <v>#N/A</v>
      </c>
      <c r="H1356" s="460" t="e">
        <v>#N/A</v>
      </c>
      <c r="I1356" s="460" t="e">
        <v>#N/A</v>
      </c>
      <c r="J1356" s="460" t="e">
        <v>#N/A</v>
      </c>
      <c r="K1356" s="460" t="e">
        <v>#N/A</v>
      </c>
      <c r="L1356" s="459" t="e">
        <v>#N/A</v>
      </c>
      <c r="O1356" t="e">
        <v>#N/A</v>
      </c>
      <c r="P1356" t="e">
        <v>#N/A</v>
      </c>
    </row>
    <row r="1357" spans="1:16" ht="14.4" x14ac:dyDescent="0.3">
      <c r="A1357">
        <v>267342</v>
      </c>
      <c r="B1357" t="e">
        <f t="shared" si="42"/>
        <v>#N/A</v>
      </c>
      <c r="C1357" s="185" t="e">
        <f t="shared" si="43"/>
        <v>#N/A</v>
      </c>
      <c r="D1357" s="407" t="e">
        <v>#N/A</v>
      </c>
      <c r="E1357" s="407" t="e">
        <v>#N/A</v>
      </c>
      <c r="F1357" s="407" t="e">
        <v>#N/A</v>
      </c>
      <c r="G1357" s="407" t="e">
        <v>#N/A</v>
      </c>
      <c r="H1357" s="460" t="e">
        <v>#N/A</v>
      </c>
      <c r="I1357" s="460" t="e">
        <v>#N/A</v>
      </c>
      <c r="J1357" s="460" t="e">
        <v>#N/A</v>
      </c>
      <c r="K1357" s="460" t="e">
        <v>#N/A</v>
      </c>
      <c r="L1357" s="459" t="e">
        <v>#N/A</v>
      </c>
      <c r="O1357" t="e">
        <v>#N/A</v>
      </c>
      <c r="P1357" t="e">
        <v>#N/A</v>
      </c>
    </row>
    <row r="1358" spans="1:16" ht="14.4" x14ac:dyDescent="0.3">
      <c r="A1358">
        <v>267555</v>
      </c>
      <c r="B1358" t="str">
        <f t="shared" si="42"/>
        <v>S-S05-1-górny tor 2m srebrny</v>
      </c>
      <c r="C1358" s="185" t="e">
        <f t="shared" si="43"/>
        <v>#N/A</v>
      </c>
      <c r="D1358" s="407" t="s">
        <v>7350</v>
      </c>
      <c r="E1358" s="407" t="s">
        <v>7351</v>
      </c>
      <c r="F1358" s="407" t="s">
        <v>7352</v>
      </c>
      <c r="G1358" s="407" t="s">
        <v>7353</v>
      </c>
      <c r="H1358" s="460" t="e">
        <v>#N/A</v>
      </c>
      <c r="I1358" s="460" t="e">
        <v>#N/A</v>
      </c>
      <c r="J1358" s="460" t="e">
        <v>#N/A</v>
      </c>
      <c r="K1358" s="460" t="e">
        <v>#N/A</v>
      </c>
      <c r="L1358" s="459" t="e">
        <v>#N/A</v>
      </c>
      <c r="O1358">
        <v>14.805759999999999</v>
      </c>
      <c r="P1358" t="s">
        <v>9777</v>
      </c>
    </row>
    <row r="1359" spans="1:16" ht="14.4" x14ac:dyDescent="0.3">
      <c r="A1359">
        <v>267566</v>
      </c>
      <c r="B1359" t="str">
        <f t="shared" si="42"/>
        <v>S-S06N-1 dolny tor 2m elox srebrny</v>
      </c>
      <c r="C1359" s="185">
        <f t="shared" si="43"/>
        <v>30.999929999999999</v>
      </c>
      <c r="D1359" s="407" t="s">
        <v>7354</v>
      </c>
      <c r="E1359" s="407" t="s">
        <v>7355</v>
      </c>
      <c r="F1359" s="407" t="s">
        <v>7356</v>
      </c>
      <c r="G1359" s="407" t="s">
        <v>7357</v>
      </c>
      <c r="H1359" s="460">
        <v>164.64</v>
      </c>
      <c r="I1359" s="460">
        <v>7.0267799999999996</v>
      </c>
      <c r="J1359" s="460">
        <v>30.999929999999999</v>
      </c>
      <c r="K1359" s="460" t="e">
        <v>#N/A</v>
      </c>
      <c r="L1359" s="459" t="s">
        <v>540</v>
      </c>
      <c r="O1359">
        <v>5.9222900000000003</v>
      </c>
      <c r="P1359" t="s">
        <v>9778</v>
      </c>
    </row>
    <row r="1360" spans="1:16" ht="14.4" x14ac:dyDescent="0.3">
      <c r="A1360">
        <v>267881</v>
      </c>
      <c r="B1360" t="e">
        <f t="shared" si="42"/>
        <v>#N/A</v>
      </c>
      <c r="C1360" s="185" t="e">
        <f t="shared" si="43"/>
        <v>#N/A</v>
      </c>
      <c r="D1360" s="407" t="e">
        <v>#N/A</v>
      </c>
      <c r="E1360" s="407" t="e">
        <v>#N/A</v>
      </c>
      <c r="F1360" s="407" t="e">
        <v>#N/A</v>
      </c>
      <c r="G1360" s="407" t="e">
        <v>#N/A</v>
      </c>
      <c r="H1360" s="460" t="e">
        <v>#N/A</v>
      </c>
      <c r="I1360" s="460" t="e">
        <v>#N/A</v>
      </c>
      <c r="J1360" s="460" t="e">
        <v>#N/A</v>
      </c>
      <c r="K1360" s="460" t="e">
        <v>#N/A</v>
      </c>
      <c r="L1360" s="459" t="e">
        <v>#N/A</v>
      </c>
      <c r="O1360" t="e">
        <v>#N/A</v>
      </c>
      <c r="P1360" t="e">
        <v>#N/A</v>
      </c>
    </row>
    <row r="1361" spans="1:16" ht="14.4" x14ac:dyDescent="0.3">
      <c r="A1361">
        <v>267942</v>
      </c>
      <c r="B1361" t="e">
        <f t="shared" si="42"/>
        <v>#N/A</v>
      </c>
      <c r="C1361" s="185" t="e">
        <f t="shared" si="43"/>
        <v>#N/A</v>
      </c>
      <c r="D1361" s="407" t="e">
        <v>#N/A</v>
      </c>
      <c r="E1361" s="407" t="e">
        <v>#N/A</v>
      </c>
      <c r="F1361" s="407" t="e">
        <v>#N/A</v>
      </c>
      <c r="G1361" s="407" t="e">
        <v>#N/A</v>
      </c>
      <c r="H1361" s="460" t="e">
        <v>#N/A</v>
      </c>
      <c r="I1361" s="460" t="e">
        <v>#N/A</v>
      </c>
      <c r="J1361" s="460" t="e">
        <v>#N/A</v>
      </c>
      <c r="K1361" s="460" t="e">
        <v>#N/A</v>
      </c>
      <c r="L1361" s="459" t="e">
        <v>#N/A</v>
      </c>
      <c r="O1361" t="e">
        <v>#N/A</v>
      </c>
      <c r="P1361" t="e">
        <v>#N/A</v>
      </c>
    </row>
    <row r="1362" spans="1:16" ht="14.4" x14ac:dyDescent="0.3">
      <c r="A1362">
        <v>268674</v>
      </c>
      <c r="B1362" t="str">
        <f t="shared" si="42"/>
        <v>IC-4mm Profil pionowy Standard bronzowy 2,75m</v>
      </c>
      <c r="C1362" s="185" t="e">
        <f t="shared" si="43"/>
        <v>#N/A</v>
      </c>
      <c r="D1362" s="407" t="s">
        <v>7358</v>
      </c>
      <c r="E1362" s="407" t="s">
        <v>7359</v>
      </c>
      <c r="F1362" s="407" t="s">
        <v>7360</v>
      </c>
      <c r="G1362" s="407" t="s">
        <v>7361</v>
      </c>
      <c r="H1362" s="460" t="e">
        <v>#N/A</v>
      </c>
      <c r="I1362" s="460" t="e">
        <v>#N/A</v>
      </c>
      <c r="J1362" s="460" t="e">
        <v>#N/A</v>
      </c>
      <c r="K1362" s="460" t="e">
        <v>#N/A</v>
      </c>
      <c r="L1362" s="459" t="e">
        <v>#N/A</v>
      </c>
      <c r="O1362">
        <v>0</v>
      </c>
      <c r="P1362" t="s">
        <v>9779</v>
      </c>
    </row>
    <row r="1363" spans="1:16" ht="14.4" x14ac:dyDescent="0.3">
      <c r="A1363">
        <v>268675</v>
      </c>
      <c r="B1363" t="str">
        <f t="shared" si="42"/>
        <v>IC-tor górny brązowy 2m</v>
      </c>
      <c r="C1363" s="185" t="e">
        <f t="shared" si="43"/>
        <v>#N/A</v>
      </c>
      <c r="D1363" s="407" t="s">
        <v>7362</v>
      </c>
      <c r="E1363" s="407" t="s">
        <v>7363</v>
      </c>
      <c r="F1363" s="407" t="s">
        <v>7364</v>
      </c>
      <c r="G1363" s="407" t="s">
        <v>7365</v>
      </c>
      <c r="H1363" s="460" t="e">
        <v>#N/A</v>
      </c>
      <c r="I1363" s="460" t="e">
        <v>#N/A</v>
      </c>
      <c r="J1363" s="460" t="e">
        <v>#N/A</v>
      </c>
      <c r="K1363" s="460" t="e">
        <v>#N/A</v>
      </c>
      <c r="L1363" s="459" t="e">
        <v>#N/A</v>
      </c>
      <c r="O1363">
        <v>0</v>
      </c>
      <c r="P1363" t="s">
        <v>9780</v>
      </c>
    </row>
    <row r="1364" spans="1:16" ht="14.4" x14ac:dyDescent="0.3">
      <c r="A1364">
        <v>268676</v>
      </c>
      <c r="B1364" t="str">
        <f t="shared" si="42"/>
        <v>IC-tor dolny brązowy 2m</v>
      </c>
      <c r="C1364" s="185" t="e">
        <f t="shared" si="43"/>
        <v>#N/A</v>
      </c>
      <c r="D1364" s="407" t="s">
        <v>7366</v>
      </c>
      <c r="E1364" s="407" t="s">
        <v>7367</v>
      </c>
      <c r="F1364" s="407" t="s">
        <v>7368</v>
      </c>
      <c r="G1364" s="407" t="s">
        <v>7369</v>
      </c>
      <c r="H1364" s="460" t="e">
        <v>#N/A</v>
      </c>
      <c r="I1364" s="460" t="e">
        <v>#N/A</v>
      </c>
      <c r="J1364" s="460" t="e">
        <v>#N/A</v>
      </c>
      <c r="K1364" s="460" t="e">
        <v>#N/A</v>
      </c>
      <c r="L1364" s="459" t="e">
        <v>#N/A</v>
      </c>
      <c r="O1364">
        <v>0</v>
      </c>
      <c r="P1364" t="s">
        <v>9781</v>
      </c>
    </row>
    <row r="1365" spans="1:16" ht="14.4" x14ac:dyDescent="0.3">
      <c r="A1365">
        <v>268677</v>
      </c>
      <c r="B1365" t="str">
        <f t="shared" si="42"/>
        <v>IC-4mm Profil poziomy  bronzowy 2,4m</v>
      </c>
      <c r="C1365" s="185" t="e">
        <f t="shared" si="43"/>
        <v>#N/A</v>
      </c>
      <c r="D1365" s="407" t="s">
        <v>7370</v>
      </c>
      <c r="E1365" s="407" t="s">
        <v>7371</v>
      </c>
      <c r="F1365" s="407" t="s">
        <v>7372</v>
      </c>
      <c r="G1365" s="407" t="s">
        <v>7373</v>
      </c>
      <c r="H1365" s="460" t="e">
        <v>#N/A</v>
      </c>
      <c r="I1365" s="460" t="e">
        <v>#N/A</v>
      </c>
      <c r="J1365" s="460" t="e">
        <v>#N/A</v>
      </c>
      <c r="K1365" s="460" t="e">
        <v>#N/A</v>
      </c>
      <c r="L1365" s="459" t="e">
        <v>#N/A</v>
      </c>
      <c r="O1365">
        <v>0</v>
      </c>
      <c r="P1365" t="s">
        <v>9782</v>
      </c>
    </row>
    <row r="1366" spans="1:16" ht="14.4" x14ac:dyDescent="0.3">
      <c r="A1366">
        <v>268938</v>
      </c>
      <c r="B1366" t="e">
        <f t="shared" si="42"/>
        <v>#N/A</v>
      </c>
      <c r="C1366" s="185" t="e">
        <f t="shared" si="43"/>
        <v>#N/A</v>
      </c>
      <c r="D1366" s="407" t="e">
        <v>#N/A</v>
      </c>
      <c r="E1366" s="407" t="e">
        <v>#N/A</v>
      </c>
      <c r="F1366" s="407" t="e">
        <v>#N/A</v>
      </c>
      <c r="G1366" s="407" t="e">
        <v>#N/A</v>
      </c>
      <c r="H1366" s="460" t="e">
        <v>#N/A</v>
      </c>
      <c r="I1366" s="460" t="e">
        <v>#N/A</v>
      </c>
      <c r="J1366" s="460" t="e">
        <v>#N/A</v>
      </c>
      <c r="K1366" s="460" t="e">
        <v>#N/A</v>
      </c>
      <c r="L1366" s="459" t="e">
        <v>#N/A</v>
      </c>
      <c r="O1366" t="e">
        <v>#N/A</v>
      </c>
      <c r="P1366" t="e">
        <v>#N/A</v>
      </c>
    </row>
    <row r="1367" spans="1:16" ht="14.4" x14ac:dyDescent="0.3">
      <c r="A1367">
        <v>268939</v>
      </c>
      <c r="B1367" t="e">
        <f t="shared" si="42"/>
        <v>#N/A</v>
      </c>
      <c r="C1367" s="185" t="e">
        <f t="shared" si="43"/>
        <v>#N/A</v>
      </c>
      <c r="D1367" s="407" t="e">
        <v>#N/A</v>
      </c>
      <c r="E1367" s="407" t="e">
        <v>#N/A</v>
      </c>
      <c r="F1367" s="407" t="e">
        <v>#N/A</v>
      </c>
      <c r="G1367" s="407" t="e">
        <v>#N/A</v>
      </c>
      <c r="H1367" s="460" t="e">
        <v>#N/A</v>
      </c>
      <c r="I1367" s="460" t="e">
        <v>#N/A</v>
      </c>
      <c r="J1367" s="460" t="e">
        <v>#N/A</v>
      </c>
      <c r="K1367" s="460" t="e">
        <v>#N/A</v>
      </c>
      <c r="L1367" s="459" t="e">
        <v>#N/A</v>
      </c>
      <c r="O1367" t="e">
        <v>#N/A</v>
      </c>
      <c r="P1367" t="e">
        <v>#N/A</v>
      </c>
    </row>
    <row r="1368" spans="1:16" ht="14.4" x14ac:dyDescent="0.3">
      <c r="A1368">
        <v>390594</v>
      </c>
      <c r="B1368" t="str">
        <f t="shared" si="42"/>
        <v>StrongLine Barnio zestaw Simple</v>
      </c>
      <c r="C1368" s="185">
        <f t="shared" si="43"/>
        <v>167.48025000000001</v>
      </c>
      <c r="D1368" s="407" t="s">
        <v>7374</v>
      </c>
      <c r="E1368" s="407" t="s">
        <v>7375</v>
      </c>
      <c r="F1368" s="407" t="s">
        <v>7376</v>
      </c>
      <c r="G1368" s="407" t="s">
        <v>7377</v>
      </c>
      <c r="H1368" s="460">
        <v>1035.0213100000001</v>
      </c>
      <c r="I1368" s="460">
        <v>36.965760000000003</v>
      </c>
      <c r="J1368" s="460">
        <v>167.48025000000001</v>
      </c>
      <c r="K1368" s="460" t="e">
        <v>#N/A</v>
      </c>
      <c r="L1368" s="459" t="s">
        <v>538</v>
      </c>
      <c r="O1368">
        <v>29.90288</v>
      </c>
      <c r="P1368" t="s">
        <v>9783</v>
      </c>
    </row>
    <row r="1369" spans="1:16" ht="14.4" x14ac:dyDescent="0.3">
      <c r="A1369">
        <v>390595</v>
      </c>
      <c r="B1369" t="str">
        <f t="shared" si="42"/>
        <v>StrongLine Barnio zestaw Square</v>
      </c>
      <c r="C1369" s="185">
        <f t="shared" si="43"/>
        <v>265.9905</v>
      </c>
      <c r="D1369" s="407" t="s">
        <v>7378</v>
      </c>
      <c r="E1369" s="407" t="s">
        <v>7379</v>
      </c>
      <c r="F1369" s="407" t="s">
        <v>7380</v>
      </c>
      <c r="G1369" s="407" t="s">
        <v>7381</v>
      </c>
      <c r="H1369" s="460">
        <v>1643.81069</v>
      </c>
      <c r="I1369" s="460">
        <v>58.708620000000003</v>
      </c>
      <c r="J1369" s="460">
        <v>265.9905</v>
      </c>
      <c r="K1369" s="460" t="e">
        <v>#N/A</v>
      </c>
      <c r="L1369" s="459" t="s">
        <v>538</v>
      </c>
      <c r="O1369">
        <v>47.49145</v>
      </c>
      <c r="P1369" t="s">
        <v>9784</v>
      </c>
    </row>
    <row r="1370" spans="1:16" ht="14.4" x14ac:dyDescent="0.3">
      <c r="A1370">
        <v>390596</v>
      </c>
      <c r="B1370" t="str">
        <f t="shared" si="42"/>
        <v>StrongLine Barnio zestaw Big</v>
      </c>
      <c r="C1370" s="185">
        <f t="shared" si="43"/>
        <v>292.96203000000003</v>
      </c>
      <c r="D1370" s="407" t="s">
        <v>7382</v>
      </c>
      <c r="E1370" s="407" t="s">
        <v>7383</v>
      </c>
      <c r="F1370" s="407" t="s">
        <v>7384</v>
      </c>
      <c r="G1370" s="407" t="s">
        <v>7385</v>
      </c>
      <c r="H1370" s="460">
        <v>1810.4935700000001</v>
      </c>
      <c r="I1370" s="460">
        <v>64.661689999999993</v>
      </c>
      <c r="J1370" s="460">
        <v>292.96203000000003</v>
      </c>
      <c r="K1370" s="460" t="e">
        <v>#N/A</v>
      </c>
      <c r="L1370" s="459" t="s">
        <v>538</v>
      </c>
      <c r="O1370">
        <v>52.307099999999998</v>
      </c>
      <c r="P1370" t="s">
        <v>9785</v>
      </c>
    </row>
    <row r="1371" spans="1:16" ht="14.4" x14ac:dyDescent="0.3">
      <c r="A1371">
        <v>390597</v>
      </c>
      <c r="B1371" t="str">
        <f t="shared" si="42"/>
        <v>StrongLine Barnio zestaw tłumienia</v>
      </c>
      <c r="C1371" s="185">
        <f t="shared" si="43"/>
        <v>63.447279999999999</v>
      </c>
      <c r="D1371" s="407" t="s">
        <v>7386</v>
      </c>
      <c r="E1371" s="407" t="s">
        <v>7387</v>
      </c>
      <c r="F1371" s="407" t="s">
        <v>7388</v>
      </c>
      <c r="G1371" s="407" t="s">
        <v>7389</v>
      </c>
      <c r="H1371" s="460">
        <v>392.10163</v>
      </c>
      <c r="I1371" s="460">
        <v>14.00389</v>
      </c>
      <c r="J1371" s="460">
        <v>63.447279999999999</v>
      </c>
      <c r="K1371" s="460" t="e">
        <v>#N/A</v>
      </c>
      <c r="L1371" s="459" t="s">
        <v>538</v>
      </c>
      <c r="O1371">
        <v>11.328250000000001</v>
      </c>
      <c r="P1371" t="s">
        <v>9786</v>
      </c>
    </row>
    <row r="1372" spans="1:16" ht="14.4" x14ac:dyDescent="0.3">
      <c r="A1372">
        <v>390598</v>
      </c>
      <c r="B1372" t="str">
        <f t="shared" si="42"/>
        <v>StrongLine Barnio tor górny 2 m</v>
      </c>
      <c r="C1372" s="185">
        <f t="shared" si="43"/>
        <v>100.82210000000001</v>
      </c>
      <c r="D1372" s="407" t="s">
        <v>7390</v>
      </c>
      <c r="E1372" s="407" t="s">
        <v>7391</v>
      </c>
      <c r="F1372" s="407" t="s">
        <v>7392</v>
      </c>
      <c r="G1372" s="407" t="s">
        <v>7393</v>
      </c>
      <c r="H1372" s="460">
        <v>623.07647999999995</v>
      </c>
      <c r="I1372" s="460">
        <v>22.253170000000001</v>
      </c>
      <c r="J1372" s="460">
        <v>100.82210000000001</v>
      </c>
      <c r="K1372" s="460" t="e">
        <v>#N/A</v>
      </c>
      <c r="L1372" s="459" t="s">
        <v>538</v>
      </c>
      <c r="O1372">
        <v>18.001349999999999</v>
      </c>
      <c r="P1372" t="s">
        <v>9787</v>
      </c>
    </row>
    <row r="1373" spans="1:16" ht="14.4" x14ac:dyDescent="0.3">
      <c r="A1373">
        <v>390599</v>
      </c>
      <c r="B1373" t="str">
        <f t="shared" si="42"/>
        <v>StrongLine Barnio tor górny 3 m</v>
      </c>
      <c r="C1373" s="185">
        <f t="shared" si="43"/>
        <v>145.64617999999999</v>
      </c>
      <c r="D1373" s="407" t="s">
        <v>7394</v>
      </c>
      <c r="E1373" s="407" t="s">
        <v>7395</v>
      </c>
      <c r="F1373" s="407" t="s">
        <v>7396</v>
      </c>
      <c r="G1373" s="407" t="s">
        <v>7397</v>
      </c>
      <c r="H1373" s="460">
        <v>900.08754999999996</v>
      </c>
      <c r="I1373" s="460">
        <v>32.146610000000003</v>
      </c>
      <c r="J1373" s="460">
        <v>145.64617999999999</v>
      </c>
      <c r="K1373" s="460" t="e">
        <v>#N/A</v>
      </c>
      <c r="L1373" s="459" t="s">
        <v>538</v>
      </c>
      <c r="O1373">
        <v>26.0045</v>
      </c>
      <c r="P1373" t="s">
        <v>9788</v>
      </c>
    </row>
    <row r="1374" spans="1:16" ht="14.4" x14ac:dyDescent="0.3">
      <c r="A1374">
        <v>390600</v>
      </c>
      <c r="B1374" t="e">
        <f t="shared" si="42"/>
        <v>#N/A</v>
      </c>
      <c r="C1374" s="185" t="e">
        <f t="shared" si="43"/>
        <v>#N/A</v>
      </c>
      <c r="D1374" s="407" t="e">
        <v>#N/A</v>
      </c>
      <c r="E1374" s="407" t="e">
        <v>#N/A</v>
      </c>
      <c r="F1374" s="407" t="e">
        <v>#N/A</v>
      </c>
      <c r="G1374" s="407" t="e">
        <v>#N/A</v>
      </c>
      <c r="H1374" s="460" t="e">
        <v>#N/A</v>
      </c>
      <c r="I1374" s="460" t="e">
        <v>#N/A</v>
      </c>
      <c r="J1374" s="460" t="e">
        <v>#N/A</v>
      </c>
      <c r="K1374" s="460" t="e">
        <v>#N/A</v>
      </c>
      <c r="L1374" s="459" t="e">
        <v>#N/A</v>
      </c>
      <c r="O1374" t="e">
        <v>#N/A</v>
      </c>
      <c r="P1374" t="e">
        <v>#N/A</v>
      </c>
    </row>
    <row r="1375" spans="1:16" ht="14.4" x14ac:dyDescent="0.3">
      <c r="A1375">
        <v>390601</v>
      </c>
      <c r="B1375" t="str">
        <f t="shared" si="42"/>
        <v>StrongLine Barnio materiał łączący do ściany czarny mat</v>
      </c>
      <c r="C1375" s="185">
        <f t="shared" si="43"/>
        <v>13.485749999999999</v>
      </c>
      <c r="D1375" s="407" t="s">
        <v>7398</v>
      </c>
      <c r="E1375" s="407" t="s">
        <v>7399</v>
      </c>
      <c r="F1375" s="407" t="s">
        <v>7400</v>
      </c>
      <c r="G1375" s="407" t="s">
        <v>7401</v>
      </c>
      <c r="H1375" s="460">
        <v>87.310079999999999</v>
      </c>
      <c r="I1375" s="460">
        <v>3.1182799999999999</v>
      </c>
      <c r="J1375" s="460">
        <v>13.485749999999999</v>
      </c>
      <c r="K1375" s="460" t="e">
        <v>#N/A</v>
      </c>
      <c r="L1375" s="459" t="s">
        <v>538</v>
      </c>
      <c r="O1375">
        <v>2.4078300000000001</v>
      </c>
      <c r="P1375" t="s">
        <v>9789</v>
      </c>
    </row>
    <row r="1376" spans="1:16" ht="14.4" x14ac:dyDescent="0.3">
      <c r="A1376">
        <v>390800</v>
      </c>
      <c r="B1376" t="str">
        <f t="shared" si="42"/>
        <v>K-StrongLine Barnio zestaw Simple 2 m z tłumieniem, 30-40 mm</v>
      </c>
      <c r="C1376" s="185">
        <f t="shared" si="43"/>
        <v>0</v>
      </c>
      <c r="D1376" s="407" t="s">
        <v>7402</v>
      </c>
      <c r="E1376" s="407" t="s">
        <v>7403</v>
      </c>
      <c r="F1376" s="407" t="s">
        <v>7404</v>
      </c>
      <c r="G1376" s="407" t="s">
        <v>7405</v>
      </c>
      <c r="H1376" s="460">
        <v>0</v>
      </c>
      <c r="I1376" s="460">
        <v>0</v>
      </c>
      <c r="J1376" s="460">
        <v>0</v>
      </c>
      <c r="K1376" s="460" t="e">
        <v>#N/A</v>
      </c>
      <c r="L1376" s="459" t="s">
        <v>538</v>
      </c>
      <c r="O1376">
        <v>0</v>
      </c>
      <c r="P1376" t="s">
        <v>9790</v>
      </c>
    </row>
    <row r="1377" spans="1:16" ht="14.4" x14ac:dyDescent="0.3">
      <c r="A1377">
        <v>390801</v>
      </c>
      <c r="B1377" t="str">
        <f t="shared" si="42"/>
        <v>K-StrongLine Barnio zestaw Simple 3 m z tłumieniem, 30-40 mm</v>
      </c>
      <c r="C1377" s="185">
        <f t="shared" si="43"/>
        <v>0</v>
      </c>
      <c r="D1377" s="407" t="s">
        <v>7406</v>
      </c>
      <c r="E1377" s="407" t="s">
        <v>7407</v>
      </c>
      <c r="F1377" s="407" t="s">
        <v>7408</v>
      </c>
      <c r="G1377" s="407" t="s">
        <v>7409</v>
      </c>
      <c r="H1377" s="460">
        <v>0</v>
      </c>
      <c r="I1377" s="460">
        <v>0</v>
      </c>
      <c r="J1377" s="460">
        <v>0</v>
      </c>
      <c r="K1377" s="460" t="e">
        <v>#N/A</v>
      </c>
      <c r="L1377" s="459" t="s">
        <v>538</v>
      </c>
      <c r="O1377">
        <v>0</v>
      </c>
      <c r="P1377" t="s">
        <v>9791</v>
      </c>
    </row>
    <row r="1378" spans="1:16" ht="14.4" x14ac:dyDescent="0.3">
      <c r="A1378">
        <v>390802</v>
      </c>
      <c r="B1378" t="str">
        <f t="shared" si="42"/>
        <v>K-StrongLine Barnio zestaw Square 2 m z tłumieniem, 30-40 mm</v>
      </c>
      <c r="C1378" s="185">
        <f t="shared" si="43"/>
        <v>0</v>
      </c>
      <c r="D1378" s="407" t="s">
        <v>7410</v>
      </c>
      <c r="E1378" s="407" t="s">
        <v>7411</v>
      </c>
      <c r="F1378" s="407" t="s">
        <v>7412</v>
      </c>
      <c r="G1378" s="407" t="s">
        <v>7413</v>
      </c>
      <c r="H1378" s="460">
        <v>0</v>
      </c>
      <c r="I1378" s="460">
        <v>0</v>
      </c>
      <c r="J1378" s="460">
        <v>0</v>
      </c>
      <c r="K1378" s="460" t="e">
        <v>#N/A</v>
      </c>
      <c r="L1378" s="459" t="s">
        <v>538</v>
      </c>
      <c r="O1378">
        <v>0</v>
      </c>
      <c r="P1378" t="s">
        <v>9792</v>
      </c>
    </row>
    <row r="1379" spans="1:16" ht="14.4" x14ac:dyDescent="0.3">
      <c r="A1379">
        <v>390803</v>
      </c>
      <c r="B1379" t="str">
        <f t="shared" si="42"/>
        <v>K-StrongLine Barnio zestaw Square 3 m z tłumieniem, 30-40 mm</v>
      </c>
      <c r="C1379" s="185">
        <f t="shared" si="43"/>
        <v>0</v>
      </c>
      <c r="D1379" s="407" t="s">
        <v>7414</v>
      </c>
      <c r="E1379" s="407" t="s">
        <v>7415</v>
      </c>
      <c r="F1379" s="407" t="s">
        <v>7416</v>
      </c>
      <c r="G1379" s="407" t="s">
        <v>7417</v>
      </c>
      <c r="H1379" s="460">
        <v>0</v>
      </c>
      <c r="I1379" s="460">
        <v>0</v>
      </c>
      <c r="J1379" s="460">
        <v>0</v>
      </c>
      <c r="K1379" s="460" t="e">
        <v>#N/A</v>
      </c>
      <c r="L1379" s="459" t="s">
        <v>538</v>
      </c>
      <c r="O1379">
        <v>0</v>
      </c>
      <c r="P1379" t="s">
        <v>9793</v>
      </c>
    </row>
    <row r="1380" spans="1:16" ht="14.4" x14ac:dyDescent="0.3">
      <c r="A1380">
        <v>390804</v>
      </c>
      <c r="B1380" t="str">
        <f t="shared" si="42"/>
        <v>K-StrongLine Barnio zestaw Big 2 m z tłumieniem, 30-40 mm</v>
      </c>
      <c r="C1380" s="185">
        <f t="shared" si="43"/>
        <v>0</v>
      </c>
      <c r="D1380" s="407" t="s">
        <v>7418</v>
      </c>
      <c r="E1380" s="407" t="s">
        <v>7419</v>
      </c>
      <c r="F1380" s="407" t="s">
        <v>7420</v>
      </c>
      <c r="G1380" s="407" t="s">
        <v>7421</v>
      </c>
      <c r="H1380" s="460">
        <v>0</v>
      </c>
      <c r="I1380" s="460">
        <v>0</v>
      </c>
      <c r="J1380" s="460">
        <v>0</v>
      </c>
      <c r="K1380" s="460" t="e">
        <v>#N/A</v>
      </c>
      <c r="L1380" s="459" t="s">
        <v>538</v>
      </c>
      <c r="O1380">
        <v>0</v>
      </c>
      <c r="P1380" t="s">
        <v>9794</v>
      </c>
    </row>
    <row r="1381" spans="1:16" ht="14.4" x14ac:dyDescent="0.3">
      <c r="A1381">
        <v>390805</v>
      </c>
      <c r="B1381" t="str">
        <f t="shared" si="42"/>
        <v>K-StrongLine Barnio zestaw Big 3 m z tłumieniem, 30-40 mm</v>
      </c>
      <c r="C1381" s="185">
        <f t="shared" si="43"/>
        <v>0</v>
      </c>
      <c r="D1381" s="407" t="s">
        <v>7422</v>
      </c>
      <c r="E1381" s="407" t="s">
        <v>7423</v>
      </c>
      <c r="F1381" s="407" t="s">
        <v>7424</v>
      </c>
      <c r="G1381" s="407" t="s">
        <v>7425</v>
      </c>
      <c r="H1381" s="460">
        <v>0</v>
      </c>
      <c r="I1381" s="460">
        <v>0</v>
      </c>
      <c r="J1381" s="460">
        <v>0</v>
      </c>
      <c r="K1381" s="460" t="e">
        <v>#N/A</v>
      </c>
      <c r="L1381" s="459" t="s">
        <v>538</v>
      </c>
      <c r="O1381">
        <v>0</v>
      </c>
      <c r="P1381" t="s">
        <v>9795</v>
      </c>
    </row>
    <row r="1382" spans="1:16" ht="14.4" x14ac:dyDescent="0.3">
      <c r="A1382">
        <v>390806</v>
      </c>
      <c r="B1382" t="str">
        <f t="shared" si="42"/>
        <v>K-StrongLine Barnio zestaw Simple 2 m bez tłumienia, 30-40 mm</v>
      </c>
      <c r="C1382" s="185">
        <f t="shared" si="43"/>
        <v>0</v>
      </c>
      <c r="D1382" s="407" t="s">
        <v>7426</v>
      </c>
      <c r="E1382" s="407" t="s">
        <v>7427</v>
      </c>
      <c r="F1382" s="407" t="s">
        <v>7428</v>
      </c>
      <c r="G1382" s="407" t="s">
        <v>7429</v>
      </c>
      <c r="H1382" s="460">
        <v>0</v>
      </c>
      <c r="I1382" s="460">
        <v>0</v>
      </c>
      <c r="J1382" s="460">
        <v>0</v>
      </c>
      <c r="K1382" s="460" t="e">
        <v>#N/A</v>
      </c>
      <c r="L1382" s="459" t="s">
        <v>538</v>
      </c>
      <c r="O1382">
        <v>0</v>
      </c>
      <c r="P1382" t="s">
        <v>9796</v>
      </c>
    </row>
    <row r="1383" spans="1:16" ht="14.4" x14ac:dyDescent="0.3">
      <c r="A1383">
        <v>390807</v>
      </c>
      <c r="B1383" t="str">
        <f t="shared" si="42"/>
        <v>K-StrongLine Barnio zestaw Simple 3 m bez tłumienia, 30-40 mm</v>
      </c>
      <c r="C1383" s="185">
        <f t="shared" si="43"/>
        <v>0</v>
      </c>
      <c r="D1383" s="407" t="s">
        <v>7430</v>
      </c>
      <c r="E1383" s="407" t="s">
        <v>7431</v>
      </c>
      <c r="F1383" s="407" t="s">
        <v>7432</v>
      </c>
      <c r="G1383" s="407" t="s">
        <v>7433</v>
      </c>
      <c r="H1383" s="460">
        <v>0</v>
      </c>
      <c r="I1383" s="460">
        <v>0</v>
      </c>
      <c r="J1383" s="460">
        <v>0</v>
      </c>
      <c r="K1383" s="460" t="e">
        <v>#N/A</v>
      </c>
      <c r="L1383" s="459" t="s">
        <v>538</v>
      </c>
      <c r="O1383">
        <v>0</v>
      </c>
      <c r="P1383" t="s">
        <v>9797</v>
      </c>
    </row>
    <row r="1384" spans="1:16" ht="14.4" x14ac:dyDescent="0.3">
      <c r="A1384">
        <v>390808</v>
      </c>
      <c r="B1384" t="str">
        <f t="shared" si="42"/>
        <v>K-StrongLine Barnio zestaw Big 2 m bez tłumienia, 30-40 mm</v>
      </c>
      <c r="C1384" s="185">
        <f t="shared" si="43"/>
        <v>0</v>
      </c>
      <c r="D1384" s="407" t="s">
        <v>7434</v>
      </c>
      <c r="E1384" s="407" t="s">
        <v>7435</v>
      </c>
      <c r="F1384" s="407" t="s">
        <v>7436</v>
      </c>
      <c r="G1384" s="407" t="s">
        <v>7437</v>
      </c>
      <c r="H1384" s="460">
        <v>0</v>
      </c>
      <c r="I1384" s="460">
        <v>0</v>
      </c>
      <c r="J1384" s="460">
        <v>0</v>
      </c>
      <c r="K1384" s="460" t="e">
        <v>#N/A</v>
      </c>
      <c r="L1384" s="459" t="s">
        <v>538</v>
      </c>
      <c r="O1384">
        <v>0</v>
      </c>
      <c r="P1384" t="s">
        <v>9798</v>
      </c>
    </row>
    <row r="1385" spans="1:16" ht="14.4" x14ac:dyDescent="0.3">
      <c r="A1385">
        <v>390809</v>
      </c>
      <c r="B1385" t="str">
        <f t="shared" si="42"/>
        <v>K-StrongLine Barnio zestaw Big 3 m bez tłumienia, 30-40 mm</v>
      </c>
      <c r="C1385" s="185">
        <f t="shared" si="43"/>
        <v>0</v>
      </c>
      <c r="D1385" s="407" t="s">
        <v>7438</v>
      </c>
      <c r="E1385" s="407" t="s">
        <v>7439</v>
      </c>
      <c r="F1385" s="407" t="s">
        <v>7440</v>
      </c>
      <c r="G1385" s="407" t="s">
        <v>7441</v>
      </c>
      <c r="H1385" s="460">
        <v>0</v>
      </c>
      <c r="I1385" s="460">
        <v>0</v>
      </c>
      <c r="J1385" s="460">
        <v>0</v>
      </c>
      <c r="K1385" s="460" t="e">
        <v>#N/A</v>
      </c>
      <c r="L1385" s="459" t="s">
        <v>538</v>
      </c>
      <c r="O1385">
        <v>0</v>
      </c>
      <c r="P1385" t="s">
        <v>9799</v>
      </c>
    </row>
    <row r="1386" spans="1:16" ht="14.4" x14ac:dyDescent="0.3">
      <c r="A1386">
        <v>390810</v>
      </c>
      <c r="B1386" t="str">
        <f t="shared" si="42"/>
        <v>K-StrongLine Barnio zestaw Square 2 m bez tłumienia, 30-40 mm</v>
      </c>
      <c r="C1386" s="185">
        <f t="shared" si="43"/>
        <v>0</v>
      </c>
      <c r="D1386" s="407" t="s">
        <v>7442</v>
      </c>
      <c r="E1386" s="407" t="s">
        <v>7443</v>
      </c>
      <c r="F1386" s="407" t="s">
        <v>7444</v>
      </c>
      <c r="G1386" s="407" t="s">
        <v>7445</v>
      </c>
      <c r="H1386" s="460">
        <v>0</v>
      </c>
      <c r="I1386" s="460">
        <v>0</v>
      </c>
      <c r="J1386" s="460">
        <v>0</v>
      </c>
      <c r="K1386" s="460" t="e">
        <v>#N/A</v>
      </c>
      <c r="L1386" s="459" t="s">
        <v>538</v>
      </c>
      <c r="O1386">
        <v>0</v>
      </c>
      <c r="P1386" t="s">
        <v>9800</v>
      </c>
    </row>
    <row r="1387" spans="1:16" ht="14.4" x14ac:dyDescent="0.3">
      <c r="A1387">
        <v>390811</v>
      </c>
      <c r="B1387" t="str">
        <f t="shared" si="42"/>
        <v>K-StrongLine Barnio zestaw Square 3 m bez tłumienia, 30-40 mm</v>
      </c>
      <c r="C1387" s="185">
        <f t="shared" si="43"/>
        <v>0</v>
      </c>
      <c r="D1387" s="407" t="s">
        <v>7446</v>
      </c>
      <c r="E1387" s="407" t="s">
        <v>7447</v>
      </c>
      <c r="F1387" s="407" t="s">
        <v>7448</v>
      </c>
      <c r="G1387" s="407" t="s">
        <v>7449</v>
      </c>
      <c r="H1387" s="460">
        <v>0</v>
      </c>
      <c r="I1387" s="460">
        <v>0</v>
      </c>
      <c r="J1387" s="460">
        <v>0</v>
      </c>
      <c r="K1387" s="460" t="e">
        <v>#N/A</v>
      </c>
      <c r="L1387" s="459" t="s">
        <v>538</v>
      </c>
      <c r="O1387">
        <v>0</v>
      </c>
      <c r="P1387" t="s">
        <v>9801</v>
      </c>
    </row>
    <row r="1388" spans="1:16" ht="14.4" x14ac:dyDescent="0.3">
      <c r="A1388">
        <v>227385</v>
      </c>
      <c r="B1388" t="str">
        <f t="shared" si="42"/>
        <v>IC-rączka Comfort 10mm 2,7m srebrna</v>
      </c>
      <c r="C1388" s="185" t="e">
        <f t="shared" si="43"/>
        <v>#N/A</v>
      </c>
      <c r="D1388" s="407" t="s">
        <v>7450</v>
      </c>
      <c r="E1388" s="407" t="s">
        <v>7451</v>
      </c>
      <c r="F1388" s="407" t="s">
        <v>7452</v>
      </c>
      <c r="G1388" s="407" t="s">
        <v>7453</v>
      </c>
      <c r="H1388" s="460" t="e">
        <v>#N/A</v>
      </c>
      <c r="I1388" s="460" t="e">
        <v>#N/A</v>
      </c>
      <c r="J1388" s="460" t="e">
        <v>#N/A</v>
      </c>
      <c r="K1388" s="460" t="e">
        <v>#N/A</v>
      </c>
      <c r="L1388" s="459" t="e">
        <v>#N/A</v>
      </c>
      <c r="O1388">
        <v>0</v>
      </c>
      <c r="P1388" t="s">
        <v>9802</v>
      </c>
    </row>
    <row r="1389" spans="1:16" ht="14.4" x14ac:dyDescent="0.3">
      <c r="A1389">
        <v>227387</v>
      </c>
      <c r="B1389" t="str">
        <f t="shared" si="42"/>
        <v>IC-Llistwa uchwytowa Harmony 10mm 2,6m  srebrny</v>
      </c>
      <c r="C1389" s="185" t="e">
        <f t="shared" si="43"/>
        <v>#N/A</v>
      </c>
      <c r="D1389" s="407" t="s">
        <v>7454</v>
      </c>
      <c r="E1389" s="407" t="s">
        <v>7455</v>
      </c>
      <c r="F1389" s="407" t="s">
        <v>7456</v>
      </c>
      <c r="G1389" s="407" t="s">
        <v>7457</v>
      </c>
      <c r="H1389" s="460" t="e">
        <v>#N/A</v>
      </c>
      <c r="I1389" s="460" t="e">
        <v>#N/A</v>
      </c>
      <c r="J1389" s="460" t="e">
        <v>#N/A</v>
      </c>
      <c r="K1389" s="460" t="e">
        <v>#N/A</v>
      </c>
      <c r="L1389" s="459" t="e">
        <v>#N/A</v>
      </c>
      <c r="O1389">
        <v>0</v>
      </c>
      <c r="P1389" t="s">
        <v>9803</v>
      </c>
    </row>
    <row r="1390" spans="1:16" ht="14.4" x14ac:dyDescent="0.3">
      <c r="A1390">
        <v>227390</v>
      </c>
      <c r="B1390" t="str">
        <f t="shared" si="42"/>
        <v>IC-górna listwa wodząca 10mm 3m srebrny</v>
      </c>
      <c r="C1390" s="185" t="e">
        <f t="shared" si="43"/>
        <v>#N/A</v>
      </c>
      <c r="D1390" s="407" t="s">
        <v>7458</v>
      </c>
      <c r="E1390" s="407" t="s">
        <v>7459</v>
      </c>
      <c r="F1390" s="407" t="s">
        <v>7460</v>
      </c>
      <c r="G1390" s="407" t="s">
        <v>7461</v>
      </c>
      <c r="H1390" s="460" t="e">
        <v>#N/A</v>
      </c>
      <c r="I1390" s="460" t="e">
        <v>#N/A</v>
      </c>
      <c r="J1390" s="460" t="e">
        <v>#N/A</v>
      </c>
      <c r="K1390" s="460" t="e">
        <v>#N/A</v>
      </c>
      <c r="L1390" s="459" t="e">
        <v>#N/A</v>
      </c>
      <c r="O1390">
        <v>0</v>
      </c>
      <c r="P1390" t="s">
        <v>9804</v>
      </c>
    </row>
    <row r="1391" spans="1:16" ht="14.4" x14ac:dyDescent="0.3">
      <c r="A1391">
        <v>227391</v>
      </c>
      <c r="B1391" t="str">
        <f t="shared" si="42"/>
        <v>IC-Górna listwa torowa 10mm 5m srebrna</v>
      </c>
      <c r="C1391" s="185" t="e">
        <f t="shared" si="43"/>
        <v>#N/A</v>
      </c>
      <c r="D1391" s="407" t="s">
        <v>7462</v>
      </c>
      <c r="E1391" s="407" t="s">
        <v>7463</v>
      </c>
      <c r="F1391" s="407" t="s">
        <v>7464</v>
      </c>
      <c r="G1391" s="407" t="s">
        <v>7465</v>
      </c>
      <c r="H1391" s="460" t="e">
        <v>#N/A</v>
      </c>
      <c r="I1391" s="460" t="e">
        <v>#N/A</v>
      </c>
      <c r="J1391" s="460" t="e">
        <v>#N/A</v>
      </c>
      <c r="K1391" s="460" t="e">
        <v>#N/A</v>
      </c>
      <c r="L1391" s="459" t="e">
        <v>#N/A</v>
      </c>
      <c r="O1391">
        <v>0</v>
      </c>
      <c r="P1391" t="s">
        <v>9805</v>
      </c>
    </row>
    <row r="1392" spans="1:16" ht="14.4" x14ac:dyDescent="0.3">
      <c r="A1392">
        <v>462027</v>
      </c>
      <c r="B1392" t="str">
        <f t="shared" si="42"/>
        <v>SEVROLL 04299-A zaślepka do toru Elegant II 4,05m jasny brąz new</v>
      </c>
      <c r="C1392" s="185" t="e">
        <f t="shared" si="43"/>
        <v>#N/A</v>
      </c>
      <c r="D1392" s="407" t="s">
        <v>1367</v>
      </c>
      <c r="E1392" s="407" t="s">
        <v>1816</v>
      </c>
      <c r="F1392" s="407" t="s">
        <v>1367</v>
      </c>
      <c r="G1392" s="407" t="s">
        <v>5838</v>
      </c>
      <c r="H1392" s="460" t="e">
        <v>#N/A</v>
      </c>
      <c r="I1392" s="460" t="e">
        <v>#N/A</v>
      </c>
      <c r="J1392" s="460" t="e">
        <v>#N/A</v>
      </c>
      <c r="K1392" s="460" t="e">
        <v>#N/A</v>
      </c>
      <c r="L1392" s="459" t="e">
        <v>#N/A</v>
      </c>
      <c r="O1392" t="e">
        <v>#N/A</v>
      </c>
      <c r="P1392" t="e">
        <v>#N/A</v>
      </c>
    </row>
    <row r="1393" spans="1:16" ht="14.4" x14ac:dyDescent="0.3">
      <c r="A1393">
        <v>462028</v>
      </c>
      <c r="B1393" t="str">
        <f t="shared" si="42"/>
        <v>SEVROLL 04301-A zaślepka do toru Elegant II 6m jasny brąz new</v>
      </c>
      <c r="C1393" s="185" t="e">
        <f t="shared" si="43"/>
        <v>#N/A</v>
      </c>
      <c r="D1393" s="407" t="s">
        <v>1368</v>
      </c>
      <c r="E1393" s="407" t="s">
        <v>1817</v>
      </c>
      <c r="F1393" s="407" t="s">
        <v>1368</v>
      </c>
      <c r="G1393" s="407" t="s">
        <v>5839</v>
      </c>
      <c r="H1393" s="460" t="e">
        <v>#N/A</v>
      </c>
      <c r="I1393" s="460" t="e">
        <v>#N/A</v>
      </c>
      <c r="J1393" s="460" t="e">
        <v>#N/A</v>
      </c>
      <c r="K1393" s="460" t="e">
        <v>#N/A</v>
      </c>
      <c r="L1393" s="459" t="e">
        <v>#N/A</v>
      </c>
      <c r="O1393" t="e">
        <v>#N/A</v>
      </c>
      <c r="P1393" t="e">
        <v>#N/A</v>
      </c>
    </row>
    <row r="1394" spans="1:16" ht="14.4" x14ac:dyDescent="0.3">
      <c r="A1394">
        <v>462029</v>
      </c>
      <c r="B1394" t="str">
        <f t="shared" si="42"/>
        <v>SEVROLL 04466-M Blue tor górny 2m jasny brąz new</v>
      </c>
      <c r="C1394" s="185" t="e">
        <f t="shared" si="43"/>
        <v>#N/A</v>
      </c>
      <c r="D1394" s="407" t="s">
        <v>1369</v>
      </c>
      <c r="E1394" s="407" t="s">
        <v>1818</v>
      </c>
      <c r="F1394" s="407" t="s">
        <v>5840</v>
      </c>
      <c r="G1394" s="407" t="s">
        <v>5841</v>
      </c>
      <c r="H1394" s="460" t="e">
        <v>#N/A</v>
      </c>
      <c r="I1394" s="460" t="e">
        <v>#N/A</v>
      </c>
      <c r="J1394" s="460" t="e">
        <v>#N/A</v>
      </c>
      <c r="K1394" s="460" t="e">
        <v>#N/A</v>
      </c>
      <c r="L1394" s="459" t="e">
        <v>#N/A</v>
      </c>
      <c r="O1394" t="e">
        <v>#N/A</v>
      </c>
      <c r="P1394" t="e">
        <v>#N/A</v>
      </c>
    </row>
    <row r="1395" spans="1:16" ht="14.4" x14ac:dyDescent="0.3">
      <c r="A1395">
        <v>462030</v>
      </c>
      <c r="B1395" t="str">
        <f t="shared" si="42"/>
        <v>SEVROLL Blue tor górny 2,5m jasny brąz new</v>
      </c>
      <c r="C1395" s="185" t="e">
        <f t="shared" si="43"/>
        <v>#N/A</v>
      </c>
      <c r="D1395" s="407" t="s">
        <v>1370</v>
      </c>
      <c r="E1395" s="407" t="s">
        <v>1819</v>
      </c>
      <c r="F1395" s="407" t="s">
        <v>2161</v>
      </c>
      <c r="G1395" s="407" t="s">
        <v>2383</v>
      </c>
      <c r="H1395" s="460" t="e">
        <v>#N/A</v>
      </c>
      <c r="I1395" s="460" t="e">
        <v>#N/A</v>
      </c>
      <c r="J1395" s="460" t="e">
        <v>#N/A</v>
      </c>
      <c r="K1395" s="460" t="e">
        <v>#N/A</v>
      </c>
      <c r="L1395" s="459" t="e">
        <v>#N/A</v>
      </c>
      <c r="O1395" t="e">
        <v>#N/A</v>
      </c>
      <c r="P1395" t="e">
        <v>#N/A</v>
      </c>
    </row>
    <row r="1396" spans="1:16" ht="14.4" x14ac:dyDescent="0.3">
      <c r="A1396">
        <v>462031</v>
      </c>
      <c r="B1396" t="str">
        <f t="shared" si="42"/>
        <v>SEVROLL 04468-M Blue tor górny 3m jasny brąz new</v>
      </c>
      <c r="C1396" s="185" t="e">
        <f t="shared" si="43"/>
        <v>#N/A</v>
      </c>
      <c r="D1396" s="407" t="s">
        <v>1371</v>
      </c>
      <c r="E1396" s="407" t="s">
        <v>1820</v>
      </c>
      <c r="F1396" s="407" t="s">
        <v>5842</v>
      </c>
      <c r="G1396" s="407" t="s">
        <v>5843</v>
      </c>
      <c r="H1396" s="460" t="e">
        <v>#N/A</v>
      </c>
      <c r="I1396" s="460" t="e">
        <v>#N/A</v>
      </c>
      <c r="J1396" s="460" t="e">
        <v>#N/A</v>
      </c>
      <c r="K1396" s="460" t="e">
        <v>#N/A</v>
      </c>
      <c r="L1396" s="459" t="e">
        <v>#N/A</v>
      </c>
      <c r="O1396" t="e">
        <v>#N/A</v>
      </c>
      <c r="P1396" t="e">
        <v>#N/A</v>
      </c>
    </row>
    <row r="1397" spans="1:16" ht="14.4" x14ac:dyDescent="0.3">
      <c r="A1397">
        <v>462032</v>
      </c>
      <c r="B1397" t="str">
        <f t="shared" si="42"/>
        <v>SEVROLL 04469-M Blue tor górny 4m jasny brąz new</v>
      </c>
      <c r="C1397" s="185" t="e">
        <f t="shared" si="43"/>
        <v>#N/A</v>
      </c>
      <c r="D1397" s="407" t="s">
        <v>1372</v>
      </c>
      <c r="E1397" s="407" t="s">
        <v>1821</v>
      </c>
      <c r="F1397" s="407" t="s">
        <v>5844</v>
      </c>
      <c r="G1397" s="407" t="s">
        <v>5845</v>
      </c>
      <c r="H1397" s="460" t="e">
        <v>#N/A</v>
      </c>
      <c r="I1397" s="460" t="e">
        <v>#N/A</v>
      </c>
      <c r="J1397" s="460" t="e">
        <v>#N/A</v>
      </c>
      <c r="K1397" s="460" t="e">
        <v>#N/A</v>
      </c>
      <c r="L1397" s="459" t="e">
        <v>#N/A</v>
      </c>
      <c r="O1397" t="e">
        <v>#N/A</v>
      </c>
      <c r="P1397" t="e">
        <v>#N/A</v>
      </c>
    </row>
    <row r="1398" spans="1:16" ht="14.4" x14ac:dyDescent="0.3">
      <c r="A1398">
        <v>462033</v>
      </c>
      <c r="B1398" t="str">
        <f t="shared" si="42"/>
        <v>SEVROLL Blue-V tor dolny 2,5m jasny brąz new</v>
      </c>
      <c r="C1398" s="185" t="e">
        <f t="shared" si="43"/>
        <v>#N/A</v>
      </c>
      <c r="D1398" s="407" t="s">
        <v>1373</v>
      </c>
      <c r="E1398" s="407" t="s">
        <v>1822</v>
      </c>
      <c r="F1398" s="407" t="s">
        <v>2162</v>
      </c>
      <c r="G1398" s="407" t="s">
        <v>2384</v>
      </c>
      <c r="H1398" s="460" t="e">
        <v>#N/A</v>
      </c>
      <c r="I1398" s="460" t="e">
        <v>#N/A</v>
      </c>
      <c r="J1398" s="460" t="e">
        <v>#N/A</v>
      </c>
      <c r="K1398" s="460" t="e">
        <v>#N/A</v>
      </c>
      <c r="L1398" s="459" t="e">
        <v>#N/A</v>
      </c>
      <c r="O1398" t="e">
        <v>#N/A</v>
      </c>
      <c r="P1398" t="e">
        <v>#N/A</v>
      </c>
    </row>
    <row r="1399" spans="1:16" ht="14.4" x14ac:dyDescent="0.3">
      <c r="A1399">
        <v>462034</v>
      </c>
      <c r="B1399" t="str">
        <f t="shared" si="42"/>
        <v>SEVROLL Blue-V tor dolny 1,5m jasny brąz new</v>
      </c>
      <c r="C1399" s="185" t="e">
        <f t="shared" si="43"/>
        <v>#N/A</v>
      </c>
      <c r="D1399" s="407" t="s">
        <v>1374</v>
      </c>
      <c r="E1399" s="407" t="s">
        <v>1823</v>
      </c>
      <c r="F1399" s="407" t="s">
        <v>2163</v>
      </c>
      <c r="G1399" s="407" t="s">
        <v>2385</v>
      </c>
      <c r="H1399" s="460" t="e">
        <v>#N/A</v>
      </c>
      <c r="I1399" s="460" t="e">
        <v>#N/A</v>
      </c>
      <c r="J1399" s="460" t="e">
        <v>#N/A</v>
      </c>
      <c r="K1399" s="460" t="e">
        <v>#N/A</v>
      </c>
      <c r="L1399" s="459" t="e">
        <v>#N/A</v>
      </c>
      <c r="O1399" t="e">
        <v>#N/A</v>
      </c>
      <c r="P1399" t="e">
        <v>#N/A</v>
      </c>
    </row>
    <row r="1400" spans="1:16" ht="14.4" x14ac:dyDescent="0.3">
      <c r="A1400">
        <v>462035</v>
      </c>
      <c r="B1400" t="str">
        <f t="shared" si="42"/>
        <v>SEVROLL 04492-M Blue-V tor dolny 3m jasny brąz new</v>
      </c>
      <c r="C1400" s="185" t="e">
        <f t="shared" si="43"/>
        <v>#N/A</v>
      </c>
      <c r="D1400" s="407" t="s">
        <v>1375</v>
      </c>
      <c r="E1400" s="407" t="s">
        <v>1824</v>
      </c>
      <c r="F1400" s="407" t="s">
        <v>5846</v>
      </c>
      <c r="G1400" s="407" t="s">
        <v>5847</v>
      </c>
      <c r="H1400" s="460" t="e">
        <v>#N/A</v>
      </c>
      <c r="I1400" s="460" t="e">
        <v>#N/A</v>
      </c>
      <c r="J1400" s="460" t="e">
        <v>#N/A</v>
      </c>
      <c r="K1400" s="460" t="e">
        <v>#N/A</v>
      </c>
      <c r="L1400" s="459" t="e">
        <v>#N/A</v>
      </c>
      <c r="O1400" t="e">
        <v>#N/A</v>
      </c>
      <c r="P1400" t="e">
        <v>#N/A</v>
      </c>
    </row>
    <row r="1401" spans="1:16" ht="14.4" x14ac:dyDescent="0.3">
      <c r="A1401">
        <v>462036</v>
      </c>
      <c r="B1401" t="str">
        <f t="shared" si="42"/>
        <v>SEVROLL04493-M Blue-V tor dolny 4m jasny brąz new</v>
      </c>
      <c r="C1401" s="185" t="e">
        <f t="shared" si="43"/>
        <v>#N/A</v>
      </c>
      <c r="D1401" s="407" t="s">
        <v>1376</v>
      </c>
      <c r="E1401" s="407" t="s">
        <v>1825</v>
      </c>
      <c r="F1401" s="407" t="s">
        <v>5848</v>
      </c>
      <c r="G1401" s="407" t="s">
        <v>5849</v>
      </c>
      <c r="H1401" s="460" t="e">
        <v>#N/A</v>
      </c>
      <c r="I1401" s="460" t="e">
        <v>#N/A</v>
      </c>
      <c r="J1401" s="460" t="e">
        <v>#N/A</v>
      </c>
      <c r="K1401" s="460" t="e">
        <v>#N/A</v>
      </c>
      <c r="L1401" s="459" t="e">
        <v>#N/A</v>
      </c>
      <c r="O1401" t="e">
        <v>#N/A</v>
      </c>
      <c r="P1401" t="e">
        <v>#N/A</v>
      </c>
    </row>
    <row r="1402" spans="1:16" ht="14.4" x14ac:dyDescent="0.3">
      <c r="A1402">
        <v>462037</v>
      </c>
      <c r="B1402" t="str">
        <f t="shared" si="42"/>
        <v>SEVROLL Blue-C tor dolny 2m jasny brąz new</v>
      </c>
      <c r="C1402" s="185" t="e">
        <f t="shared" si="43"/>
        <v>#N/A</v>
      </c>
      <c r="D1402" s="407" t="s">
        <v>1377</v>
      </c>
      <c r="E1402" s="407" t="s">
        <v>1826</v>
      </c>
      <c r="F1402" s="407" t="s">
        <v>2164</v>
      </c>
      <c r="G1402" s="407" t="s">
        <v>2386</v>
      </c>
      <c r="H1402" s="460" t="e">
        <v>#N/A</v>
      </c>
      <c r="I1402" s="460" t="e">
        <v>#N/A</v>
      </c>
      <c r="J1402" s="460" t="e">
        <v>#N/A</v>
      </c>
      <c r="K1402" s="460" t="e">
        <v>#N/A</v>
      </c>
      <c r="L1402" s="459" t="e">
        <v>#N/A</v>
      </c>
      <c r="O1402" t="e">
        <v>#N/A</v>
      </c>
      <c r="P1402" t="e">
        <v>#N/A</v>
      </c>
    </row>
    <row r="1403" spans="1:16" ht="14.4" x14ac:dyDescent="0.3">
      <c r="A1403">
        <v>462038</v>
      </c>
      <c r="B1403" t="str">
        <f t="shared" si="42"/>
        <v>SEVROLL Blue-C tor dolny 2,5m jasny brąz new</v>
      </c>
      <c r="C1403" s="185" t="e">
        <f t="shared" si="43"/>
        <v>#N/A</v>
      </c>
      <c r="D1403" s="407" t="s">
        <v>1378</v>
      </c>
      <c r="E1403" s="407" t="s">
        <v>1827</v>
      </c>
      <c r="F1403" s="407" t="s">
        <v>2165</v>
      </c>
      <c r="G1403" s="407" t="s">
        <v>2387</v>
      </c>
      <c r="H1403" s="460" t="e">
        <v>#N/A</v>
      </c>
      <c r="I1403" s="460" t="e">
        <v>#N/A</v>
      </c>
      <c r="J1403" s="460" t="e">
        <v>#N/A</v>
      </c>
      <c r="K1403" s="460" t="e">
        <v>#N/A</v>
      </c>
      <c r="L1403" s="459" t="e">
        <v>#N/A</v>
      </c>
      <c r="O1403" t="e">
        <v>#N/A</v>
      </c>
      <c r="P1403" t="e">
        <v>#N/A</v>
      </c>
    </row>
    <row r="1404" spans="1:16" ht="14.4" x14ac:dyDescent="0.3">
      <c r="A1404">
        <v>462039</v>
      </c>
      <c r="B1404" t="str">
        <f t="shared" si="42"/>
        <v>SEVROLL Blue-C tor dolny 3m jasny brąz new</v>
      </c>
      <c r="C1404" s="185" t="e">
        <f t="shared" si="43"/>
        <v>#N/A</v>
      </c>
      <c r="D1404" s="407" t="s">
        <v>1379</v>
      </c>
      <c r="E1404" s="407" t="s">
        <v>1828</v>
      </c>
      <c r="F1404" s="407" t="s">
        <v>2166</v>
      </c>
      <c r="G1404" s="407" t="s">
        <v>2388</v>
      </c>
      <c r="H1404" s="460" t="e">
        <v>#N/A</v>
      </c>
      <c r="I1404" s="460" t="e">
        <v>#N/A</v>
      </c>
      <c r="J1404" s="460" t="e">
        <v>#N/A</v>
      </c>
      <c r="K1404" s="460" t="e">
        <v>#N/A</v>
      </c>
      <c r="L1404" s="459" t="e">
        <v>#N/A</v>
      </c>
      <c r="O1404" t="e">
        <v>#N/A</v>
      </c>
      <c r="P1404" t="e">
        <v>#N/A</v>
      </c>
    </row>
    <row r="1405" spans="1:16" ht="14.4" x14ac:dyDescent="0.3">
      <c r="A1405">
        <v>462040</v>
      </c>
      <c r="B1405" t="str">
        <f t="shared" si="42"/>
        <v>SEVROLL Blue-C tor dolny 4m jasny brąz new</v>
      </c>
      <c r="C1405" s="185" t="e">
        <f t="shared" si="43"/>
        <v>#N/A</v>
      </c>
      <c r="D1405" s="407" t="s">
        <v>1380</v>
      </c>
      <c r="E1405" s="407" t="s">
        <v>1829</v>
      </c>
      <c r="F1405" s="407" t="s">
        <v>2167</v>
      </c>
      <c r="G1405" s="407" t="s">
        <v>2389</v>
      </c>
      <c r="H1405" s="460" t="e">
        <v>#N/A</v>
      </c>
      <c r="I1405" s="460" t="e">
        <v>#N/A</v>
      </c>
      <c r="J1405" s="460" t="e">
        <v>#N/A</v>
      </c>
      <c r="K1405" s="460" t="e">
        <v>#N/A</v>
      </c>
      <c r="L1405" s="459" t="e">
        <v>#N/A</v>
      </c>
      <c r="O1405" t="e">
        <v>#N/A</v>
      </c>
      <c r="P1405" t="e">
        <v>#N/A</v>
      </c>
    </row>
    <row r="1406" spans="1:16" ht="14.4" x14ac:dyDescent="0.3">
      <c r="A1406">
        <v>462041</v>
      </c>
      <c r="B1406" t="str">
        <f t="shared" si="42"/>
        <v>SEVROLL Blue-C tor dolny 6m jasny brąz new</v>
      </c>
      <c r="C1406" s="185" t="e">
        <f t="shared" si="43"/>
        <v>#N/A</v>
      </c>
      <c r="D1406" s="407" t="s">
        <v>1381</v>
      </c>
      <c r="E1406" s="407" t="s">
        <v>1830</v>
      </c>
      <c r="F1406" s="407" t="s">
        <v>2168</v>
      </c>
      <c r="G1406" s="407" t="s">
        <v>2390</v>
      </c>
      <c r="H1406" s="460" t="e">
        <v>#N/A</v>
      </c>
      <c r="I1406" s="460" t="e">
        <v>#N/A</v>
      </c>
      <c r="J1406" s="460" t="e">
        <v>#N/A</v>
      </c>
      <c r="K1406" s="460" t="e">
        <v>#N/A</v>
      </c>
      <c r="L1406" s="459" t="e">
        <v>#N/A</v>
      </c>
      <c r="O1406" t="e">
        <v>#N/A</v>
      </c>
      <c r="P1406" t="e">
        <v>#N/A</v>
      </c>
    </row>
    <row r="1407" spans="1:16" ht="14.4" x14ac:dyDescent="0.3">
      <c r="A1407">
        <v>462042</v>
      </c>
      <c r="B1407" t="str">
        <f t="shared" si="42"/>
        <v>SEVROLL 04278-A Elegant II tor dolny 6m jasny brąz new</v>
      </c>
      <c r="C1407" s="185" t="e">
        <f t="shared" si="43"/>
        <v>#N/A</v>
      </c>
      <c r="D1407" s="407" t="s">
        <v>1382</v>
      </c>
      <c r="E1407" s="407" t="s">
        <v>1831</v>
      </c>
      <c r="F1407" s="407" t="s">
        <v>5850</v>
      </c>
      <c r="G1407" s="407" t="s">
        <v>5851</v>
      </c>
      <c r="H1407" s="460" t="e">
        <v>#N/A</v>
      </c>
      <c r="I1407" s="460" t="e">
        <v>#N/A</v>
      </c>
      <c r="J1407" s="460" t="e">
        <v>#N/A</v>
      </c>
      <c r="K1407" s="460" t="e">
        <v>#N/A</v>
      </c>
      <c r="L1407" s="459" t="e">
        <v>#N/A</v>
      </c>
      <c r="O1407" t="e">
        <v>#N/A</v>
      </c>
      <c r="P1407" t="e">
        <v>#N/A</v>
      </c>
    </row>
    <row r="1408" spans="1:16" ht="14.4" x14ac:dyDescent="0.3">
      <c r="A1408">
        <v>462043</v>
      </c>
      <c r="B1408" t="str">
        <f t="shared" si="42"/>
        <v>SEVROLL Vitara rączka 2,70m jasny brąz new</v>
      </c>
      <c r="C1408" s="185" t="e">
        <f t="shared" si="43"/>
        <v>#N/A</v>
      </c>
      <c r="D1408" s="407" t="s">
        <v>1383</v>
      </c>
      <c r="E1408" s="407" t="s">
        <v>1832</v>
      </c>
      <c r="F1408" s="407" t="s">
        <v>1383</v>
      </c>
      <c r="G1408" s="407" t="s">
        <v>2391</v>
      </c>
      <c r="H1408" s="460" t="e">
        <v>#N/A</v>
      </c>
      <c r="I1408" s="460" t="e">
        <v>#N/A</v>
      </c>
      <c r="J1408" s="460" t="e">
        <v>#N/A</v>
      </c>
      <c r="K1408" s="460" t="e">
        <v>#N/A</v>
      </c>
      <c r="L1408" s="459" t="e">
        <v>#N/A</v>
      </c>
      <c r="O1408" t="e">
        <v>#N/A</v>
      </c>
      <c r="P1408" t="e">
        <v>#N/A</v>
      </c>
    </row>
    <row r="1409" spans="1:16" ht="14.4" x14ac:dyDescent="0.3">
      <c r="A1409">
        <v>462044</v>
      </c>
      <c r="B1409" t="str">
        <f t="shared" si="42"/>
        <v>SEVROLL Maxim tor górny 1,8m jasny brąz new</v>
      </c>
      <c r="C1409" s="185" t="e">
        <f t="shared" si="43"/>
        <v>#N/A</v>
      </c>
      <c r="D1409" s="407" t="s">
        <v>1384</v>
      </c>
      <c r="E1409" s="407" t="s">
        <v>1833</v>
      </c>
      <c r="F1409" s="407" t="s">
        <v>2169</v>
      </c>
      <c r="G1409" s="407" t="s">
        <v>2392</v>
      </c>
      <c r="H1409" s="460" t="e">
        <v>#N/A</v>
      </c>
      <c r="I1409" s="460" t="e">
        <v>#N/A</v>
      </c>
      <c r="J1409" s="460" t="e">
        <v>#N/A</v>
      </c>
      <c r="K1409" s="460" t="e">
        <v>#N/A</v>
      </c>
      <c r="L1409" s="459" t="e">
        <v>#N/A</v>
      </c>
      <c r="O1409" t="e">
        <v>#N/A</v>
      </c>
      <c r="P1409" t="e">
        <v>#N/A</v>
      </c>
    </row>
    <row r="1410" spans="1:16" ht="14.4" x14ac:dyDescent="0.3">
      <c r="A1410">
        <v>462045</v>
      </c>
      <c r="B1410" t="str">
        <f t="shared" si="42"/>
        <v>SEVROLL Porto rączka 3m jasny brąz new</v>
      </c>
      <c r="C1410" s="185" t="e">
        <f t="shared" si="43"/>
        <v>#N/A</v>
      </c>
      <c r="D1410" s="407" t="s">
        <v>1385</v>
      </c>
      <c r="E1410" s="407" t="s">
        <v>1834</v>
      </c>
      <c r="F1410" s="407" t="s">
        <v>2170</v>
      </c>
      <c r="G1410" s="407" t="s">
        <v>2393</v>
      </c>
      <c r="H1410" s="460" t="e">
        <v>#N/A</v>
      </c>
      <c r="I1410" s="460" t="e">
        <v>#N/A</v>
      </c>
      <c r="J1410" s="460" t="e">
        <v>#N/A</v>
      </c>
      <c r="K1410" s="460" t="e">
        <v>#N/A</v>
      </c>
      <c r="L1410" s="459" t="e">
        <v>#N/A</v>
      </c>
      <c r="O1410" t="e">
        <v>#N/A</v>
      </c>
      <c r="P1410" t="e">
        <v>#N/A</v>
      </c>
    </row>
    <row r="1411" spans="1:16" ht="14.4" x14ac:dyDescent="0.3">
      <c r="A1411">
        <v>462046</v>
      </c>
      <c r="B1411" t="str">
        <f t="shared" si="42"/>
        <v>SEVROLL Maxim tor górny 1,8m jasny brąz new</v>
      </c>
      <c r="C1411" s="185" t="e">
        <f t="shared" si="43"/>
        <v>#N/A</v>
      </c>
      <c r="D1411" s="407" t="s">
        <v>1386</v>
      </c>
      <c r="E1411" s="407" t="s">
        <v>1835</v>
      </c>
      <c r="F1411" s="407" t="s">
        <v>2169</v>
      </c>
      <c r="G1411" s="407" t="s">
        <v>2392</v>
      </c>
      <c r="H1411" s="460" t="e">
        <v>#N/A</v>
      </c>
      <c r="I1411" s="460" t="e">
        <v>#N/A</v>
      </c>
      <c r="J1411" s="460" t="e">
        <v>#N/A</v>
      </c>
      <c r="K1411" s="460" t="e">
        <v>#N/A</v>
      </c>
      <c r="L1411" s="459" t="e">
        <v>#N/A</v>
      </c>
      <c r="O1411" t="e">
        <v>#N/A</v>
      </c>
      <c r="P1411" t="e">
        <v>#N/A</v>
      </c>
    </row>
    <row r="1412" spans="1:16" ht="14.4" x14ac:dyDescent="0.3">
      <c r="A1412">
        <v>462140</v>
      </c>
      <c r="B1412" t="str">
        <f t="shared" ref="B1412:B1475" si="44">IF($A$2=1,D1412,IF($A$2=2,F1412,IF($A$2=3,G1412,IF($A$2=4,E1412,IF($A$2&gt;4,P1412,"zadat jazyk")))))</f>
        <v>SEVROLL Alfa II rączka 100mm czarny mat</v>
      </c>
      <c r="C1412" s="185">
        <f t="shared" ref="C1412:C1475" si="45">IF($A$2=1,H1412,IF($A$2=2,I1412,IF($A$2=3,J1412,IF($A$2=4,K1412,IF($A$2&gt;4,O1412,"zadat jazyk")))))</f>
        <v>1.54355</v>
      </c>
      <c r="D1412" s="407" t="s">
        <v>1387</v>
      </c>
      <c r="E1412" s="407" t="s">
        <v>1836</v>
      </c>
      <c r="F1412" s="407" t="s">
        <v>5852</v>
      </c>
      <c r="G1412" s="407" t="s">
        <v>2394</v>
      </c>
      <c r="H1412" s="460">
        <v>8</v>
      </c>
      <c r="I1412" s="460">
        <v>0.31680999999999998</v>
      </c>
      <c r="J1412" s="460">
        <v>1.54355</v>
      </c>
      <c r="K1412" s="460">
        <v>137.10875999999999</v>
      </c>
      <c r="L1412" s="459" t="s">
        <v>541</v>
      </c>
      <c r="O1412">
        <v>0.28853000000000001</v>
      </c>
      <c r="P1412" t="s">
        <v>9806</v>
      </c>
    </row>
    <row r="1413" spans="1:16" ht="14.4" x14ac:dyDescent="0.3">
      <c r="A1413">
        <v>462141</v>
      </c>
      <c r="B1413" t="str">
        <f t="shared" si="44"/>
        <v>SEVROLL Faworyt II rączka 100 mm, biała matowa</v>
      </c>
      <c r="C1413" s="185">
        <f t="shared" si="45"/>
        <v>1.5232399999999999</v>
      </c>
      <c r="D1413" s="407" t="s">
        <v>1388</v>
      </c>
      <c r="E1413" s="407" t="s">
        <v>1837</v>
      </c>
      <c r="F1413" s="407" t="s">
        <v>2171</v>
      </c>
      <c r="G1413" s="407" t="s">
        <v>2395</v>
      </c>
      <c r="H1413" s="460">
        <v>8</v>
      </c>
      <c r="I1413" s="460">
        <v>0.31263999999999997</v>
      </c>
      <c r="J1413" s="460">
        <v>1.5232399999999999</v>
      </c>
      <c r="K1413" s="460">
        <v>135.30548999999999</v>
      </c>
      <c r="L1413" s="459" t="s">
        <v>541</v>
      </c>
      <c r="O1413">
        <v>0.28473999999999999</v>
      </c>
      <c r="P1413" t="s">
        <v>9807</v>
      </c>
    </row>
    <row r="1414" spans="1:16" ht="14.4" x14ac:dyDescent="0.3">
      <c r="A1414">
        <v>462142</v>
      </c>
      <c r="B1414" t="str">
        <f t="shared" si="44"/>
        <v>SEVROLL Fox II rączka 100mm czarny połysk</v>
      </c>
      <c r="C1414" s="185">
        <f t="shared" si="45"/>
        <v>1.8174399999999999</v>
      </c>
      <c r="D1414" s="407" t="s">
        <v>1389</v>
      </c>
      <c r="E1414" s="407" t="s">
        <v>1838</v>
      </c>
      <c r="F1414" s="407" t="s">
        <v>5853</v>
      </c>
      <c r="G1414" s="407" t="s">
        <v>2396</v>
      </c>
      <c r="H1414" s="460">
        <v>9</v>
      </c>
      <c r="I1414" s="460">
        <v>0.37302999999999997</v>
      </c>
      <c r="J1414" s="460">
        <v>1.8174399999999999</v>
      </c>
      <c r="K1414" s="460">
        <v>161.44137000000001</v>
      </c>
      <c r="L1414" s="459" t="s">
        <v>541</v>
      </c>
      <c r="O1414">
        <v>0.33973999999999999</v>
      </c>
      <c r="P1414" t="s">
        <v>9808</v>
      </c>
    </row>
    <row r="1415" spans="1:16" ht="14.4" x14ac:dyDescent="0.3">
      <c r="A1415">
        <v>462153</v>
      </c>
      <c r="B1415" t="str">
        <f t="shared" si="44"/>
        <v/>
      </c>
      <c r="C1415" s="185">
        <f t="shared" si="45"/>
        <v>1.17014</v>
      </c>
      <c r="D1415" s="407" t="s">
        <v>1390</v>
      </c>
      <c r="E1415" s="407" t="s">
        <v>1839</v>
      </c>
      <c r="F1415" s="407" t="s">
        <v>68</v>
      </c>
      <c r="G1415" s="407" t="s">
        <v>68</v>
      </c>
      <c r="H1415" s="460">
        <v>6</v>
      </c>
      <c r="I1415" s="460">
        <v>0.24016999999999999</v>
      </c>
      <c r="J1415" s="460">
        <v>1.17014</v>
      </c>
      <c r="K1415" s="460">
        <v>103.94232</v>
      </c>
      <c r="L1415" s="459" t="s">
        <v>541</v>
      </c>
      <c r="O1415">
        <v>0.21873999999999999</v>
      </c>
      <c r="P1415" t="s">
        <v>9809</v>
      </c>
    </row>
    <row r="1416" spans="1:16" ht="14.4" x14ac:dyDescent="0.3">
      <c r="A1416">
        <v>462154</v>
      </c>
      <c r="B1416" t="str">
        <f t="shared" si="44"/>
        <v/>
      </c>
      <c r="C1416" s="185">
        <f t="shared" si="45"/>
        <v>2.2383799999999998</v>
      </c>
      <c r="D1416" s="407" t="s">
        <v>1391</v>
      </c>
      <c r="E1416" s="407" t="s">
        <v>1840</v>
      </c>
      <c r="F1416" s="407" t="s">
        <v>68</v>
      </c>
      <c r="G1416" s="407" t="s">
        <v>68</v>
      </c>
      <c r="H1416" s="460">
        <v>11</v>
      </c>
      <c r="I1416" s="460">
        <v>0.45943000000000001</v>
      </c>
      <c r="J1416" s="460">
        <v>2.2383799999999998</v>
      </c>
      <c r="K1416" s="460">
        <v>198.83131</v>
      </c>
      <c r="L1416" s="459" t="s">
        <v>541</v>
      </c>
      <c r="O1416">
        <v>0.41842000000000001</v>
      </c>
      <c r="P1416" t="s">
        <v>9810</v>
      </c>
    </row>
    <row r="1417" spans="1:16" ht="14.4" x14ac:dyDescent="0.3">
      <c r="A1417">
        <v>462518</v>
      </c>
      <c r="B1417" t="str">
        <f t="shared" si="44"/>
        <v/>
      </c>
      <c r="C1417" s="185" t="e">
        <f t="shared" si="45"/>
        <v>#N/A</v>
      </c>
      <c r="D1417" s="407" t="s">
        <v>1392</v>
      </c>
      <c r="E1417" s="407" t="s">
        <v>68</v>
      </c>
      <c r="F1417" s="407" t="s">
        <v>68</v>
      </c>
      <c r="G1417" s="407" t="s">
        <v>68</v>
      </c>
      <c r="H1417" s="460" t="e">
        <v>#N/A</v>
      </c>
      <c r="I1417" s="460" t="e">
        <v>#N/A</v>
      </c>
      <c r="J1417" s="460" t="e">
        <v>#N/A</v>
      </c>
      <c r="K1417" s="460" t="e">
        <v>#N/A</v>
      </c>
      <c r="L1417" s="459" t="e">
        <v>#N/A</v>
      </c>
      <c r="O1417">
        <v>0</v>
      </c>
      <c r="P1417" t="s">
        <v>9811</v>
      </c>
    </row>
    <row r="1418" spans="1:16" ht="14.4" x14ac:dyDescent="0.3">
      <c r="A1418">
        <v>462519</v>
      </c>
      <c r="B1418" t="str">
        <f t="shared" si="44"/>
        <v/>
      </c>
      <c r="C1418" s="185">
        <f t="shared" si="45"/>
        <v>337.33834999999999</v>
      </c>
      <c r="D1418" s="407" t="s">
        <v>1393</v>
      </c>
      <c r="E1418" s="407" t="s">
        <v>68</v>
      </c>
      <c r="F1418" s="407" t="s">
        <v>68</v>
      </c>
      <c r="G1418" s="407" t="s">
        <v>68</v>
      </c>
      <c r="H1418" s="460">
        <v>7.1199999999999996E-3</v>
      </c>
      <c r="I1418" s="460">
        <v>2.5000000000000001E-4</v>
      </c>
      <c r="J1418" s="460">
        <v>337.33834999999999</v>
      </c>
      <c r="K1418" s="460">
        <v>11</v>
      </c>
      <c r="L1418" s="459" t="s">
        <v>541</v>
      </c>
      <c r="O1418">
        <v>2.2000000000000001E-4</v>
      </c>
      <c r="P1418" t="s">
        <v>9812</v>
      </c>
    </row>
    <row r="1419" spans="1:16" ht="14.4" x14ac:dyDescent="0.3">
      <c r="A1419">
        <v>462520</v>
      </c>
      <c r="B1419" t="str">
        <f t="shared" si="44"/>
        <v/>
      </c>
      <c r="C1419" s="185" t="e">
        <f t="shared" si="45"/>
        <v>#N/A</v>
      </c>
      <c r="D1419" s="407" t="s">
        <v>1394</v>
      </c>
      <c r="E1419" s="407" t="s">
        <v>68</v>
      </c>
      <c r="F1419" s="407" t="s">
        <v>68</v>
      </c>
      <c r="G1419" s="407" t="s">
        <v>68</v>
      </c>
      <c r="H1419" s="460" t="e">
        <v>#N/A</v>
      </c>
      <c r="I1419" s="460" t="e">
        <v>#N/A</v>
      </c>
      <c r="J1419" s="460" t="e">
        <v>#N/A</v>
      </c>
      <c r="K1419" s="460" t="e">
        <v>#N/A</v>
      </c>
      <c r="L1419" s="459" t="e">
        <v>#N/A</v>
      </c>
      <c r="O1419">
        <v>0</v>
      </c>
      <c r="P1419" t="s">
        <v>9813</v>
      </c>
    </row>
    <row r="1420" spans="1:16" ht="14.4" x14ac:dyDescent="0.3">
      <c r="A1420">
        <v>462521</v>
      </c>
      <c r="B1420" t="str">
        <f t="shared" si="44"/>
        <v/>
      </c>
      <c r="C1420" s="185" t="e">
        <f t="shared" si="45"/>
        <v>#N/A</v>
      </c>
      <c r="D1420" s="407" t="s">
        <v>1395</v>
      </c>
      <c r="E1420" s="407" t="s">
        <v>68</v>
      </c>
      <c r="F1420" s="407" t="s">
        <v>68</v>
      </c>
      <c r="G1420" s="407" t="s">
        <v>68</v>
      </c>
      <c r="H1420" s="460" t="e">
        <v>#N/A</v>
      </c>
      <c r="I1420" s="460" t="e">
        <v>#N/A</v>
      </c>
      <c r="J1420" s="460" t="e">
        <v>#N/A</v>
      </c>
      <c r="K1420" s="460" t="e">
        <v>#N/A</v>
      </c>
      <c r="L1420" s="459" t="e">
        <v>#N/A</v>
      </c>
      <c r="O1420">
        <v>0</v>
      </c>
      <c r="P1420" t="s">
        <v>9814</v>
      </c>
    </row>
    <row r="1421" spans="1:16" ht="14.4" x14ac:dyDescent="0.3">
      <c r="A1421">
        <v>462556</v>
      </c>
      <c r="B1421" t="str">
        <f t="shared" si="44"/>
        <v>SEVROLL 04490-M Blue-V tor dolny 2m jasny brąz new</v>
      </c>
      <c r="C1421" s="185" t="e">
        <f t="shared" si="45"/>
        <v>#N/A</v>
      </c>
      <c r="D1421" s="407" t="s">
        <v>1396</v>
      </c>
      <c r="E1421" s="407" t="s">
        <v>1841</v>
      </c>
      <c r="F1421" s="407" t="s">
        <v>5854</v>
      </c>
      <c r="G1421" s="407" t="s">
        <v>2397</v>
      </c>
      <c r="H1421" s="460" t="e">
        <v>#N/A</v>
      </c>
      <c r="I1421" s="460" t="e">
        <v>#N/A</v>
      </c>
      <c r="J1421" s="460" t="e">
        <v>#N/A</v>
      </c>
      <c r="K1421" s="460" t="e">
        <v>#N/A</v>
      </c>
      <c r="L1421" s="459" t="e">
        <v>#N/A</v>
      </c>
      <c r="O1421" t="e">
        <v>#N/A</v>
      </c>
      <c r="P1421" t="e">
        <v>#N/A</v>
      </c>
    </row>
    <row r="1422" spans="1:16" ht="14.4" x14ac:dyDescent="0.3">
      <c r="A1422">
        <v>462558</v>
      </c>
      <c r="B1422" t="str">
        <f t="shared" si="44"/>
        <v>SEVROLL Lux III rączka 2,7m jasny brąz new</v>
      </c>
      <c r="C1422" s="185" t="e">
        <f t="shared" si="45"/>
        <v>#N/A</v>
      </c>
      <c r="D1422" s="407" t="s">
        <v>1397</v>
      </c>
      <c r="E1422" s="407" t="s">
        <v>1842</v>
      </c>
      <c r="F1422" s="407" t="s">
        <v>1397</v>
      </c>
      <c r="G1422" s="407" t="s">
        <v>2398</v>
      </c>
      <c r="H1422" s="460" t="e">
        <v>#N/A</v>
      </c>
      <c r="I1422" s="460" t="e">
        <v>#N/A</v>
      </c>
      <c r="J1422" s="460" t="e">
        <v>#N/A</v>
      </c>
      <c r="K1422" s="460" t="e">
        <v>#N/A</v>
      </c>
      <c r="L1422" s="459" t="e">
        <v>#N/A</v>
      </c>
      <c r="O1422" t="e">
        <v>#N/A</v>
      </c>
      <c r="P1422" t="e">
        <v>#N/A</v>
      </c>
    </row>
    <row r="1423" spans="1:16" ht="14.4" x14ac:dyDescent="0.3">
      <c r="A1423">
        <v>462559</v>
      </c>
      <c r="B1423" t="str">
        <f t="shared" si="44"/>
        <v>SEVROLL 00029-A profil "U" do płyty laminowanej 18mm 3m jasny brąz new</v>
      </c>
      <c r="C1423" s="185" t="e">
        <f t="shared" si="45"/>
        <v>#N/A</v>
      </c>
      <c r="D1423" s="407" t="s">
        <v>1398</v>
      </c>
      <c r="E1423" s="407" t="s">
        <v>1843</v>
      </c>
      <c r="F1423" s="407" t="s">
        <v>2172</v>
      </c>
      <c r="G1423" s="407" t="s">
        <v>2399</v>
      </c>
      <c r="H1423" s="460" t="e">
        <v>#N/A</v>
      </c>
      <c r="I1423" s="460" t="e">
        <v>#N/A</v>
      </c>
      <c r="J1423" s="460" t="e">
        <v>#N/A</v>
      </c>
      <c r="K1423" s="460" t="e">
        <v>#N/A</v>
      </c>
      <c r="L1423" s="459" t="e">
        <v>#N/A</v>
      </c>
      <c r="O1423" t="e">
        <v>#N/A</v>
      </c>
      <c r="P1423" t="e">
        <v>#N/A</v>
      </c>
    </row>
    <row r="1424" spans="1:16" ht="14.4" x14ac:dyDescent="0.3">
      <c r="A1424">
        <v>462566</v>
      </c>
      <c r="B1424" t="str">
        <f t="shared" si="44"/>
        <v>SEVROLL 00095-A kątownik Mini 17x11mm 3m jasny brąz new</v>
      </c>
      <c r="C1424" s="185" t="e">
        <f t="shared" si="45"/>
        <v>#N/A</v>
      </c>
      <c r="D1424" s="407" t="s">
        <v>5855</v>
      </c>
      <c r="E1424" s="407" t="s">
        <v>5856</v>
      </c>
      <c r="F1424" s="407" t="s">
        <v>5857</v>
      </c>
      <c r="G1424" s="407" t="s">
        <v>5858</v>
      </c>
      <c r="H1424" s="460" t="e">
        <v>#N/A</v>
      </c>
      <c r="I1424" s="460" t="e">
        <v>#N/A</v>
      </c>
      <c r="J1424" s="460" t="e">
        <v>#N/A</v>
      </c>
      <c r="K1424" s="460" t="e">
        <v>#N/A</v>
      </c>
      <c r="L1424" s="459" t="e">
        <v>#N/A</v>
      </c>
      <c r="O1424" t="e">
        <v>#N/A</v>
      </c>
      <c r="P1424" t="e">
        <v>#N/A</v>
      </c>
    </row>
    <row r="1425" spans="1:16" ht="14.4" x14ac:dyDescent="0.3">
      <c r="A1425">
        <v>462567</v>
      </c>
      <c r="B1425" t="str">
        <f t="shared" si="44"/>
        <v>SEVROLL tor dolny Simple/Blue 3m (do płyty laminowanej 10mm) jasny brąz new</v>
      </c>
      <c r="C1425" s="185" t="e">
        <f t="shared" si="45"/>
        <v>#N/A</v>
      </c>
      <c r="D1425" s="407" t="s">
        <v>1399</v>
      </c>
      <c r="E1425" s="407" t="s">
        <v>1844</v>
      </c>
      <c r="F1425" s="407" t="s">
        <v>2173</v>
      </c>
      <c r="G1425" s="407" t="s">
        <v>2400</v>
      </c>
      <c r="H1425" s="460" t="e">
        <v>#N/A</v>
      </c>
      <c r="I1425" s="460" t="e">
        <v>#N/A</v>
      </c>
      <c r="J1425" s="460" t="e">
        <v>#N/A</v>
      </c>
      <c r="K1425" s="460" t="e">
        <v>#N/A</v>
      </c>
      <c r="L1425" s="459" t="e">
        <v>#N/A</v>
      </c>
      <c r="O1425" t="e">
        <v>#N/A</v>
      </c>
      <c r="P1425" t="e">
        <v>#N/A</v>
      </c>
    </row>
    <row r="1426" spans="1:16" ht="14.4" x14ac:dyDescent="0.3">
      <c r="A1426">
        <v>462571</v>
      </c>
      <c r="B1426" t="str">
        <f t="shared" si="44"/>
        <v>SEVROLL Focus II 18mm rączka 2,7m jasny brąz new</v>
      </c>
      <c r="C1426" s="185" t="e">
        <f t="shared" si="45"/>
        <v>#N/A</v>
      </c>
      <c r="D1426" s="407" t="s">
        <v>1400</v>
      </c>
      <c r="E1426" s="407" t="s">
        <v>1845</v>
      </c>
      <c r="F1426" s="407" t="s">
        <v>1400</v>
      </c>
      <c r="G1426" s="407" t="s">
        <v>2401</v>
      </c>
      <c r="H1426" s="460" t="e">
        <v>#N/A</v>
      </c>
      <c r="I1426" s="460" t="e">
        <v>#N/A</v>
      </c>
      <c r="J1426" s="460" t="e">
        <v>#N/A</v>
      </c>
      <c r="K1426" s="460" t="e">
        <v>#N/A</v>
      </c>
      <c r="L1426" s="459" t="e">
        <v>#N/A</v>
      </c>
      <c r="O1426" t="e">
        <v>#N/A</v>
      </c>
      <c r="P1426" t="e">
        <v>#N/A</v>
      </c>
    </row>
    <row r="1427" spans="1:16" ht="14.4" x14ac:dyDescent="0.3">
      <c r="A1427">
        <v>462572</v>
      </c>
      <c r="B1427" t="str">
        <f t="shared" si="44"/>
        <v>SEVROLL Rączka Lynx 2,7m oliwka new</v>
      </c>
      <c r="C1427" s="185" t="e">
        <f t="shared" si="45"/>
        <v>#N/A</v>
      </c>
      <c r="D1427" s="407" t="s">
        <v>1401</v>
      </c>
      <c r="E1427" s="407" t="s">
        <v>1846</v>
      </c>
      <c r="F1427" s="407" t="s">
        <v>1401</v>
      </c>
      <c r="G1427" s="407" t="s">
        <v>2402</v>
      </c>
      <c r="H1427" s="460" t="e">
        <v>#N/A</v>
      </c>
      <c r="I1427" s="460" t="e">
        <v>#N/A</v>
      </c>
      <c r="J1427" s="460" t="e">
        <v>#N/A</v>
      </c>
      <c r="K1427" s="460" t="e">
        <v>#N/A</v>
      </c>
      <c r="L1427" s="459" t="e">
        <v>#N/A</v>
      </c>
      <c r="O1427" t="e">
        <v>#N/A</v>
      </c>
      <c r="P1427" t="e">
        <v>#N/A</v>
      </c>
    </row>
    <row r="1428" spans="1:16" ht="14.4" x14ac:dyDescent="0.3">
      <c r="A1428">
        <v>462573</v>
      </c>
      <c r="B1428" t="str">
        <f t="shared" si="44"/>
        <v>SEVROLL zaślepka do toru Elegant II 1,7m jasny brąz new</v>
      </c>
      <c r="C1428" s="185" t="e">
        <f t="shared" si="45"/>
        <v>#N/A</v>
      </c>
      <c r="D1428" s="407" t="s">
        <v>1402</v>
      </c>
      <c r="E1428" s="407" t="s">
        <v>1847</v>
      </c>
      <c r="F1428" s="407" t="s">
        <v>1402</v>
      </c>
      <c r="G1428" s="407" t="s">
        <v>2403</v>
      </c>
      <c r="H1428" s="460" t="e">
        <v>#N/A</v>
      </c>
      <c r="I1428" s="460" t="e">
        <v>#N/A</v>
      </c>
      <c r="J1428" s="460" t="e">
        <v>#N/A</v>
      </c>
      <c r="K1428" s="460" t="e">
        <v>#N/A</v>
      </c>
      <c r="L1428" s="459" t="e">
        <v>#N/A</v>
      </c>
      <c r="O1428" t="e">
        <v>#N/A</v>
      </c>
      <c r="P1428" t="e">
        <v>#N/A</v>
      </c>
    </row>
    <row r="1429" spans="1:16" ht="14.4" x14ac:dyDescent="0.3">
      <c r="A1429">
        <v>88162</v>
      </c>
      <c r="B1429" t="str">
        <f t="shared" si="44"/>
        <v>S-S80 komplet okuć 80kg (H80)</v>
      </c>
      <c r="C1429" s="185">
        <f t="shared" si="45"/>
        <v>113.20511</v>
      </c>
      <c r="D1429" s="407" t="s">
        <v>7466</v>
      </c>
      <c r="E1429" s="407" t="s">
        <v>7467</v>
      </c>
      <c r="F1429" s="407" t="s">
        <v>7468</v>
      </c>
      <c r="G1429" s="407" t="s">
        <v>7469</v>
      </c>
      <c r="H1429" s="460">
        <v>601.23</v>
      </c>
      <c r="I1429" s="460">
        <v>25.660299999999999</v>
      </c>
      <c r="J1429" s="460">
        <v>113.20511</v>
      </c>
      <c r="K1429" s="460" t="e">
        <v>#N/A</v>
      </c>
      <c r="L1429" s="459" t="s">
        <v>537</v>
      </c>
      <c r="O1429">
        <v>21.62059</v>
      </c>
      <c r="P1429" t="s">
        <v>9815</v>
      </c>
    </row>
    <row r="1430" spans="1:16" ht="14.4" x14ac:dyDescent="0.3">
      <c r="A1430">
        <v>88193</v>
      </c>
      <c r="B1430" t="e">
        <f t="shared" si="44"/>
        <v>#N/A</v>
      </c>
      <c r="C1430" s="185" t="e">
        <f t="shared" si="45"/>
        <v>#N/A</v>
      </c>
      <c r="D1430" s="407" t="e">
        <v>#N/A</v>
      </c>
      <c r="E1430" s="407" t="e">
        <v>#N/A</v>
      </c>
      <c r="F1430" s="407" t="e">
        <v>#N/A</v>
      </c>
      <c r="G1430" s="407" t="e">
        <v>#N/A</v>
      </c>
      <c r="H1430" s="460" t="e">
        <v>#N/A</v>
      </c>
      <c r="I1430" s="460" t="e">
        <v>#N/A</v>
      </c>
      <c r="J1430" s="460" t="e">
        <v>#N/A</v>
      </c>
      <c r="K1430" s="460" t="e">
        <v>#N/A</v>
      </c>
      <c r="L1430" s="459" t="e">
        <v>#N/A</v>
      </c>
      <c r="O1430" t="e">
        <v>#N/A</v>
      </c>
      <c r="P1430" t="e">
        <v>#N/A</v>
      </c>
    </row>
    <row r="1431" spans="1:16" ht="14.4" x14ac:dyDescent="0.3">
      <c r="A1431">
        <v>88163</v>
      </c>
      <c r="B1431" t="str">
        <f t="shared" si="44"/>
        <v>S-profil S40/80 2m stal</v>
      </c>
      <c r="C1431" s="185">
        <f t="shared" si="45"/>
        <v>81.928389999999993</v>
      </c>
      <c r="D1431" s="407" t="s">
        <v>7470</v>
      </c>
      <c r="E1431" s="407" t="s">
        <v>7471</v>
      </c>
      <c r="F1431" s="407" t="s">
        <v>7472</v>
      </c>
      <c r="G1431" s="407" t="s">
        <v>7473</v>
      </c>
      <c r="H1431" s="460">
        <v>516.69150000000002</v>
      </c>
      <c r="I1431" s="460">
        <v>19.71358</v>
      </c>
      <c r="J1431" s="460">
        <v>81.928389999999993</v>
      </c>
      <c r="K1431" s="460" t="e">
        <v>#N/A</v>
      </c>
      <c r="L1431" s="459" t="s">
        <v>537</v>
      </c>
      <c r="O1431">
        <v>20.015730000000001</v>
      </c>
      <c r="P1431" t="s">
        <v>9816</v>
      </c>
    </row>
    <row r="1432" spans="1:16" ht="14.4" x14ac:dyDescent="0.3">
      <c r="A1432">
        <v>88164</v>
      </c>
      <c r="B1432" t="str">
        <f t="shared" si="44"/>
        <v>S-profil S40/80 3m stal</v>
      </c>
      <c r="C1432" s="185">
        <f t="shared" si="45"/>
        <v>122.89259</v>
      </c>
      <c r="D1432" s="407" t="s">
        <v>7474</v>
      </c>
      <c r="E1432" s="407" t="s">
        <v>7475</v>
      </c>
      <c r="F1432" s="407" t="s">
        <v>7476</v>
      </c>
      <c r="G1432" s="407" t="s">
        <v>7477</v>
      </c>
      <c r="H1432" s="460">
        <v>775.02750000000003</v>
      </c>
      <c r="I1432" s="460">
        <v>29.569990000000001</v>
      </c>
      <c r="J1432" s="460">
        <v>122.89259</v>
      </c>
      <c r="K1432" s="460" t="e">
        <v>#N/A</v>
      </c>
      <c r="L1432" s="459" t="s">
        <v>537</v>
      </c>
      <c r="O1432">
        <v>30.023199999999999</v>
      </c>
      <c r="P1432" t="s">
        <v>9817</v>
      </c>
    </row>
    <row r="1433" spans="1:16" ht="14.4" x14ac:dyDescent="0.3">
      <c r="A1433">
        <v>88393</v>
      </c>
      <c r="B1433" t="str">
        <f t="shared" si="44"/>
        <v>S-hamulec do regulacji S40/S40H/S80</v>
      </c>
      <c r="C1433" s="185">
        <f t="shared" si="45"/>
        <v>9.1339199999999998</v>
      </c>
      <c r="D1433" s="407" t="s">
        <v>7478</v>
      </c>
      <c r="E1433" s="407" t="s">
        <v>7479</v>
      </c>
      <c r="F1433" s="407" t="s">
        <v>7480</v>
      </c>
      <c r="G1433" s="407" t="s">
        <v>7481</v>
      </c>
      <c r="H1433" s="460">
        <v>48.51</v>
      </c>
      <c r="I1433" s="460">
        <v>2.0703900000000002</v>
      </c>
      <c r="J1433" s="460">
        <v>9.1339199999999998</v>
      </c>
      <c r="K1433" s="460" t="e">
        <v>#N/A</v>
      </c>
      <c r="L1433" s="459" t="s">
        <v>537</v>
      </c>
      <c r="O1433">
        <v>1.7482899999999999</v>
      </c>
      <c r="P1433" t="s">
        <v>9818</v>
      </c>
    </row>
    <row r="1434" spans="1:16" ht="14.4" x14ac:dyDescent="0.3">
      <c r="A1434">
        <v>88394</v>
      </c>
      <c r="B1434" t="str">
        <f t="shared" si="44"/>
        <v>S-S40 komplet okuć</v>
      </c>
      <c r="C1434" s="185">
        <f t="shared" si="45"/>
        <v>92.723010000000002</v>
      </c>
      <c r="D1434" s="407" t="s">
        <v>7482</v>
      </c>
      <c r="E1434" s="407" t="s">
        <v>7483</v>
      </c>
      <c r="F1434" s="407" t="s">
        <v>7484</v>
      </c>
      <c r="G1434" s="407" t="s">
        <v>7485</v>
      </c>
      <c r="H1434" s="460">
        <v>492.45</v>
      </c>
      <c r="I1434" s="460">
        <v>21.01763</v>
      </c>
      <c r="J1434" s="460">
        <v>92.723010000000002</v>
      </c>
      <c r="K1434" s="460" t="e">
        <v>#N/A</v>
      </c>
      <c r="L1434" s="459" t="s">
        <v>537</v>
      </c>
      <c r="O1434">
        <v>17.716059999999999</v>
      </c>
      <c r="P1434" t="s">
        <v>9819</v>
      </c>
    </row>
    <row r="1435" spans="1:16" ht="14.4" x14ac:dyDescent="0.3">
      <c r="A1435">
        <v>88396</v>
      </c>
      <c r="B1435" t="str">
        <f t="shared" si="44"/>
        <v>S-S50 listwa dolna elox alu 3m</v>
      </c>
      <c r="C1435" s="185" t="e">
        <f t="shared" si="45"/>
        <v>#N/A</v>
      </c>
      <c r="D1435" s="407" t="s">
        <v>7486</v>
      </c>
      <c r="E1435" s="407" t="s">
        <v>7487</v>
      </c>
      <c r="F1435" s="407" t="s">
        <v>7488</v>
      </c>
      <c r="G1435" s="407" t="s">
        <v>7489</v>
      </c>
      <c r="H1435" s="460" t="e">
        <v>#N/A</v>
      </c>
      <c r="I1435" s="460" t="e">
        <v>#N/A</v>
      </c>
      <c r="J1435" s="460" t="e">
        <v>#N/A</v>
      </c>
      <c r="K1435" s="460" t="e">
        <v>#N/A</v>
      </c>
      <c r="L1435" s="459" t="e">
        <v>#N/A</v>
      </c>
      <c r="O1435">
        <v>0</v>
      </c>
      <c r="P1435" t="s">
        <v>9820</v>
      </c>
    </row>
    <row r="1436" spans="1:16" ht="14.4" x14ac:dyDescent="0.3">
      <c r="A1436">
        <v>88398</v>
      </c>
      <c r="B1436" t="str">
        <f t="shared" si="44"/>
        <v>S-S60H komplet okuć (H60)</v>
      </c>
      <c r="C1436" s="185">
        <f t="shared" si="45"/>
        <v>89.955160000000006</v>
      </c>
      <c r="D1436" s="407" t="s">
        <v>7490</v>
      </c>
      <c r="E1436" s="407" t="s">
        <v>7491</v>
      </c>
      <c r="F1436" s="407" t="s">
        <v>7492</v>
      </c>
      <c r="G1436" s="407" t="s">
        <v>7493</v>
      </c>
      <c r="H1436" s="460">
        <v>477.75</v>
      </c>
      <c r="I1436" s="460">
        <v>20.390219999999999</v>
      </c>
      <c r="J1436" s="460">
        <v>89.955160000000006</v>
      </c>
      <c r="K1436" s="460" t="e">
        <v>#N/A</v>
      </c>
      <c r="L1436" s="459" t="s">
        <v>537</v>
      </c>
      <c r="O1436">
        <v>17.191569999999999</v>
      </c>
      <c r="P1436" t="s">
        <v>9821</v>
      </c>
    </row>
    <row r="1437" spans="1:16" ht="14.4" x14ac:dyDescent="0.3">
      <c r="A1437">
        <v>88803</v>
      </c>
      <c r="B1437" t="str">
        <f t="shared" si="44"/>
        <v>S-S08 profil uchwytowy alu elox 2,7m</v>
      </c>
      <c r="C1437" s="185" t="e">
        <f t="shared" si="45"/>
        <v>#N/A</v>
      </c>
      <c r="D1437" s="407" t="s">
        <v>7494</v>
      </c>
      <c r="E1437" s="407" t="s">
        <v>7495</v>
      </c>
      <c r="F1437" s="407" t="s">
        <v>7494</v>
      </c>
      <c r="G1437" s="407" t="s">
        <v>7496</v>
      </c>
      <c r="H1437" s="460" t="e">
        <v>#N/A</v>
      </c>
      <c r="I1437" s="460" t="e">
        <v>#N/A</v>
      </c>
      <c r="J1437" s="460" t="e">
        <v>#N/A</v>
      </c>
      <c r="K1437" s="460" t="e">
        <v>#N/A</v>
      </c>
      <c r="L1437" s="459" t="e">
        <v>#N/A</v>
      </c>
      <c r="O1437">
        <v>12.52946</v>
      </c>
      <c r="P1437" t="s">
        <v>9822</v>
      </c>
    </row>
    <row r="1438" spans="1:16" ht="14.4" x14ac:dyDescent="0.3">
      <c r="A1438">
        <v>88968</v>
      </c>
      <c r="B1438" t="str">
        <f t="shared" si="44"/>
        <v>S-S03 profil prowadzący alu elox 1,25m</v>
      </c>
      <c r="C1438" s="185" t="e">
        <f t="shared" si="45"/>
        <v>#N/A</v>
      </c>
      <c r="D1438" s="407" t="s">
        <v>7497</v>
      </c>
      <c r="E1438" s="407" t="s">
        <v>7498</v>
      </c>
      <c r="F1438" s="407" t="s">
        <v>7499</v>
      </c>
      <c r="G1438" s="407" t="s">
        <v>7500</v>
      </c>
      <c r="H1438" s="460" t="e">
        <v>#N/A</v>
      </c>
      <c r="I1438" s="460" t="e">
        <v>#N/A</v>
      </c>
      <c r="J1438" s="460" t="e">
        <v>#N/A</v>
      </c>
      <c r="K1438" s="460" t="e">
        <v>#N/A</v>
      </c>
      <c r="L1438" s="459" t="e">
        <v>#N/A</v>
      </c>
      <c r="O1438">
        <v>0</v>
      </c>
      <c r="P1438" t="s">
        <v>9823</v>
      </c>
    </row>
    <row r="1439" spans="1:16" ht="14.4" x14ac:dyDescent="0.3">
      <c r="A1439">
        <v>87311</v>
      </c>
      <c r="B1439" t="str">
        <f t="shared" si="44"/>
        <v>S-S37 komplet okuć 1 skrzydło</v>
      </c>
      <c r="C1439" s="185">
        <f t="shared" si="45"/>
        <v>75.56232</v>
      </c>
      <c r="D1439" s="407" t="s">
        <v>7501</v>
      </c>
      <c r="E1439" s="407" t="s">
        <v>7502</v>
      </c>
      <c r="F1439" s="407" t="s">
        <v>7503</v>
      </c>
      <c r="G1439" s="407" t="s">
        <v>7504</v>
      </c>
      <c r="H1439" s="460">
        <v>401.31</v>
      </c>
      <c r="I1439" s="460">
        <v>17.127780000000001</v>
      </c>
      <c r="J1439" s="460">
        <v>75.56232</v>
      </c>
      <c r="K1439" s="460" t="e">
        <v>#N/A</v>
      </c>
      <c r="L1439" s="459" t="s">
        <v>537</v>
      </c>
      <c r="O1439">
        <v>14.452579999999999</v>
      </c>
      <c r="P1439" t="s">
        <v>9824</v>
      </c>
    </row>
    <row r="1440" spans="1:16" ht="14.4" x14ac:dyDescent="0.3">
      <c r="A1440">
        <v>87312</v>
      </c>
      <c r="B1440" t="str">
        <f t="shared" si="44"/>
        <v>S-S50 górna listwa do zafrezowania aluminium surowe 3m</v>
      </c>
      <c r="C1440" s="185">
        <f t="shared" si="45"/>
        <v>81.758080000000007</v>
      </c>
      <c r="D1440" s="407" t="s">
        <v>7505</v>
      </c>
      <c r="E1440" s="407" t="s">
        <v>7506</v>
      </c>
      <c r="F1440" s="407" t="s">
        <v>7507</v>
      </c>
      <c r="G1440" s="407" t="s">
        <v>7508</v>
      </c>
      <c r="H1440" s="460">
        <v>419.32799999999997</v>
      </c>
      <c r="I1440" s="460">
        <v>25.920940000000002</v>
      </c>
      <c r="J1440" s="460">
        <v>81.758080000000007</v>
      </c>
      <c r="K1440" s="460" t="e">
        <v>#N/A</v>
      </c>
      <c r="L1440" s="459" t="s">
        <v>538</v>
      </c>
      <c r="O1440">
        <v>28.23668</v>
      </c>
      <c r="P1440" t="s">
        <v>9825</v>
      </c>
    </row>
    <row r="1441" spans="1:16" ht="14.4" x14ac:dyDescent="0.3">
      <c r="A1441">
        <v>87313</v>
      </c>
      <c r="B1441" t="str">
        <f t="shared" si="44"/>
        <v>S-S50 górna listwa do zafrezowania aluminium surowe 2m</v>
      </c>
      <c r="C1441" s="185">
        <f t="shared" si="45"/>
        <v>54.505360000000003</v>
      </c>
      <c r="D1441" s="407" t="s">
        <v>7509</v>
      </c>
      <c r="E1441" s="407" t="s">
        <v>7510</v>
      </c>
      <c r="F1441" s="407" t="s">
        <v>7511</v>
      </c>
      <c r="G1441" s="407" t="s">
        <v>7512</v>
      </c>
      <c r="H1441" s="460">
        <v>279.55200000000002</v>
      </c>
      <c r="I1441" s="460">
        <v>17.28059</v>
      </c>
      <c r="J1441" s="460">
        <v>54.505360000000003</v>
      </c>
      <c r="K1441" s="460" t="e">
        <v>#N/A</v>
      </c>
      <c r="L1441" s="459" t="s">
        <v>538</v>
      </c>
      <c r="O1441">
        <v>18.794450000000001</v>
      </c>
      <c r="P1441" t="s">
        <v>9826</v>
      </c>
    </row>
    <row r="1442" spans="1:16" ht="14.4" x14ac:dyDescent="0.3">
      <c r="A1442">
        <v>87314</v>
      </c>
      <c r="B1442" t="str">
        <f t="shared" si="44"/>
        <v>S-S03 profil prowadzący anoda 3m</v>
      </c>
      <c r="C1442" s="185">
        <f t="shared" si="45"/>
        <v>40.95628</v>
      </c>
      <c r="D1442" s="407" t="s">
        <v>7513</v>
      </c>
      <c r="E1442" s="407" t="s">
        <v>7514</v>
      </c>
      <c r="F1442" s="407" t="s">
        <v>7515</v>
      </c>
      <c r="G1442" s="407" t="s">
        <v>7516</v>
      </c>
      <c r="H1442" s="460">
        <v>185.22</v>
      </c>
      <c r="I1442" s="460">
        <v>7.8725300000000002</v>
      </c>
      <c r="J1442" s="460">
        <v>40.95628</v>
      </c>
      <c r="K1442" s="460" t="e">
        <v>#N/A</v>
      </c>
      <c r="L1442" s="459" t="s">
        <v>538</v>
      </c>
      <c r="O1442">
        <v>8.3051600000000008</v>
      </c>
      <c r="P1442" t="s">
        <v>9827</v>
      </c>
    </row>
    <row r="1443" spans="1:16" ht="14.4" x14ac:dyDescent="0.3">
      <c r="A1443">
        <v>87315</v>
      </c>
      <c r="B1443" t="str">
        <f t="shared" si="44"/>
        <v>S-S03 profil prowadzący anoda 2m</v>
      </c>
      <c r="C1443" s="185">
        <f t="shared" si="45"/>
        <v>27.304449999999999</v>
      </c>
      <c r="D1443" s="407" t="s">
        <v>7517</v>
      </c>
      <c r="E1443" s="407" t="s">
        <v>7518</v>
      </c>
      <c r="F1443" s="407" t="s">
        <v>7519</v>
      </c>
      <c r="G1443" s="407" t="s">
        <v>7520</v>
      </c>
      <c r="H1443" s="460">
        <v>123.48</v>
      </c>
      <c r="I1443" s="460">
        <v>5.2375499999999997</v>
      </c>
      <c r="J1443" s="460">
        <v>27.304449999999999</v>
      </c>
      <c r="K1443" s="460" t="e">
        <v>#N/A</v>
      </c>
      <c r="L1443" s="459" t="s">
        <v>538</v>
      </c>
      <c r="O1443">
        <v>5.5368399999999998</v>
      </c>
      <c r="P1443" t="s">
        <v>9828</v>
      </c>
    </row>
    <row r="1444" spans="1:16" ht="14.4" x14ac:dyDescent="0.3">
      <c r="A1444">
        <v>88630</v>
      </c>
      <c r="B1444" t="str">
        <f t="shared" si="44"/>
        <v>S-S27AL komplet okuć do drzwiczek aluminiowych 25 kg</v>
      </c>
      <c r="C1444" s="185">
        <f t="shared" si="45"/>
        <v>80.544460000000001</v>
      </c>
      <c r="D1444" s="407" t="s">
        <v>7521</v>
      </c>
      <c r="E1444" s="407" t="s">
        <v>7522</v>
      </c>
      <c r="F1444" s="407" t="s">
        <v>7523</v>
      </c>
      <c r="G1444" s="407" t="s">
        <v>7524</v>
      </c>
      <c r="H1444" s="460">
        <v>427.77</v>
      </c>
      <c r="I1444" s="460">
        <v>18.257079999999998</v>
      </c>
      <c r="J1444" s="460">
        <v>80.544460000000001</v>
      </c>
      <c r="K1444" s="460" t="e">
        <v>#N/A</v>
      </c>
      <c r="L1444" s="459" t="s">
        <v>538</v>
      </c>
      <c r="O1444">
        <v>15.387409999999999</v>
      </c>
      <c r="P1444" t="s">
        <v>9829</v>
      </c>
    </row>
    <row r="1445" spans="1:16" ht="14.4" x14ac:dyDescent="0.3">
      <c r="A1445">
        <v>88631</v>
      </c>
      <c r="B1445" t="str">
        <f t="shared" si="44"/>
        <v>S-S37AL komplet okuć do drzwiczek aluminiowych 35 kg</v>
      </c>
      <c r="C1445" s="185">
        <f t="shared" si="45"/>
        <v>84.419460000000001</v>
      </c>
      <c r="D1445" s="407" t="s">
        <v>7525</v>
      </c>
      <c r="E1445" s="407" t="s">
        <v>7526</v>
      </c>
      <c r="F1445" s="407" t="s">
        <v>7527</v>
      </c>
      <c r="G1445" s="407" t="s">
        <v>7528</v>
      </c>
      <c r="H1445" s="460">
        <v>448.35</v>
      </c>
      <c r="I1445" s="460">
        <v>19.135439999999999</v>
      </c>
      <c r="J1445" s="460">
        <v>84.419460000000001</v>
      </c>
      <c r="K1445" s="460" t="e">
        <v>#N/A</v>
      </c>
      <c r="L1445" s="459" t="s">
        <v>538</v>
      </c>
      <c r="O1445">
        <v>16.142600000000002</v>
      </c>
      <c r="P1445" t="s">
        <v>9830</v>
      </c>
    </row>
    <row r="1446" spans="1:16" ht="14.4" x14ac:dyDescent="0.3">
      <c r="A1446">
        <v>88632</v>
      </c>
      <c r="B1446" t="str">
        <f t="shared" si="44"/>
        <v>S-S40H komplet okuć (H40HARD)</v>
      </c>
      <c r="C1446" s="185">
        <f t="shared" si="45"/>
        <v>101.85692</v>
      </c>
      <c r="D1446" s="407" t="s">
        <v>7529</v>
      </c>
      <c r="E1446" s="407" t="s">
        <v>7530</v>
      </c>
      <c r="F1446" s="407" t="s">
        <v>7531</v>
      </c>
      <c r="G1446" s="407" t="s">
        <v>7532</v>
      </c>
      <c r="H1446" s="460">
        <v>540.96</v>
      </c>
      <c r="I1446" s="460">
        <v>23.088000000000001</v>
      </c>
      <c r="J1446" s="460">
        <v>101.85692</v>
      </c>
      <c r="K1446" s="460" t="e">
        <v>#N/A</v>
      </c>
      <c r="L1446" s="459" t="s">
        <v>537</v>
      </c>
      <c r="O1446">
        <v>19.46435</v>
      </c>
      <c r="P1446" t="s">
        <v>9831</v>
      </c>
    </row>
    <row r="1447" spans="1:16" ht="14.4" x14ac:dyDescent="0.3">
      <c r="A1447">
        <v>88633</v>
      </c>
      <c r="B1447" t="str">
        <f t="shared" si="44"/>
        <v>S-S20/30 ogranicznik czarny/brązowy</v>
      </c>
      <c r="C1447" s="185">
        <f t="shared" si="45"/>
        <v>1.9375</v>
      </c>
      <c r="D1447" s="407" t="s">
        <v>7533</v>
      </c>
      <c r="E1447" s="407" t="s">
        <v>7534</v>
      </c>
      <c r="F1447" s="407" t="s">
        <v>7535</v>
      </c>
      <c r="G1447" s="407" t="s">
        <v>7536</v>
      </c>
      <c r="H1447" s="460">
        <v>10.29</v>
      </c>
      <c r="I1447" s="460">
        <v>0.43917</v>
      </c>
      <c r="J1447" s="460">
        <v>1.9375</v>
      </c>
      <c r="K1447" s="460" t="e">
        <v>#N/A</v>
      </c>
      <c r="L1447" s="459" t="s">
        <v>538</v>
      </c>
      <c r="O1447">
        <v>0.37014999999999998</v>
      </c>
      <c r="P1447" t="s">
        <v>9832</v>
      </c>
    </row>
    <row r="1448" spans="1:16" ht="14.4" x14ac:dyDescent="0.3">
      <c r="A1448">
        <v>88634</v>
      </c>
      <c r="B1448" t="str">
        <f t="shared" si="44"/>
        <v>S-S40/80 prowadzenie</v>
      </c>
      <c r="C1448" s="185" t="e">
        <f t="shared" si="45"/>
        <v>#N/A</v>
      </c>
      <c r="D1448" s="407" t="s">
        <v>7537</v>
      </c>
      <c r="E1448" s="407" t="s">
        <v>7538</v>
      </c>
      <c r="F1448" s="407" t="s">
        <v>7539</v>
      </c>
      <c r="G1448" s="407" t="s">
        <v>7540</v>
      </c>
      <c r="H1448" s="460" t="e">
        <v>#N/A</v>
      </c>
      <c r="I1448" s="460" t="e">
        <v>#N/A</v>
      </c>
      <c r="J1448" s="460" t="e">
        <v>#N/A</v>
      </c>
      <c r="K1448" s="460" t="e">
        <v>#N/A</v>
      </c>
      <c r="L1448" s="459" t="e">
        <v>#N/A</v>
      </c>
      <c r="O1448">
        <v>0.29137999999999997</v>
      </c>
      <c r="P1448" t="s">
        <v>9833</v>
      </c>
    </row>
    <row r="1449" spans="1:16" ht="14.4" x14ac:dyDescent="0.3">
      <c r="A1449">
        <v>88635</v>
      </c>
      <c r="B1449" t="str">
        <f t="shared" si="44"/>
        <v>S-hamulec S36 (H60) część kompletu S36</v>
      </c>
      <c r="C1449" s="185">
        <f t="shared" si="45"/>
        <v>3.5981999999999998</v>
      </c>
      <c r="D1449" s="407" t="s">
        <v>7541</v>
      </c>
      <c r="E1449" s="407" t="s">
        <v>7542</v>
      </c>
      <c r="F1449" s="407" t="s">
        <v>7543</v>
      </c>
      <c r="G1449" s="407" t="s">
        <v>7544</v>
      </c>
      <c r="H1449" s="460">
        <v>19.11</v>
      </c>
      <c r="I1449" s="460">
        <v>0.81560999999999995</v>
      </c>
      <c r="J1449" s="460">
        <v>3.5981999999999998</v>
      </c>
      <c r="K1449" s="460" t="e">
        <v>#N/A</v>
      </c>
      <c r="L1449" s="459" t="s">
        <v>537</v>
      </c>
      <c r="O1449">
        <v>0.69932000000000005</v>
      </c>
      <c r="P1449" t="s">
        <v>9834</v>
      </c>
    </row>
    <row r="1450" spans="1:16" ht="14.4" x14ac:dyDescent="0.3">
      <c r="A1450">
        <v>88636</v>
      </c>
      <c r="B1450" t="str">
        <f t="shared" si="44"/>
        <v>S-S40/80 zawieszka ścienna (H40/80)</v>
      </c>
      <c r="C1450" s="185" t="e">
        <f t="shared" si="45"/>
        <v>#N/A</v>
      </c>
      <c r="D1450" s="407" t="s">
        <v>7545</v>
      </c>
      <c r="E1450" s="407" t="s">
        <v>7546</v>
      </c>
      <c r="F1450" s="407" t="s">
        <v>7547</v>
      </c>
      <c r="G1450" s="407" t="s">
        <v>7548</v>
      </c>
      <c r="H1450" s="460" t="e">
        <v>#N/A</v>
      </c>
      <c r="I1450" s="460" t="e">
        <v>#N/A</v>
      </c>
      <c r="J1450" s="460" t="e">
        <v>#N/A</v>
      </c>
      <c r="K1450" s="460" t="e">
        <v>#N/A</v>
      </c>
      <c r="L1450" s="459" t="e">
        <v>#N/A</v>
      </c>
      <c r="O1450">
        <v>1.63174</v>
      </c>
      <c r="P1450" t="s">
        <v>9835</v>
      </c>
    </row>
    <row r="1451" spans="1:16" ht="14.4" x14ac:dyDescent="0.3">
      <c r="A1451">
        <v>88643</v>
      </c>
      <c r="B1451" t="str">
        <f t="shared" si="44"/>
        <v>S-S25 górna listwa alu elox 2m</v>
      </c>
      <c r="C1451" s="185" t="e">
        <f t="shared" si="45"/>
        <v>#N/A</v>
      </c>
      <c r="D1451" s="407" t="s">
        <v>7549</v>
      </c>
      <c r="E1451" s="407" t="s">
        <v>7550</v>
      </c>
      <c r="F1451" s="407" t="s">
        <v>7551</v>
      </c>
      <c r="G1451" s="407" t="s">
        <v>7552</v>
      </c>
      <c r="H1451" s="460" t="e">
        <v>#N/A</v>
      </c>
      <c r="I1451" s="460" t="e">
        <v>#N/A</v>
      </c>
      <c r="J1451" s="460" t="e">
        <v>#N/A</v>
      </c>
      <c r="K1451" s="460" t="e">
        <v>#N/A</v>
      </c>
      <c r="L1451" s="459" t="e">
        <v>#N/A</v>
      </c>
      <c r="O1451">
        <v>0</v>
      </c>
      <c r="P1451" t="s">
        <v>9836</v>
      </c>
    </row>
    <row r="1452" spans="1:16" ht="14.4" x14ac:dyDescent="0.3">
      <c r="A1452">
        <v>88644</v>
      </c>
      <c r="B1452" t="str">
        <f t="shared" si="44"/>
        <v>S-S25 górna listwa alu elox 3m</v>
      </c>
      <c r="C1452" s="185" t="e">
        <f t="shared" si="45"/>
        <v>#N/A</v>
      </c>
      <c r="D1452" s="407" t="s">
        <v>7553</v>
      </c>
      <c r="E1452" s="407" t="s">
        <v>7554</v>
      </c>
      <c r="F1452" s="407" t="s">
        <v>7555</v>
      </c>
      <c r="G1452" s="407" t="s">
        <v>7556</v>
      </c>
      <c r="H1452" s="460" t="e">
        <v>#N/A</v>
      </c>
      <c r="I1452" s="460" t="e">
        <v>#N/A</v>
      </c>
      <c r="J1452" s="460" t="e">
        <v>#N/A</v>
      </c>
      <c r="K1452" s="460" t="e">
        <v>#N/A</v>
      </c>
      <c r="L1452" s="459" t="e">
        <v>#N/A</v>
      </c>
      <c r="O1452">
        <v>0</v>
      </c>
      <c r="P1452" t="s">
        <v>9837</v>
      </c>
    </row>
    <row r="1453" spans="1:16" ht="14.4" x14ac:dyDescent="0.3">
      <c r="A1453">
        <v>88645</v>
      </c>
      <c r="B1453" t="str">
        <f t="shared" si="44"/>
        <v>S-S25 górna listwa alu surowa 2m</v>
      </c>
      <c r="C1453" s="185" t="e">
        <f t="shared" si="45"/>
        <v>#N/A</v>
      </c>
      <c r="D1453" s="407" t="s">
        <v>7557</v>
      </c>
      <c r="E1453" s="407" t="s">
        <v>7558</v>
      </c>
      <c r="F1453" s="407" t="s">
        <v>7559</v>
      </c>
      <c r="G1453" s="407" t="s">
        <v>7560</v>
      </c>
      <c r="H1453" s="460" t="e">
        <v>#N/A</v>
      </c>
      <c r="I1453" s="460" t="e">
        <v>#N/A</v>
      </c>
      <c r="J1453" s="460" t="e">
        <v>#N/A</v>
      </c>
      <c r="K1453" s="460" t="e">
        <v>#N/A</v>
      </c>
      <c r="L1453" s="459" t="e">
        <v>#N/A</v>
      </c>
      <c r="O1453">
        <v>0</v>
      </c>
      <c r="P1453" t="s">
        <v>9838</v>
      </c>
    </row>
    <row r="1454" spans="1:16" ht="14.4" x14ac:dyDescent="0.3">
      <c r="A1454">
        <v>89690</v>
      </c>
      <c r="B1454" t="str">
        <f t="shared" si="44"/>
        <v>S-S03 profil wodzący alu elox 2,5m</v>
      </c>
      <c r="C1454" s="185" t="e">
        <f t="shared" si="45"/>
        <v>#N/A</v>
      </c>
      <c r="D1454" s="407" t="s">
        <v>7561</v>
      </c>
      <c r="E1454" s="407" t="s">
        <v>7562</v>
      </c>
      <c r="F1454" s="407" t="s">
        <v>7563</v>
      </c>
      <c r="G1454" s="407" t="s">
        <v>7564</v>
      </c>
      <c r="H1454" s="460" t="e">
        <v>#N/A</v>
      </c>
      <c r="I1454" s="460" t="e">
        <v>#N/A</v>
      </c>
      <c r="J1454" s="460" t="e">
        <v>#N/A</v>
      </c>
      <c r="K1454" s="460" t="e">
        <v>#N/A</v>
      </c>
      <c r="L1454" s="459" t="e">
        <v>#N/A</v>
      </c>
      <c r="O1454">
        <v>0</v>
      </c>
      <c r="P1454" t="s">
        <v>9839</v>
      </c>
    </row>
    <row r="1455" spans="1:16" ht="14.4" x14ac:dyDescent="0.3">
      <c r="A1455">
        <v>266434</v>
      </c>
      <c r="B1455" t="e">
        <f t="shared" si="44"/>
        <v>#N/A</v>
      </c>
      <c r="C1455" s="185" t="e">
        <f t="shared" si="45"/>
        <v>#N/A</v>
      </c>
      <c r="D1455" s="407" t="e">
        <v>#N/A</v>
      </c>
      <c r="E1455" s="407" t="e">
        <v>#N/A</v>
      </c>
      <c r="F1455" s="407" t="e">
        <v>#N/A</v>
      </c>
      <c r="G1455" s="407" t="e">
        <v>#N/A</v>
      </c>
      <c r="H1455" s="460" t="e">
        <v>#N/A</v>
      </c>
      <c r="I1455" s="460" t="e">
        <v>#N/A</v>
      </c>
      <c r="J1455" s="460" t="e">
        <v>#N/A</v>
      </c>
      <c r="K1455" s="460" t="e">
        <v>#N/A</v>
      </c>
      <c r="L1455" s="459" t="e">
        <v>#N/A</v>
      </c>
      <c r="O1455" t="e">
        <v>#N/A</v>
      </c>
      <c r="P1455" t="e">
        <v>#N/A</v>
      </c>
    </row>
    <row r="1456" spans="1:16" ht="14.4" x14ac:dyDescent="0.3">
      <c r="A1456">
        <v>266435</v>
      </c>
      <c r="B1456" t="e">
        <f t="shared" si="44"/>
        <v>#N/A</v>
      </c>
      <c r="C1456" s="185" t="e">
        <f t="shared" si="45"/>
        <v>#N/A</v>
      </c>
      <c r="D1456" s="407" t="e">
        <v>#N/A</v>
      </c>
      <c r="E1456" s="407" t="e">
        <v>#N/A</v>
      </c>
      <c r="F1456" s="407" t="e">
        <v>#N/A</v>
      </c>
      <c r="G1456" s="407" t="e">
        <v>#N/A</v>
      </c>
      <c r="H1456" s="460" t="e">
        <v>#N/A</v>
      </c>
      <c r="I1456" s="460" t="e">
        <v>#N/A</v>
      </c>
      <c r="J1456" s="460" t="e">
        <v>#N/A</v>
      </c>
      <c r="K1456" s="460" t="e">
        <v>#N/A</v>
      </c>
      <c r="L1456" s="459" t="e">
        <v>#N/A</v>
      </c>
      <c r="O1456" t="e">
        <v>#N/A</v>
      </c>
      <c r="P1456" t="e">
        <v>#N/A</v>
      </c>
    </row>
    <row r="1457" spans="1:16" ht="14.4" x14ac:dyDescent="0.3">
      <c r="A1457">
        <v>266436</v>
      </c>
      <c r="B1457" t="e">
        <f t="shared" si="44"/>
        <v>#N/A</v>
      </c>
      <c r="C1457" s="185" t="e">
        <f t="shared" si="45"/>
        <v>#N/A</v>
      </c>
      <c r="D1457" s="407" t="e">
        <v>#N/A</v>
      </c>
      <c r="E1457" s="407" t="e">
        <v>#N/A</v>
      </c>
      <c r="F1457" s="407" t="e">
        <v>#N/A</v>
      </c>
      <c r="G1457" s="407" t="e">
        <v>#N/A</v>
      </c>
      <c r="H1457" s="460" t="e">
        <v>#N/A</v>
      </c>
      <c r="I1457" s="460" t="e">
        <v>#N/A</v>
      </c>
      <c r="J1457" s="460" t="e">
        <v>#N/A</v>
      </c>
      <c r="K1457" s="460" t="e">
        <v>#N/A</v>
      </c>
      <c r="L1457" s="459" t="e">
        <v>#N/A</v>
      </c>
      <c r="O1457" t="e">
        <v>#N/A</v>
      </c>
      <c r="P1457" t="e">
        <v>#N/A</v>
      </c>
    </row>
    <row r="1458" spans="1:16" ht="14.4" x14ac:dyDescent="0.3">
      <c r="A1458">
        <v>266437</v>
      </c>
      <c r="B1458" t="e">
        <f t="shared" si="44"/>
        <v>#N/A</v>
      </c>
      <c r="C1458" s="185" t="e">
        <f t="shared" si="45"/>
        <v>#N/A</v>
      </c>
      <c r="D1458" s="407" t="e">
        <v>#N/A</v>
      </c>
      <c r="E1458" s="407" t="e">
        <v>#N/A</v>
      </c>
      <c r="F1458" s="407" t="e">
        <v>#N/A</v>
      </c>
      <c r="G1458" s="407" t="e">
        <v>#N/A</v>
      </c>
      <c r="H1458" s="460" t="e">
        <v>#N/A</v>
      </c>
      <c r="I1458" s="460" t="e">
        <v>#N/A</v>
      </c>
      <c r="J1458" s="460" t="e">
        <v>#N/A</v>
      </c>
      <c r="K1458" s="460" t="e">
        <v>#N/A</v>
      </c>
      <c r="L1458" s="459" t="e">
        <v>#N/A</v>
      </c>
      <c r="O1458" t="e">
        <v>#N/A</v>
      </c>
      <c r="P1458" t="e">
        <v>#N/A</v>
      </c>
    </row>
    <row r="1459" spans="1:16" ht="14.4" x14ac:dyDescent="0.3">
      <c r="A1459">
        <v>375328</v>
      </c>
      <c r="B1459" t="str">
        <f t="shared" si="44"/>
        <v>SEVROLL Klamra ścienna do płyty 16 - 25mm</v>
      </c>
      <c r="C1459" s="185">
        <f t="shared" si="45"/>
        <v>7.9903700000000004</v>
      </c>
      <c r="D1459" s="407" t="s">
        <v>1403</v>
      </c>
      <c r="E1459" s="407" t="s">
        <v>1848</v>
      </c>
      <c r="F1459" s="407" t="s">
        <v>5859</v>
      </c>
      <c r="G1459" s="407" t="s">
        <v>5860</v>
      </c>
      <c r="H1459" s="460">
        <v>62.091329999999999</v>
      </c>
      <c r="I1459" s="460">
        <v>2.3420299999999998</v>
      </c>
      <c r="J1459" s="460">
        <v>7.9903700000000004</v>
      </c>
      <c r="K1459" s="460">
        <v>883.74058000000002</v>
      </c>
      <c r="L1459" s="459" t="s">
        <v>539</v>
      </c>
      <c r="O1459">
        <v>1.98</v>
      </c>
      <c r="P1459" t="s">
        <v>9840</v>
      </c>
    </row>
    <row r="1460" spans="1:16" ht="14.4" x14ac:dyDescent="0.3">
      <c r="A1460">
        <v>375331</v>
      </c>
      <c r="B1460" t="str">
        <f t="shared" si="44"/>
        <v>SEVROLL 214-694 Herkules II listwa maskująca 1,8m srebrna</v>
      </c>
      <c r="C1460" s="185" t="e">
        <f t="shared" si="45"/>
        <v>#N/A</v>
      </c>
      <c r="D1460" s="407" t="s">
        <v>1404</v>
      </c>
      <c r="E1460" s="407" t="s">
        <v>1849</v>
      </c>
      <c r="F1460" s="407" t="s">
        <v>5861</v>
      </c>
      <c r="G1460" s="407" t="s">
        <v>5862</v>
      </c>
      <c r="H1460" s="460" t="e">
        <v>#N/A</v>
      </c>
      <c r="I1460" s="460" t="e">
        <v>#N/A</v>
      </c>
      <c r="J1460" s="460" t="e">
        <v>#N/A</v>
      </c>
      <c r="K1460" s="460" t="e">
        <v>#N/A</v>
      </c>
      <c r="L1460" s="459" t="e">
        <v>#N/A</v>
      </c>
      <c r="O1460" t="e">
        <v>#N/A</v>
      </c>
      <c r="P1460" t="e">
        <v>#N/A</v>
      </c>
    </row>
    <row r="1461" spans="1:16" ht="14.4" x14ac:dyDescent="0.3">
      <c r="A1461">
        <v>375471</v>
      </c>
      <c r="B1461" t="e">
        <f t="shared" si="44"/>
        <v>#N/A</v>
      </c>
      <c r="C1461" s="185" t="e">
        <f t="shared" si="45"/>
        <v>#N/A</v>
      </c>
      <c r="D1461" s="407" t="e">
        <v>#N/A</v>
      </c>
      <c r="E1461" s="407" t="e">
        <v>#N/A</v>
      </c>
      <c r="F1461" s="407" t="e">
        <v>#N/A</v>
      </c>
      <c r="G1461" s="407" t="e">
        <v>#N/A</v>
      </c>
      <c r="H1461" s="460" t="e">
        <v>#N/A</v>
      </c>
      <c r="I1461" s="460" t="e">
        <v>#N/A</v>
      </c>
      <c r="J1461" s="460" t="e">
        <v>#N/A</v>
      </c>
      <c r="K1461" s="460" t="e">
        <v>#N/A</v>
      </c>
      <c r="L1461" s="459" t="e">
        <v>#N/A</v>
      </c>
      <c r="O1461" t="e">
        <v>#N/A</v>
      </c>
      <c r="P1461" t="e">
        <v>#N/A</v>
      </c>
    </row>
    <row r="1462" spans="1:16" ht="14.4" x14ac:dyDescent="0.3">
      <c r="A1462">
        <v>375472</v>
      </c>
      <c r="B1462" t="e">
        <f t="shared" si="44"/>
        <v>#N/A</v>
      </c>
      <c r="C1462" s="185" t="e">
        <f t="shared" si="45"/>
        <v>#N/A</v>
      </c>
      <c r="D1462" s="407" t="e">
        <v>#N/A</v>
      </c>
      <c r="E1462" s="407" t="e">
        <v>#N/A</v>
      </c>
      <c r="F1462" s="407" t="e">
        <v>#N/A</v>
      </c>
      <c r="G1462" s="407" t="e">
        <v>#N/A</v>
      </c>
      <c r="H1462" s="460" t="e">
        <v>#N/A</v>
      </c>
      <c r="I1462" s="460" t="e">
        <v>#N/A</v>
      </c>
      <c r="J1462" s="460" t="e">
        <v>#N/A</v>
      </c>
      <c r="K1462" s="460" t="e">
        <v>#N/A</v>
      </c>
      <c r="L1462" s="459" t="e">
        <v>#N/A</v>
      </c>
      <c r="O1462" t="e">
        <v>#N/A</v>
      </c>
      <c r="P1462" t="e">
        <v>#N/A</v>
      </c>
    </row>
    <row r="1463" spans="1:16" ht="14.4" x14ac:dyDescent="0.3">
      <c r="A1463">
        <v>87340</v>
      </c>
      <c r="B1463" t="e">
        <f t="shared" si="44"/>
        <v>#N/A</v>
      </c>
      <c r="C1463" s="185" t="e">
        <f t="shared" si="45"/>
        <v>#N/A</v>
      </c>
      <c r="D1463" s="407" t="e">
        <v>#N/A</v>
      </c>
      <c r="E1463" s="407" t="e">
        <v>#N/A</v>
      </c>
      <c r="F1463" s="407" t="e">
        <v>#N/A</v>
      </c>
      <c r="G1463" s="407" t="e">
        <v>#N/A</v>
      </c>
      <c r="H1463" s="460" t="e">
        <v>#N/A</v>
      </c>
      <c r="I1463" s="460" t="e">
        <v>#N/A</v>
      </c>
      <c r="J1463" s="460" t="e">
        <v>#N/A</v>
      </c>
      <c r="K1463" s="460" t="e">
        <v>#N/A</v>
      </c>
      <c r="L1463" s="459" t="e">
        <v>#N/A</v>
      </c>
      <c r="O1463" t="e">
        <v>#N/A</v>
      </c>
      <c r="P1463" t="e">
        <v>#N/A</v>
      </c>
    </row>
    <row r="1464" spans="1:16" ht="14.4" x14ac:dyDescent="0.3">
      <c r="A1464">
        <v>87341</v>
      </c>
      <c r="B1464" t="e">
        <f t="shared" si="44"/>
        <v>#N/A</v>
      </c>
      <c r="C1464" s="185" t="e">
        <f t="shared" si="45"/>
        <v>#N/A</v>
      </c>
      <c r="D1464" s="407" t="e">
        <v>#N/A</v>
      </c>
      <c r="E1464" s="407" t="e">
        <v>#N/A</v>
      </c>
      <c r="F1464" s="407" t="e">
        <v>#N/A</v>
      </c>
      <c r="G1464" s="407" t="e">
        <v>#N/A</v>
      </c>
      <c r="H1464" s="460" t="e">
        <v>#N/A</v>
      </c>
      <c r="I1464" s="460" t="e">
        <v>#N/A</v>
      </c>
      <c r="J1464" s="460" t="e">
        <v>#N/A</v>
      </c>
      <c r="K1464" s="460" t="e">
        <v>#N/A</v>
      </c>
      <c r="L1464" s="459" t="e">
        <v>#N/A</v>
      </c>
      <c r="O1464" t="e">
        <v>#N/A</v>
      </c>
      <c r="P1464" t="e">
        <v>#N/A</v>
      </c>
    </row>
    <row r="1465" spans="1:16" ht="14.4" x14ac:dyDescent="0.3">
      <c r="A1465">
        <v>87342</v>
      </c>
      <c r="B1465" t="e">
        <f t="shared" si="44"/>
        <v>#N/A</v>
      </c>
      <c r="C1465" s="185" t="e">
        <f t="shared" si="45"/>
        <v>#N/A</v>
      </c>
      <c r="D1465" s="407" t="e">
        <v>#N/A</v>
      </c>
      <c r="E1465" s="407" t="e">
        <v>#N/A</v>
      </c>
      <c r="F1465" s="407" t="e">
        <v>#N/A</v>
      </c>
      <c r="G1465" s="407" t="e">
        <v>#N/A</v>
      </c>
      <c r="H1465" s="460" t="e">
        <v>#N/A</v>
      </c>
      <c r="I1465" s="460" t="e">
        <v>#N/A</v>
      </c>
      <c r="J1465" s="460" t="e">
        <v>#N/A</v>
      </c>
      <c r="K1465" s="460" t="e">
        <v>#N/A</v>
      </c>
      <c r="L1465" s="459" t="e">
        <v>#N/A</v>
      </c>
      <c r="O1465" t="e">
        <v>#N/A</v>
      </c>
      <c r="P1465" t="e">
        <v>#N/A</v>
      </c>
    </row>
    <row r="1466" spans="1:16" ht="14.4" x14ac:dyDescent="0.3">
      <c r="A1466">
        <v>87343</v>
      </c>
      <c r="B1466" t="e">
        <f t="shared" si="44"/>
        <v>#N/A</v>
      </c>
      <c r="C1466" s="185" t="e">
        <f t="shared" si="45"/>
        <v>#N/A</v>
      </c>
      <c r="D1466" s="407" t="e">
        <v>#N/A</v>
      </c>
      <c r="E1466" s="407" t="e">
        <v>#N/A</v>
      </c>
      <c r="F1466" s="407" t="e">
        <v>#N/A</v>
      </c>
      <c r="G1466" s="407" t="e">
        <v>#N/A</v>
      </c>
      <c r="H1466" s="460" t="e">
        <v>#N/A</v>
      </c>
      <c r="I1466" s="460" t="e">
        <v>#N/A</v>
      </c>
      <c r="J1466" s="460" t="e">
        <v>#N/A</v>
      </c>
      <c r="K1466" s="460" t="e">
        <v>#N/A</v>
      </c>
      <c r="L1466" s="459" t="e">
        <v>#N/A</v>
      </c>
      <c r="O1466" t="e">
        <v>#N/A</v>
      </c>
      <c r="P1466" t="e">
        <v>#N/A</v>
      </c>
    </row>
    <row r="1467" spans="1:16" ht="14.4" x14ac:dyDescent="0.3">
      <c r="A1467">
        <v>88150</v>
      </c>
      <c r="B1467" t="str">
        <f t="shared" si="44"/>
        <v>S-S20 komplet okuć 1 skrzydło 20kg</v>
      </c>
      <c r="C1467" s="185">
        <f t="shared" si="45"/>
        <v>32.383859999999999</v>
      </c>
      <c r="D1467" s="407" t="s">
        <v>7565</v>
      </c>
      <c r="E1467" s="407" t="s">
        <v>7566</v>
      </c>
      <c r="F1467" s="407" t="s">
        <v>7567</v>
      </c>
      <c r="G1467" s="407" t="s">
        <v>7568</v>
      </c>
      <c r="H1467" s="460">
        <v>171.99</v>
      </c>
      <c r="I1467" s="460">
        <v>7.3404699999999998</v>
      </c>
      <c r="J1467" s="460">
        <v>32.383859999999999</v>
      </c>
      <c r="K1467" s="460" t="e">
        <v>#N/A</v>
      </c>
      <c r="L1467" s="459" t="s">
        <v>538</v>
      </c>
      <c r="O1467">
        <v>6.18668</v>
      </c>
      <c r="P1467" t="s">
        <v>9841</v>
      </c>
    </row>
    <row r="1468" spans="1:16" ht="14.4" x14ac:dyDescent="0.3">
      <c r="A1468">
        <v>88151</v>
      </c>
      <c r="B1468" t="str">
        <f t="shared" si="44"/>
        <v>S-S30 komplet okuć 1 skrzydło 30 kg</v>
      </c>
      <c r="C1468" s="185">
        <f t="shared" si="45"/>
        <v>47.330240000000003</v>
      </c>
      <c r="D1468" s="407" t="s">
        <v>7569</v>
      </c>
      <c r="E1468" s="407" t="s">
        <v>7570</v>
      </c>
      <c r="F1468" s="407" t="s">
        <v>7571</v>
      </c>
      <c r="G1468" s="407" t="s">
        <v>7572</v>
      </c>
      <c r="H1468" s="460">
        <v>251.37</v>
      </c>
      <c r="I1468" s="460">
        <v>10.728389999999999</v>
      </c>
      <c r="J1468" s="460">
        <v>47.330240000000003</v>
      </c>
      <c r="K1468" s="460" t="e">
        <v>#N/A</v>
      </c>
      <c r="L1468" s="459" t="s">
        <v>538</v>
      </c>
      <c r="O1468">
        <v>9.0328599999999994</v>
      </c>
      <c r="P1468" t="s">
        <v>9842</v>
      </c>
    </row>
    <row r="1469" spans="1:16" ht="14.4" x14ac:dyDescent="0.3">
      <c r="A1469">
        <v>88152</v>
      </c>
      <c r="B1469" t="str">
        <f t="shared" si="44"/>
        <v>S-S20/30 listwa pojedyńcza stal 2m</v>
      </c>
      <c r="C1469" s="185">
        <f t="shared" si="45"/>
        <v>72.517690000000002</v>
      </c>
      <c r="D1469" s="407" t="s">
        <v>7573</v>
      </c>
      <c r="E1469" s="407" t="s">
        <v>7574</v>
      </c>
      <c r="F1469" s="407" t="s">
        <v>7575</v>
      </c>
      <c r="G1469" s="407" t="s">
        <v>7576</v>
      </c>
      <c r="H1469" s="460">
        <v>385.14</v>
      </c>
      <c r="I1469" s="460">
        <v>16.437639999999998</v>
      </c>
      <c r="J1469" s="460">
        <v>72.517690000000002</v>
      </c>
      <c r="K1469" s="460" t="e">
        <v>#N/A</v>
      </c>
      <c r="L1469" s="459" t="s">
        <v>538</v>
      </c>
      <c r="O1469">
        <v>14.27698</v>
      </c>
      <c r="P1469" t="s">
        <v>9843</v>
      </c>
    </row>
    <row r="1470" spans="1:16" ht="14.4" x14ac:dyDescent="0.3">
      <c r="A1470">
        <v>88153</v>
      </c>
      <c r="B1470" t="str">
        <f t="shared" si="44"/>
        <v>S-S20/30 listwa pojedyńcza stal 3m</v>
      </c>
      <c r="C1470" s="185">
        <f t="shared" si="45"/>
        <v>108.77654</v>
      </c>
      <c r="D1470" s="407" t="s">
        <v>7577</v>
      </c>
      <c r="E1470" s="407" t="s">
        <v>7578</v>
      </c>
      <c r="F1470" s="407" t="s">
        <v>7579</v>
      </c>
      <c r="G1470" s="407" t="s">
        <v>7580</v>
      </c>
      <c r="H1470" s="460">
        <v>577.71</v>
      </c>
      <c r="I1470" s="460">
        <v>24.656469999999999</v>
      </c>
      <c r="J1470" s="460">
        <v>108.77654</v>
      </c>
      <c r="K1470" s="460" t="e">
        <v>#N/A</v>
      </c>
      <c r="L1470" s="459" t="s">
        <v>538</v>
      </c>
      <c r="O1470">
        <v>21.417459999999998</v>
      </c>
      <c r="P1470" t="s">
        <v>9844</v>
      </c>
    </row>
    <row r="1471" spans="1:16" ht="14.4" x14ac:dyDescent="0.3">
      <c r="A1471">
        <v>88154</v>
      </c>
      <c r="B1471" t="str">
        <f t="shared" si="44"/>
        <v>S-S20/30 alu elox listwa podwójna 2m</v>
      </c>
      <c r="C1471" s="185">
        <f t="shared" si="45"/>
        <v>129.33797999999999</v>
      </c>
      <c r="D1471" s="407" t="s">
        <v>7581</v>
      </c>
      <c r="E1471" s="407" t="s">
        <v>7582</v>
      </c>
      <c r="F1471" s="407" t="s">
        <v>7583</v>
      </c>
      <c r="G1471" s="407" t="s">
        <v>7584</v>
      </c>
      <c r="H1471" s="460">
        <v>677.04</v>
      </c>
      <c r="I1471" s="460">
        <v>28.86</v>
      </c>
      <c r="J1471" s="460">
        <v>129.33797999999999</v>
      </c>
      <c r="K1471" s="460" t="e">
        <v>#N/A</v>
      </c>
      <c r="L1471" s="459" t="s">
        <v>538</v>
      </c>
      <c r="O1471">
        <v>26.227340000000002</v>
      </c>
      <c r="P1471" t="s">
        <v>9845</v>
      </c>
    </row>
    <row r="1472" spans="1:16" ht="14.4" x14ac:dyDescent="0.3">
      <c r="A1472">
        <v>88155</v>
      </c>
      <c r="B1472" t="str">
        <f t="shared" si="44"/>
        <v>S-S20/30 alu elox listwa podwójna 3m</v>
      </c>
      <c r="C1472" s="185">
        <f t="shared" si="45"/>
        <v>194.00698</v>
      </c>
      <c r="D1472" s="407" t="s">
        <v>7585</v>
      </c>
      <c r="E1472" s="407" t="s">
        <v>7586</v>
      </c>
      <c r="F1472" s="407" t="s">
        <v>7587</v>
      </c>
      <c r="G1472" s="407" t="s">
        <v>7588</v>
      </c>
      <c r="H1472" s="460">
        <v>1015.56</v>
      </c>
      <c r="I1472" s="460">
        <v>43.29</v>
      </c>
      <c r="J1472" s="460">
        <v>194.00698</v>
      </c>
      <c r="K1472" s="460" t="e">
        <v>#N/A</v>
      </c>
      <c r="L1472" s="459" t="s">
        <v>538</v>
      </c>
      <c r="O1472">
        <v>39.341000000000001</v>
      </c>
      <c r="P1472" t="s">
        <v>9846</v>
      </c>
    </row>
    <row r="1473" spans="1:16" ht="14.4" x14ac:dyDescent="0.3">
      <c r="A1473">
        <v>88156</v>
      </c>
      <c r="B1473" t="str">
        <f t="shared" si="44"/>
        <v>S-S20/S30 hamulec plastikowy</v>
      </c>
      <c r="C1473" s="185">
        <f t="shared" si="45"/>
        <v>2.21428</v>
      </c>
      <c r="D1473" s="407" t="s">
        <v>7589</v>
      </c>
      <c r="E1473" s="407" t="s">
        <v>7590</v>
      </c>
      <c r="F1473" s="407" t="s">
        <v>7591</v>
      </c>
      <c r="G1473" s="407" t="s">
        <v>7592</v>
      </c>
      <c r="H1473" s="460">
        <v>11.76</v>
      </c>
      <c r="I1473" s="460">
        <v>0.50190999999999997</v>
      </c>
      <c r="J1473" s="460">
        <v>2.21428</v>
      </c>
      <c r="K1473" s="460" t="e">
        <v>#N/A</v>
      </c>
      <c r="L1473" s="459" t="s">
        <v>538</v>
      </c>
      <c r="O1473">
        <v>0.42302000000000001</v>
      </c>
      <c r="P1473" t="s">
        <v>9847</v>
      </c>
    </row>
    <row r="1474" spans="1:16" ht="14.4" x14ac:dyDescent="0.3">
      <c r="A1474">
        <v>88157</v>
      </c>
      <c r="B1474" t="str">
        <f t="shared" si="44"/>
        <v>S-S20/30 odbojnik + 2x wkręt</v>
      </c>
      <c r="C1474" s="185">
        <f t="shared" si="45"/>
        <v>5.5357000000000003</v>
      </c>
      <c r="D1474" s="407" t="s">
        <v>7593</v>
      </c>
      <c r="E1474" s="407" t="s">
        <v>7594</v>
      </c>
      <c r="F1474" s="407" t="s">
        <v>7595</v>
      </c>
      <c r="G1474" s="407" t="s">
        <v>7596</v>
      </c>
      <c r="H1474" s="460">
        <v>29.4</v>
      </c>
      <c r="I1474" s="460">
        <v>1.25478</v>
      </c>
      <c r="J1474" s="460">
        <v>5.5357000000000003</v>
      </c>
      <c r="K1474" s="460" t="e">
        <v>#N/A</v>
      </c>
      <c r="L1474" s="459" t="s">
        <v>538</v>
      </c>
      <c r="O1474">
        <v>1.04897</v>
      </c>
      <c r="P1474" t="s">
        <v>9848</v>
      </c>
    </row>
    <row r="1475" spans="1:16" ht="14.4" x14ac:dyDescent="0.3">
      <c r="A1475">
        <v>87305</v>
      </c>
      <c r="B1475" t="e">
        <f t="shared" si="44"/>
        <v>#N/A</v>
      </c>
      <c r="C1475" s="185" t="e">
        <f t="shared" si="45"/>
        <v>#N/A</v>
      </c>
      <c r="D1475" s="407" t="e">
        <v>#N/A</v>
      </c>
      <c r="E1475" s="407" t="e">
        <v>#N/A</v>
      </c>
      <c r="F1475" s="407" t="e">
        <v>#N/A</v>
      </c>
      <c r="G1475" s="407" t="e">
        <v>#N/A</v>
      </c>
      <c r="H1475" s="460" t="e">
        <v>#N/A</v>
      </c>
      <c r="I1475" s="460" t="e">
        <v>#N/A</v>
      </c>
      <c r="J1475" s="460" t="e">
        <v>#N/A</v>
      </c>
      <c r="K1475" s="460" t="e">
        <v>#N/A</v>
      </c>
      <c r="L1475" s="459" t="e">
        <v>#N/A</v>
      </c>
      <c r="O1475" t="e">
        <v>#N/A</v>
      </c>
      <c r="P1475" t="e">
        <v>#N/A</v>
      </c>
    </row>
    <row r="1476" spans="1:16" ht="14.4" x14ac:dyDescent="0.3">
      <c r="A1476">
        <v>87306</v>
      </c>
      <c r="B1476" t="e">
        <f t="shared" ref="B1476:B1539" si="46">IF($A$2=1,D1476,IF($A$2=2,F1476,IF($A$2=3,G1476,IF($A$2=4,E1476,IF($A$2&gt;4,P1476,"zadat jazyk")))))</f>
        <v>#N/A</v>
      </c>
      <c r="C1476" s="185" t="e">
        <f t="shared" ref="C1476:C1539" si="47">IF($A$2=1,H1476,IF($A$2=2,I1476,IF($A$2=3,J1476,IF($A$2=4,K1476,IF($A$2&gt;4,O1476,"zadat jazyk")))))</f>
        <v>#N/A</v>
      </c>
      <c r="D1476" s="407" t="e">
        <v>#N/A</v>
      </c>
      <c r="E1476" s="407" t="e">
        <v>#N/A</v>
      </c>
      <c r="F1476" s="407" t="e">
        <v>#N/A</v>
      </c>
      <c r="G1476" s="407" t="e">
        <v>#N/A</v>
      </c>
      <c r="H1476" s="460" t="e">
        <v>#N/A</v>
      </c>
      <c r="I1476" s="460" t="e">
        <v>#N/A</v>
      </c>
      <c r="J1476" s="460" t="e">
        <v>#N/A</v>
      </c>
      <c r="K1476" s="460" t="e">
        <v>#N/A</v>
      </c>
      <c r="L1476" s="459" t="e">
        <v>#N/A</v>
      </c>
      <c r="O1476" t="e">
        <v>#N/A</v>
      </c>
      <c r="P1476" t="e">
        <v>#N/A</v>
      </c>
    </row>
    <row r="1477" spans="1:16" ht="14.4" x14ac:dyDescent="0.3">
      <c r="A1477">
        <v>87372</v>
      </c>
      <c r="B1477" t="str">
        <f t="shared" si="46"/>
        <v>PRZES.WEWN.OKUCIE 1400 - LISTWA GÓRNA 6m</v>
      </c>
      <c r="C1477" s="185" t="e">
        <f t="shared" si="47"/>
        <v>#N/A</v>
      </c>
      <c r="D1477" s="407" t="s">
        <v>7597</v>
      </c>
      <c r="E1477" s="407" t="s">
        <v>7598</v>
      </c>
      <c r="F1477" s="407" t="s">
        <v>7599</v>
      </c>
      <c r="G1477" s="407" t="s">
        <v>7600</v>
      </c>
      <c r="H1477" s="460" t="e">
        <v>#N/A</v>
      </c>
      <c r="I1477" s="460" t="e">
        <v>#N/A</v>
      </c>
      <c r="J1477" s="460" t="e">
        <v>#N/A</v>
      </c>
      <c r="K1477" s="460" t="e">
        <v>#N/A</v>
      </c>
      <c r="L1477" s="459" t="e">
        <v>#N/A</v>
      </c>
      <c r="O1477">
        <v>106.2915</v>
      </c>
      <c r="P1477" t="s">
        <v>9849</v>
      </c>
    </row>
    <row r="1478" spans="1:16" ht="14.4" x14ac:dyDescent="0.3">
      <c r="A1478">
        <v>88159</v>
      </c>
      <c r="B1478" t="str">
        <f t="shared" si="46"/>
        <v>S-S50 dolna listwa alu elox (H35/60) 2m</v>
      </c>
      <c r="C1478" s="185" t="e">
        <f t="shared" si="47"/>
        <v>#N/A</v>
      </c>
      <c r="D1478" s="407" t="s">
        <v>7601</v>
      </c>
      <c r="E1478" s="407" t="s">
        <v>7602</v>
      </c>
      <c r="F1478" s="407" t="s">
        <v>7603</v>
      </c>
      <c r="G1478" s="407" t="s">
        <v>7604</v>
      </c>
      <c r="H1478" s="460" t="e">
        <v>#N/A</v>
      </c>
      <c r="I1478" s="460" t="e">
        <v>#N/A</v>
      </c>
      <c r="J1478" s="460" t="e">
        <v>#N/A</v>
      </c>
      <c r="K1478" s="460" t="e">
        <v>#N/A</v>
      </c>
      <c r="L1478" s="459" t="e">
        <v>#N/A</v>
      </c>
      <c r="O1478">
        <v>0</v>
      </c>
      <c r="P1478" t="s">
        <v>9850</v>
      </c>
    </row>
    <row r="1479" spans="1:16" ht="14.4" x14ac:dyDescent="0.3">
      <c r="A1479">
        <v>87358</v>
      </c>
      <c r="B1479" t="str">
        <f t="shared" si="46"/>
        <v>Hamulec do okucia 1390/1391</v>
      </c>
      <c r="C1479" s="185">
        <f t="shared" si="47"/>
        <v>4.4635800000000003</v>
      </c>
      <c r="D1479" s="407" t="s">
        <v>7605</v>
      </c>
      <c r="E1479" s="407" t="s">
        <v>7606</v>
      </c>
      <c r="F1479" s="407" t="s">
        <v>7607</v>
      </c>
      <c r="G1479" s="407" t="s">
        <v>7608</v>
      </c>
      <c r="H1479" s="460">
        <v>24.175719999999998</v>
      </c>
      <c r="I1479" s="460">
        <v>1.0063</v>
      </c>
      <c r="J1479" s="460">
        <v>4.4635800000000003</v>
      </c>
      <c r="K1479" s="460" t="e">
        <v>#N/A</v>
      </c>
      <c r="L1479" s="459" t="s">
        <v>537</v>
      </c>
      <c r="O1479">
        <v>0.78120000000000001</v>
      </c>
      <c r="P1479" t="s">
        <v>9851</v>
      </c>
    </row>
    <row r="1480" spans="1:16" ht="14.4" x14ac:dyDescent="0.3">
      <c r="A1480">
        <v>87359</v>
      </c>
      <c r="B1480" t="str">
        <f t="shared" si="46"/>
        <v>LISTWA GÓRNA ALU 1390 / 330cm</v>
      </c>
      <c r="C1480" s="185" t="e">
        <f t="shared" si="47"/>
        <v>#N/A</v>
      </c>
      <c r="D1480" s="407" t="s">
        <v>7609</v>
      </c>
      <c r="E1480" s="407" t="s">
        <v>7610</v>
      </c>
      <c r="F1480" s="407" t="s">
        <v>7611</v>
      </c>
      <c r="G1480" s="407" t="s">
        <v>7612</v>
      </c>
      <c r="H1480" s="460" t="e">
        <v>#N/A</v>
      </c>
      <c r="I1480" s="460" t="e">
        <v>#N/A</v>
      </c>
      <c r="J1480" s="460" t="e">
        <v>#N/A</v>
      </c>
      <c r="K1480" s="460" t="e">
        <v>#N/A</v>
      </c>
      <c r="L1480" s="459" t="e">
        <v>#N/A</v>
      </c>
      <c r="O1480">
        <v>40.970999999999997</v>
      </c>
      <c r="P1480" t="s">
        <v>9852</v>
      </c>
    </row>
    <row r="1481" spans="1:16" ht="14.4" x14ac:dyDescent="0.3">
      <c r="A1481">
        <v>92115</v>
      </c>
      <c r="B1481" t="str">
        <f t="shared" si="46"/>
        <v>StrongLine alu profil 1030 górny 1,2m</v>
      </c>
      <c r="C1481" s="185">
        <f t="shared" si="47"/>
        <v>8.8497400000000006</v>
      </c>
      <c r="D1481" s="407" t="s">
        <v>7613</v>
      </c>
      <c r="E1481" s="407" t="s">
        <v>7614</v>
      </c>
      <c r="F1481" s="407" t="s">
        <v>7615</v>
      </c>
      <c r="G1481" s="407" t="s">
        <v>7616</v>
      </c>
      <c r="H1481" s="460">
        <v>109.95613</v>
      </c>
      <c r="I1481" s="460">
        <v>3.50807</v>
      </c>
      <c r="J1481" s="460">
        <v>8.8497400000000006</v>
      </c>
      <c r="K1481" s="460" t="e">
        <v>#N/A</v>
      </c>
      <c r="L1481" s="459" t="s">
        <v>538</v>
      </c>
      <c r="O1481">
        <v>1.58009</v>
      </c>
      <c r="P1481" t="s">
        <v>9853</v>
      </c>
    </row>
    <row r="1482" spans="1:16" ht="14.4" x14ac:dyDescent="0.3">
      <c r="A1482">
        <v>92116</v>
      </c>
      <c r="B1482" t="str">
        <f t="shared" si="46"/>
        <v>StrongLine alu profil 1030 górny 2m</v>
      </c>
      <c r="C1482" s="185">
        <f t="shared" si="47"/>
        <v>14.75882</v>
      </c>
      <c r="D1482" s="407" t="s">
        <v>7617</v>
      </c>
      <c r="E1482" s="407" t="s">
        <v>7618</v>
      </c>
      <c r="F1482" s="407" t="s">
        <v>7619</v>
      </c>
      <c r="G1482" s="407" t="s">
        <v>7620</v>
      </c>
      <c r="H1482" s="460">
        <v>183.31148999999999</v>
      </c>
      <c r="I1482" s="460">
        <v>5.8483799999999997</v>
      </c>
      <c r="J1482" s="460">
        <v>14.75882</v>
      </c>
      <c r="K1482" s="460" t="e">
        <v>#N/A</v>
      </c>
      <c r="L1482" s="459" t="s">
        <v>538</v>
      </c>
      <c r="O1482">
        <v>2.6351200000000001</v>
      </c>
      <c r="P1482" t="s">
        <v>9854</v>
      </c>
    </row>
    <row r="1483" spans="1:16" ht="14.4" x14ac:dyDescent="0.3">
      <c r="A1483">
        <v>92117</v>
      </c>
      <c r="B1483" t="str">
        <f t="shared" si="46"/>
        <v>StrongLine alu profil 1030 górny 3m</v>
      </c>
      <c r="C1483" s="185">
        <f t="shared" si="47"/>
        <v>22.12434</v>
      </c>
      <c r="D1483" s="407" t="s">
        <v>7621</v>
      </c>
      <c r="E1483" s="407" t="s">
        <v>7622</v>
      </c>
      <c r="F1483" s="407" t="s">
        <v>7623</v>
      </c>
      <c r="G1483" s="407" t="s">
        <v>7624</v>
      </c>
      <c r="H1483" s="460">
        <v>274.65962999999999</v>
      </c>
      <c r="I1483" s="460">
        <v>8.7627600000000001</v>
      </c>
      <c r="J1483" s="460">
        <v>22.12434</v>
      </c>
      <c r="K1483" s="460" t="e">
        <v>#N/A</v>
      </c>
      <c r="L1483" s="459" t="s">
        <v>538</v>
      </c>
      <c r="O1483">
        <v>3.9502100000000002</v>
      </c>
      <c r="P1483" t="s">
        <v>9855</v>
      </c>
    </row>
    <row r="1484" spans="1:16" ht="14.4" x14ac:dyDescent="0.3">
      <c r="A1484">
        <v>92118</v>
      </c>
      <c r="B1484" t="str">
        <f t="shared" si="46"/>
        <v>StrongLine alu profil 1030 dolny 1,2m</v>
      </c>
      <c r="C1484" s="185">
        <f t="shared" si="47"/>
        <v>9.9177999999999997</v>
      </c>
      <c r="D1484" s="407" t="s">
        <v>7625</v>
      </c>
      <c r="E1484" s="407" t="s">
        <v>7626</v>
      </c>
      <c r="F1484" s="407" t="s">
        <v>7627</v>
      </c>
      <c r="G1484" s="407" t="s">
        <v>7628</v>
      </c>
      <c r="H1484" s="460">
        <v>109.95613</v>
      </c>
      <c r="I1484" s="460">
        <v>3.50807</v>
      </c>
      <c r="J1484" s="460">
        <v>9.9177999999999997</v>
      </c>
      <c r="K1484" s="460" t="e">
        <v>#N/A</v>
      </c>
      <c r="L1484" s="459" t="s">
        <v>538</v>
      </c>
      <c r="O1484">
        <v>1.7707999999999999</v>
      </c>
      <c r="P1484" t="s">
        <v>9856</v>
      </c>
    </row>
    <row r="1485" spans="1:16" ht="14.4" x14ac:dyDescent="0.3">
      <c r="A1485">
        <v>92119</v>
      </c>
      <c r="B1485" t="str">
        <f t="shared" si="46"/>
        <v>StrongLine alu profil 1030 dolny 2m</v>
      </c>
      <c r="C1485" s="185">
        <f t="shared" si="47"/>
        <v>14.75882</v>
      </c>
      <c r="D1485" s="407" t="s">
        <v>7629</v>
      </c>
      <c r="E1485" s="407" t="s">
        <v>7630</v>
      </c>
      <c r="F1485" s="407" t="s">
        <v>7631</v>
      </c>
      <c r="G1485" s="407" t="s">
        <v>7632</v>
      </c>
      <c r="H1485" s="460">
        <v>183.31148999999999</v>
      </c>
      <c r="I1485" s="460">
        <v>5.8483799999999997</v>
      </c>
      <c r="J1485" s="460">
        <v>14.75882</v>
      </c>
      <c r="K1485" s="460" t="e">
        <v>#N/A</v>
      </c>
      <c r="L1485" s="459" t="s">
        <v>538</v>
      </c>
      <c r="O1485">
        <v>2.6351200000000001</v>
      </c>
      <c r="P1485" t="s">
        <v>9857</v>
      </c>
    </row>
    <row r="1486" spans="1:16" ht="14.4" x14ac:dyDescent="0.3">
      <c r="A1486">
        <v>92120</v>
      </c>
      <c r="B1486" t="str">
        <f t="shared" si="46"/>
        <v>StrongLine alu profil 1030 dolny 3m</v>
      </c>
      <c r="C1486" s="185">
        <f t="shared" si="47"/>
        <v>22.12434</v>
      </c>
      <c r="D1486" s="407" t="s">
        <v>7633</v>
      </c>
      <c r="E1486" s="407" t="s">
        <v>7634</v>
      </c>
      <c r="F1486" s="407" t="s">
        <v>7635</v>
      </c>
      <c r="G1486" s="407" t="s">
        <v>7636</v>
      </c>
      <c r="H1486" s="460">
        <v>274.65962999999999</v>
      </c>
      <c r="I1486" s="460">
        <v>8.7627600000000001</v>
      </c>
      <c r="J1486" s="460">
        <v>22.12434</v>
      </c>
      <c r="K1486" s="460" t="e">
        <v>#N/A</v>
      </c>
      <c r="L1486" s="459" t="s">
        <v>538</v>
      </c>
      <c r="O1486">
        <v>3.9502100000000002</v>
      </c>
      <c r="P1486" t="s">
        <v>9858</v>
      </c>
    </row>
    <row r="1487" spans="1:16" ht="14.4" x14ac:dyDescent="0.3">
      <c r="A1487">
        <v>92107</v>
      </c>
      <c r="B1487" t="str">
        <f t="shared" si="46"/>
        <v>StrongLine alu profil 1030W dolny 1,2m</v>
      </c>
      <c r="C1487" s="185">
        <f t="shared" si="47"/>
        <v>9.7236200000000004</v>
      </c>
      <c r="D1487" s="407" t="s">
        <v>7637</v>
      </c>
      <c r="E1487" s="407" t="s">
        <v>7638</v>
      </c>
      <c r="F1487" s="407" t="s">
        <v>7639</v>
      </c>
      <c r="G1487" s="407" t="s">
        <v>7640</v>
      </c>
      <c r="H1487" s="460">
        <v>120.72107</v>
      </c>
      <c r="I1487" s="460">
        <v>3.8515100000000002</v>
      </c>
      <c r="J1487" s="460">
        <v>9.7236200000000004</v>
      </c>
      <c r="K1487" s="460" t="e">
        <v>#N/A</v>
      </c>
      <c r="L1487" s="459" t="s">
        <v>538</v>
      </c>
      <c r="O1487">
        <v>1.7361</v>
      </c>
      <c r="P1487" t="s">
        <v>9859</v>
      </c>
    </row>
    <row r="1488" spans="1:16" ht="14.4" x14ac:dyDescent="0.3">
      <c r="A1488">
        <v>92108</v>
      </c>
      <c r="B1488" t="str">
        <f t="shared" si="46"/>
        <v>StrongLine alu profil 1030W dolny 2m</v>
      </c>
      <c r="C1488" s="185">
        <f t="shared" si="47"/>
        <v>18.0185</v>
      </c>
      <c r="D1488" s="407" t="s">
        <v>7641</v>
      </c>
      <c r="E1488" s="407" t="s">
        <v>7642</v>
      </c>
      <c r="F1488" s="407" t="s">
        <v>7643</v>
      </c>
      <c r="G1488" s="407" t="s">
        <v>7644</v>
      </c>
      <c r="H1488" s="460">
        <v>199.76648</v>
      </c>
      <c r="I1488" s="460">
        <v>6.3734000000000002</v>
      </c>
      <c r="J1488" s="460">
        <v>18.0185</v>
      </c>
      <c r="K1488" s="460" t="e">
        <v>#N/A</v>
      </c>
      <c r="L1488" s="459" t="s">
        <v>538</v>
      </c>
      <c r="O1488">
        <v>3.21713</v>
      </c>
      <c r="P1488" t="s">
        <v>9860</v>
      </c>
    </row>
    <row r="1489" spans="1:16" ht="14.4" x14ac:dyDescent="0.3">
      <c r="A1489">
        <v>92109</v>
      </c>
      <c r="B1489" t="str">
        <f t="shared" si="46"/>
        <v>StrongLine alu profil 1030W dolny 3m</v>
      </c>
      <c r="C1489" s="185">
        <f t="shared" si="47"/>
        <v>24.121770000000001</v>
      </c>
      <c r="D1489" s="407" t="s">
        <v>7645</v>
      </c>
      <c r="E1489" s="407" t="s">
        <v>7646</v>
      </c>
      <c r="F1489" s="407" t="s">
        <v>7647</v>
      </c>
      <c r="G1489" s="407" t="s">
        <v>7648</v>
      </c>
      <c r="H1489" s="460">
        <v>299.57278000000002</v>
      </c>
      <c r="I1489" s="460">
        <v>9.5576399999999992</v>
      </c>
      <c r="J1489" s="460">
        <v>24.121770000000001</v>
      </c>
      <c r="K1489" s="460" t="e">
        <v>#N/A</v>
      </c>
      <c r="L1489" s="459" t="s">
        <v>538</v>
      </c>
      <c r="O1489">
        <v>4.3068499999999998</v>
      </c>
      <c r="P1489" t="s">
        <v>9861</v>
      </c>
    </row>
    <row r="1490" spans="1:16" ht="14.4" x14ac:dyDescent="0.3">
      <c r="A1490">
        <v>85861</v>
      </c>
      <c r="B1490" t="str">
        <f t="shared" si="46"/>
        <v>S-S35A górny wózek okucia przesuwne</v>
      </c>
      <c r="C1490" s="185">
        <f t="shared" si="47"/>
        <v>3.0446300000000002</v>
      </c>
      <c r="D1490" s="407" t="s">
        <v>7649</v>
      </c>
      <c r="E1490" s="407" t="s">
        <v>7650</v>
      </c>
      <c r="F1490" s="407" t="s">
        <v>7651</v>
      </c>
      <c r="G1490" s="407" t="s">
        <v>7652</v>
      </c>
      <c r="H1490" s="460">
        <v>16.170000000000002</v>
      </c>
      <c r="I1490" s="460">
        <v>0.69011999999999996</v>
      </c>
      <c r="J1490" s="460">
        <v>3.0446300000000002</v>
      </c>
      <c r="K1490" s="460" t="e">
        <v>#N/A</v>
      </c>
      <c r="L1490" s="459" t="s">
        <v>537</v>
      </c>
      <c r="O1490">
        <v>0.58165999999999995</v>
      </c>
      <c r="P1490" t="s">
        <v>9862</v>
      </c>
    </row>
    <row r="1491" spans="1:16" ht="14.4" x14ac:dyDescent="0.3">
      <c r="A1491">
        <v>85864</v>
      </c>
      <c r="B1491" t="str">
        <f t="shared" si="46"/>
        <v>S-S35B górny wózek do okucia przesuwnego</v>
      </c>
      <c r="C1491" s="185">
        <f t="shared" si="47"/>
        <v>3.0446300000000002</v>
      </c>
      <c r="D1491" s="407" t="s">
        <v>7653</v>
      </c>
      <c r="E1491" s="407" t="s">
        <v>7654</v>
      </c>
      <c r="F1491" s="407" t="s">
        <v>7655</v>
      </c>
      <c r="G1491" s="407" t="s">
        <v>7656</v>
      </c>
      <c r="H1491" s="460">
        <v>16.170000000000002</v>
      </c>
      <c r="I1491" s="460">
        <v>0.69011999999999996</v>
      </c>
      <c r="J1491" s="460">
        <v>3.0446300000000002</v>
      </c>
      <c r="K1491" s="460" t="e">
        <v>#N/A</v>
      </c>
      <c r="L1491" s="459" t="s">
        <v>663</v>
      </c>
      <c r="O1491">
        <v>0.58165999999999995</v>
      </c>
      <c r="P1491" t="s">
        <v>9863</v>
      </c>
    </row>
    <row r="1492" spans="1:16" ht="14.4" x14ac:dyDescent="0.3">
      <c r="A1492">
        <v>175828</v>
      </c>
      <c r="B1492" t="str">
        <f t="shared" si="46"/>
        <v>S-S60N 1 komplet okuć do 1 drzwi</v>
      </c>
      <c r="C1492" s="185">
        <f t="shared" si="47"/>
        <v>48.437399999999997</v>
      </c>
      <c r="D1492" s="407" t="s">
        <v>7657</v>
      </c>
      <c r="E1492" s="407" t="s">
        <v>7658</v>
      </c>
      <c r="F1492" s="407" t="s">
        <v>7659</v>
      </c>
      <c r="G1492" s="407" t="s">
        <v>7660</v>
      </c>
      <c r="H1492" s="460">
        <v>257.25</v>
      </c>
      <c r="I1492" s="460">
        <v>10.979340000000001</v>
      </c>
      <c r="J1492" s="460">
        <v>48.437399999999997</v>
      </c>
      <c r="K1492" s="460" t="e">
        <v>#N/A</v>
      </c>
      <c r="L1492" s="459" t="s">
        <v>537</v>
      </c>
      <c r="O1492">
        <v>9.2659599999999998</v>
      </c>
      <c r="P1492" t="s">
        <v>9864</v>
      </c>
    </row>
    <row r="1493" spans="1:16" ht="14.4" x14ac:dyDescent="0.3">
      <c r="A1493">
        <v>176321</v>
      </c>
      <c r="B1493" t="str">
        <f t="shared" si="46"/>
        <v>S-U profil do laminatu 18mm 3m srebrny</v>
      </c>
      <c r="C1493" s="185" t="e">
        <f t="shared" si="47"/>
        <v>#N/A</v>
      </c>
      <c r="D1493" s="407" t="s">
        <v>6891</v>
      </c>
      <c r="E1493" s="407" t="s">
        <v>6892</v>
      </c>
      <c r="F1493" s="407" t="s">
        <v>7661</v>
      </c>
      <c r="G1493" s="407" t="s">
        <v>6894</v>
      </c>
      <c r="H1493" s="460" t="e">
        <v>#N/A</v>
      </c>
      <c r="I1493" s="460" t="e">
        <v>#N/A</v>
      </c>
      <c r="J1493" s="460" t="e">
        <v>#N/A</v>
      </c>
      <c r="K1493" s="460" t="e">
        <v>#N/A</v>
      </c>
      <c r="L1493" s="459" t="e">
        <v>#N/A</v>
      </c>
      <c r="O1493">
        <v>0</v>
      </c>
      <c r="P1493" t="s">
        <v>9614</v>
      </c>
    </row>
    <row r="1494" spans="1:16" ht="14.4" x14ac:dyDescent="0.3">
      <c r="A1494">
        <v>340563</v>
      </c>
      <c r="B1494" t="str">
        <f t="shared" si="46"/>
        <v>K-WC Górny zacisk T 18 mm</v>
      </c>
      <c r="C1494" s="185">
        <f t="shared" si="47"/>
        <v>0</v>
      </c>
      <c r="D1494" s="407" t="s">
        <v>7662</v>
      </c>
      <c r="E1494" s="407" t="s">
        <v>7663</v>
      </c>
      <c r="F1494" s="407" t="s">
        <v>7664</v>
      </c>
      <c r="G1494" s="407" t="s">
        <v>7665</v>
      </c>
      <c r="H1494" s="460">
        <v>0</v>
      </c>
      <c r="I1494" s="460">
        <v>0</v>
      </c>
      <c r="J1494" s="460">
        <v>0</v>
      </c>
      <c r="K1494" s="460" t="e">
        <v>#N/A</v>
      </c>
      <c r="L1494" s="459" t="s">
        <v>538</v>
      </c>
      <c r="O1494">
        <v>20.13</v>
      </c>
      <c r="P1494" t="s">
        <v>9865</v>
      </c>
    </row>
    <row r="1495" spans="1:16" ht="14.4" x14ac:dyDescent="0.3">
      <c r="A1495">
        <v>340564</v>
      </c>
      <c r="B1495" t="str">
        <f t="shared" si="46"/>
        <v>K-WC Zawias lewy (śrubki) H70 18 mm</v>
      </c>
      <c r="C1495" s="185">
        <f t="shared" si="47"/>
        <v>0</v>
      </c>
      <c r="D1495" s="407" t="s">
        <v>7666</v>
      </c>
      <c r="E1495" s="407" t="s">
        <v>7667</v>
      </c>
      <c r="F1495" s="407" t="s">
        <v>7668</v>
      </c>
      <c r="G1495" s="407" t="s">
        <v>7669</v>
      </c>
      <c r="H1495" s="460">
        <v>0</v>
      </c>
      <c r="I1495" s="460">
        <v>0</v>
      </c>
      <c r="J1495" s="460">
        <v>0</v>
      </c>
      <c r="K1495" s="460" t="e">
        <v>#N/A</v>
      </c>
      <c r="L1495" s="459" t="s">
        <v>538</v>
      </c>
      <c r="O1495">
        <v>20.9</v>
      </c>
      <c r="P1495" t="s">
        <v>9866</v>
      </c>
    </row>
    <row r="1496" spans="1:16" ht="14.4" x14ac:dyDescent="0.3">
      <c r="A1496">
        <v>340565</v>
      </c>
      <c r="B1496" t="str">
        <f t="shared" si="46"/>
        <v>K-WC Zawias prawy (śrubki) H70 18 mm</v>
      </c>
      <c r="C1496" s="185">
        <f t="shared" si="47"/>
        <v>0</v>
      </c>
      <c r="D1496" s="407" t="s">
        <v>7670</v>
      </c>
      <c r="E1496" s="407" t="s">
        <v>7671</v>
      </c>
      <c r="F1496" s="407" t="s">
        <v>7672</v>
      </c>
      <c r="G1496" s="407" t="s">
        <v>7673</v>
      </c>
      <c r="H1496" s="460">
        <v>0</v>
      </c>
      <c r="I1496" s="460">
        <v>0</v>
      </c>
      <c r="J1496" s="460">
        <v>0</v>
      </c>
      <c r="K1496" s="460" t="e">
        <v>#N/A</v>
      </c>
      <c r="L1496" s="459" t="s">
        <v>538</v>
      </c>
      <c r="O1496">
        <v>20.9</v>
      </c>
      <c r="P1496" t="s">
        <v>9867</v>
      </c>
    </row>
    <row r="1497" spans="1:16" ht="14.4" x14ac:dyDescent="0.3">
      <c r="A1497">
        <v>318841</v>
      </c>
      <c r="B1497" t="str">
        <f t="shared" si="46"/>
        <v/>
      </c>
      <c r="C1497" s="185" t="e">
        <f t="shared" si="47"/>
        <v>#N/A</v>
      </c>
      <c r="D1497" s="407" t="s">
        <v>1405</v>
      </c>
      <c r="E1497" s="407" t="s">
        <v>68</v>
      </c>
      <c r="F1497" s="407" t="s">
        <v>68</v>
      </c>
      <c r="G1497" s="407" t="s">
        <v>68</v>
      </c>
      <c r="H1497" s="460" t="e">
        <v>#N/A</v>
      </c>
      <c r="I1497" s="460" t="e">
        <v>#N/A</v>
      </c>
      <c r="J1497" s="460" t="e">
        <v>#N/A</v>
      </c>
      <c r="K1497" s="460" t="e">
        <v>#N/A</v>
      </c>
      <c r="L1497" s="459" t="e">
        <v>#N/A</v>
      </c>
      <c r="O1497" t="e">
        <v>#N/A</v>
      </c>
      <c r="P1497" t="e">
        <v>#N/A</v>
      </c>
    </row>
    <row r="1498" spans="1:16" ht="14.4" x14ac:dyDescent="0.3">
      <c r="A1498">
        <v>358263</v>
      </c>
      <c r="B1498" t="str">
        <f t="shared" si="46"/>
        <v>SEVROLL Prosper II rączka 2,8m jasny brąz</v>
      </c>
      <c r="C1498" s="185" t="e">
        <f t="shared" si="47"/>
        <v>#N/A</v>
      </c>
      <c r="D1498" s="407" t="s">
        <v>1406</v>
      </c>
      <c r="E1498" s="407" t="s">
        <v>1850</v>
      </c>
      <c r="F1498" s="407" t="s">
        <v>1406</v>
      </c>
      <c r="G1498" s="407" t="s">
        <v>2404</v>
      </c>
      <c r="H1498" s="460" t="e">
        <v>#N/A</v>
      </c>
      <c r="I1498" s="460" t="e">
        <v>#N/A</v>
      </c>
      <c r="J1498" s="460" t="e">
        <v>#N/A</v>
      </c>
      <c r="K1498" s="460" t="e">
        <v>#N/A</v>
      </c>
      <c r="L1498" s="459" t="e">
        <v>#N/A</v>
      </c>
      <c r="O1498" t="e">
        <v>#N/A</v>
      </c>
      <c r="P1498" t="e">
        <v>#N/A</v>
      </c>
    </row>
    <row r="1499" spans="1:16" ht="14.4" x14ac:dyDescent="0.3">
      <c r="A1499">
        <v>358311</v>
      </c>
      <c r="B1499" t="e">
        <f t="shared" si="46"/>
        <v>#N/A</v>
      </c>
      <c r="C1499" s="185" t="e">
        <f t="shared" si="47"/>
        <v>#N/A</v>
      </c>
      <c r="D1499" s="407" t="e">
        <v>#N/A</v>
      </c>
      <c r="E1499" s="407" t="e">
        <v>#N/A</v>
      </c>
      <c r="F1499" s="407" t="e">
        <v>#N/A</v>
      </c>
      <c r="G1499" s="407" t="e">
        <v>#N/A</v>
      </c>
      <c r="H1499" s="460" t="e">
        <v>#N/A</v>
      </c>
      <c r="I1499" s="460" t="e">
        <v>#N/A</v>
      </c>
      <c r="J1499" s="460" t="e">
        <v>#N/A</v>
      </c>
      <c r="K1499" s="460" t="e">
        <v>#N/A</v>
      </c>
      <c r="L1499" s="459" t="e">
        <v>#N/A</v>
      </c>
      <c r="O1499" t="e">
        <v>#N/A</v>
      </c>
      <c r="P1499" t="e">
        <v>#N/A</v>
      </c>
    </row>
    <row r="1500" spans="1:16" ht="14.4" x14ac:dyDescent="0.3">
      <c r="A1500">
        <v>358312</v>
      </c>
      <c r="B1500" t="e">
        <f t="shared" si="46"/>
        <v>#N/A</v>
      </c>
      <c r="C1500" s="185" t="e">
        <f t="shared" si="47"/>
        <v>#N/A</v>
      </c>
      <c r="D1500" s="407" t="e">
        <v>#N/A</v>
      </c>
      <c r="E1500" s="407" t="e">
        <v>#N/A</v>
      </c>
      <c r="F1500" s="407" t="e">
        <v>#N/A</v>
      </c>
      <c r="G1500" s="407" t="e">
        <v>#N/A</v>
      </c>
      <c r="H1500" s="460" t="e">
        <v>#N/A</v>
      </c>
      <c r="I1500" s="460" t="e">
        <v>#N/A</v>
      </c>
      <c r="J1500" s="460" t="e">
        <v>#N/A</v>
      </c>
      <c r="K1500" s="460" t="e">
        <v>#N/A</v>
      </c>
      <c r="L1500" s="459" t="e">
        <v>#N/A</v>
      </c>
      <c r="O1500" t="e">
        <v>#N/A</v>
      </c>
      <c r="P1500" t="e">
        <v>#N/A</v>
      </c>
    </row>
    <row r="1501" spans="1:16" ht="14.4" x14ac:dyDescent="0.3">
      <c r="A1501">
        <v>358316</v>
      </c>
      <c r="B1501" t="e">
        <f t="shared" si="46"/>
        <v>#N/A</v>
      </c>
      <c r="C1501" s="185" t="e">
        <f t="shared" si="47"/>
        <v>#N/A</v>
      </c>
      <c r="D1501" s="407" t="e">
        <v>#N/A</v>
      </c>
      <c r="E1501" s="407" t="e">
        <v>#N/A</v>
      </c>
      <c r="F1501" s="407" t="e">
        <v>#N/A</v>
      </c>
      <c r="G1501" s="407" t="e">
        <v>#N/A</v>
      </c>
      <c r="H1501" s="460" t="e">
        <v>#N/A</v>
      </c>
      <c r="I1501" s="460" t="e">
        <v>#N/A</v>
      </c>
      <c r="J1501" s="460" t="e">
        <v>#N/A</v>
      </c>
      <c r="K1501" s="460" t="e">
        <v>#N/A</v>
      </c>
      <c r="L1501" s="459" t="e">
        <v>#N/A</v>
      </c>
      <c r="O1501" t="e">
        <v>#N/A</v>
      </c>
      <c r="P1501" t="e">
        <v>#N/A</v>
      </c>
    </row>
    <row r="1502" spans="1:16" ht="14.4" x14ac:dyDescent="0.3">
      <c r="A1502">
        <v>285421</v>
      </c>
      <c r="B1502" t="e">
        <f t="shared" si="46"/>
        <v>#N/A</v>
      </c>
      <c r="C1502" s="185" t="e">
        <f t="shared" si="47"/>
        <v>#N/A</v>
      </c>
      <c r="D1502" s="407" t="e">
        <v>#N/A</v>
      </c>
      <c r="E1502" s="407" t="e">
        <v>#N/A</v>
      </c>
      <c r="F1502" s="407" t="e">
        <v>#N/A</v>
      </c>
      <c r="G1502" s="407" t="e">
        <v>#N/A</v>
      </c>
      <c r="H1502" s="460" t="e">
        <v>#N/A</v>
      </c>
      <c r="I1502" s="460" t="e">
        <v>#N/A</v>
      </c>
      <c r="J1502" s="460" t="e">
        <v>#N/A</v>
      </c>
      <c r="K1502" s="460" t="e">
        <v>#N/A</v>
      </c>
      <c r="L1502" s="459" t="e">
        <v>#N/A</v>
      </c>
      <c r="O1502" t="e">
        <v>#N/A</v>
      </c>
      <c r="P1502" t="e">
        <v>#N/A</v>
      </c>
    </row>
    <row r="1503" spans="1:16" ht="14.4" x14ac:dyDescent="0.3">
      <c r="A1503">
        <v>285551</v>
      </c>
      <c r="B1503" t="e">
        <f t="shared" si="46"/>
        <v>#N/A</v>
      </c>
      <c r="C1503" s="185" t="e">
        <f t="shared" si="47"/>
        <v>#N/A</v>
      </c>
      <c r="D1503" s="407" t="e">
        <v>#N/A</v>
      </c>
      <c r="E1503" s="407" t="e">
        <v>#N/A</v>
      </c>
      <c r="F1503" s="407" t="e">
        <v>#N/A</v>
      </c>
      <c r="G1503" s="407" t="e">
        <v>#N/A</v>
      </c>
      <c r="H1503" s="460" t="e">
        <v>#N/A</v>
      </c>
      <c r="I1503" s="460" t="e">
        <v>#N/A</v>
      </c>
      <c r="J1503" s="460" t="e">
        <v>#N/A</v>
      </c>
      <c r="K1503" s="460" t="e">
        <v>#N/A</v>
      </c>
      <c r="L1503" s="459" t="e">
        <v>#N/A</v>
      </c>
      <c r="O1503" t="e">
        <v>#N/A</v>
      </c>
      <c r="P1503" t="e">
        <v>#N/A</v>
      </c>
    </row>
    <row r="1504" spans="1:16" ht="14.4" x14ac:dyDescent="0.3">
      <c r="A1504">
        <v>285552</v>
      </c>
      <c r="B1504" t="e">
        <f t="shared" si="46"/>
        <v>#N/A</v>
      </c>
      <c r="C1504" s="185" t="e">
        <f t="shared" si="47"/>
        <v>#N/A</v>
      </c>
      <c r="D1504" s="407" t="e">
        <v>#N/A</v>
      </c>
      <c r="E1504" s="407" t="e">
        <v>#N/A</v>
      </c>
      <c r="F1504" s="407" t="e">
        <v>#N/A</v>
      </c>
      <c r="G1504" s="407" t="e">
        <v>#N/A</v>
      </c>
      <c r="H1504" s="460" t="e">
        <v>#N/A</v>
      </c>
      <c r="I1504" s="460" t="e">
        <v>#N/A</v>
      </c>
      <c r="J1504" s="460" t="e">
        <v>#N/A</v>
      </c>
      <c r="K1504" s="460" t="e">
        <v>#N/A</v>
      </c>
      <c r="L1504" s="459" t="e">
        <v>#N/A</v>
      </c>
      <c r="O1504" t="e">
        <v>#N/A</v>
      </c>
      <c r="P1504" t="e">
        <v>#N/A</v>
      </c>
    </row>
    <row r="1505" spans="1:16" ht="14.4" x14ac:dyDescent="0.3">
      <c r="A1505">
        <v>388453</v>
      </c>
      <c r="B1505" t="str">
        <f t="shared" si="46"/>
        <v/>
      </c>
      <c r="C1505" s="185" t="e">
        <f t="shared" si="47"/>
        <v>#N/A</v>
      </c>
      <c r="D1505" s="407" t="s">
        <v>7674</v>
      </c>
      <c r="E1505" s="407" t="s">
        <v>7675</v>
      </c>
      <c r="F1505" s="407" t="s">
        <v>7676</v>
      </c>
      <c r="G1505" s="407" t="s">
        <v>68</v>
      </c>
      <c r="H1505" s="460" t="e">
        <v>#N/A</v>
      </c>
      <c r="I1505" s="460" t="e">
        <v>#N/A</v>
      </c>
      <c r="J1505" s="460" t="e">
        <v>#N/A</v>
      </c>
      <c r="K1505" s="460" t="e">
        <v>#N/A</v>
      </c>
      <c r="L1505" s="459" t="e">
        <v>#N/A</v>
      </c>
      <c r="O1505">
        <v>0</v>
      </c>
      <c r="P1505" t="s">
        <v>9868</v>
      </c>
    </row>
    <row r="1506" spans="1:16" ht="14.4" x14ac:dyDescent="0.3">
      <c r="A1506">
        <v>388455</v>
      </c>
      <c r="B1506" t="str">
        <f t="shared" si="46"/>
        <v/>
      </c>
      <c r="C1506" s="185" t="e">
        <f t="shared" si="47"/>
        <v>#N/A</v>
      </c>
      <c r="D1506" s="407" t="s">
        <v>7677</v>
      </c>
      <c r="E1506" s="407" t="s">
        <v>7678</v>
      </c>
      <c r="F1506" s="407" t="s">
        <v>7679</v>
      </c>
      <c r="G1506" s="407" t="s">
        <v>68</v>
      </c>
      <c r="H1506" s="460" t="e">
        <v>#N/A</v>
      </c>
      <c r="I1506" s="460" t="e">
        <v>#N/A</v>
      </c>
      <c r="J1506" s="460" t="e">
        <v>#N/A</v>
      </c>
      <c r="K1506" s="460" t="e">
        <v>#N/A</v>
      </c>
      <c r="L1506" s="459" t="e">
        <v>#N/A</v>
      </c>
      <c r="O1506">
        <v>0</v>
      </c>
      <c r="P1506" t="s">
        <v>9869</v>
      </c>
    </row>
    <row r="1507" spans="1:16" ht="14.4" x14ac:dyDescent="0.3">
      <c r="A1507">
        <v>388462</v>
      </c>
      <c r="B1507" t="str">
        <f t="shared" si="46"/>
        <v>SEVROLL 222883 gąbka do usuwania drobnych zarysowań na srebrnych alu profilach</v>
      </c>
      <c r="C1507" s="185" t="e">
        <f t="shared" si="47"/>
        <v>#N/A</v>
      </c>
      <c r="D1507" s="407" t="s">
        <v>1407</v>
      </c>
      <c r="E1507" s="407" t="s">
        <v>1851</v>
      </c>
      <c r="F1507" s="407" t="s">
        <v>68</v>
      </c>
      <c r="G1507" s="407" t="s">
        <v>5863</v>
      </c>
      <c r="H1507" s="460" t="e">
        <v>#N/A</v>
      </c>
      <c r="I1507" s="460" t="e">
        <v>#N/A</v>
      </c>
      <c r="J1507" s="460" t="e">
        <v>#N/A</v>
      </c>
      <c r="K1507" s="460" t="e">
        <v>#N/A</v>
      </c>
      <c r="L1507" s="459" t="e">
        <v>#N/A</v>
      </c>
      <c r="O1507">
        <v>8.7560000000000002</v>
      </c>
      <c r="P1507" t="s">
        <v>9870</v>
      </c>
    </row>
    <row r="1508" spans="1:16" ht="14.4" x14ac:dyDescent="0.3">
      <c r="A1508">
        <v>388537</v>
      </c>
      <c r="B1508" t="str">
        <f t="shared" si="46"/>
        <v>StrongLine Planio zestaw do 2 skrzydeł z pełnym tłumieniem,8 szt. tłumienia,80kg</v>
      </c>
      <c r="C1508" s="185">
        <f t="shared" si="47"/>
        <v>369.92514999999997</v>
      </c>
      <c r="D1508" s="407" t="s">
        <v>7680</v>
      </c>
      <c r="E1508" s="407" t="s">
        <v>7681</v>
      </c>
      <c r="F1508" s="407" t="s">
        <v>7682</v>
      </c>
      <c r="G1508" s="407" t="s">
        <v>7683</v>
      </c>
      <c r="H1508" s="460">
        <v>2262.8689199999999</v>
      </c>
      <c r="I1508" s="460">
        <v>86.206149999999994</v>
      </c>
      <c r="J1508" s="460">
        <v>369.92514999999997</v>
      </c>
      <c r="K1508" s="460" t="e">
        <v>#N/A</v>
      </c>
      <c r="L1508" s="459" t="s">
        <v>538</v>
      </c>
      <c r="O1508">
        <v>72.52458</v>
      </c>
      <c r="P1508" t="s">
        <v>9871</v>
      </c>
    </row>
    <row r="1509" spans="1:16" ht="14.4" x14ac:dyDescent="0.3">
      <c r="A1509">
        <v>388538</v>
      </c>
      <c r="B1509" t="str">
        <f t="shared" si="46"/>
        <v>StrongLine Planio zestaw do 3 skrzydeł z pełnym tłumieniem, antykolizyjny</v>
      </c>
      <c r="C1509" s="185">
        <f t="shared" si="47"/>
        <v>485.24538000000001</v>
      </c>
      <c r="D1509" s="407" t="s">
        <v>7684</v>
      </c>
      <c r="E1509" s="407" t="s">
        <v>7685</v>
      </c>
      <c r="F1509" s="407" t="s">
        <v>7686</v>
      </c>
      <c r="G1509" s="407" t="s">
        <v>7687</v>
      </c>
      <c r="H1509" s="460">
        <v>2968.29468</v>
      </c>
      <c r="I1509" s="460">
        <v>113.08001</v>
      </c>
      <c r="J1509" s="460">
        <v>485.24538000000001</v>
      </c>
      <c r="K1509" s="460" t="e">
        <v>#N/A</v>
      </c>
      <c r="L1509" s="459" t="s">
        <v>538</v>
      </c>
      <c r="O1509">
        <v>95.133349999999993</v>
      </c>
      <c r="P1509" t="s">
        <v>9872</v>
      </c>
    </row>
    <row r="1510" spans="1:16" ht="14.4" x14ac:dyDescent="0.3">
      <c r="A1510">
        <v>388539</v>
      </c>
      <c r="B1510" t="str">
        <f t="shared" si="46"/>
        <v>StrongLine Planio tor górny anodowany 2 m</v>
      </c>
      <c r="C1510" s="185">
        <f t="shared" si="47"/>
        <v>50.726379999999999</v>
      </c>
      <c r="D1510" s="407" t="s">
        <v>7688</v>
      </c>
      <c r="E1510" s="407" t="s">
        <v>7689</v>
      </c>
      <c r="F1510" s="407" t="s">
        <v>7690</v>
      </c>
      <c r="G1510" s="407" t="s">
        <v>7691</v>
      </c>
      <c r="H1510" s="460">
        <v>413.73072000000002</v>
      </c>
      <c r="I1510" s="460">
        <v>16.426559999999998</v>
      </c>
      <c r="J1510" s="460">
        <v>50.726379999999999</v>
      </c>
      <c r="K1510" s="460" t="e">
        <v>#N/A</v>
      </c>
      <c r="L1510" s="459" t="s">
        <v>538</v>
      </c>
      <c r="O1510">
        <v>8.4149999999999991</v>
      </c>
      <c r="P1510" t="s">
        <v>9873</v>
      </c>
    </row>
    <row r="1511" spans="1:16" ht="14.4" x14ac:dyDescent="0.3">
      <c r="A1511">
        <v>388540</v>
      </c>
      <c r="B1511" t="str">
        <f t="shared" si="46"/>
        <v>StrongLine Planio tor górny anodowany 3 m</v>
      </c>
      <c r="C1511" s="185">
        <f t="shared" si="47"/>
        <v>83.616829999999993</v>
      </c>
      <c r="D1511" s="407" t="s">
        <v>7692</v>
      </c>
      <c r="E1511" s="407" t="s">
        <v>7693</v>
      </c>
      <c r="F1511" s="407" t="s">
        <v>7694</v>
      </c>
      <c r="G1511" s="407" t="s">
        <v>7695</v>
      </c>
      <c r="H1511" s="460">
        <v>738.16704000000004</v>
      </c>
      <c r="I1511" s="460">
        <v>25.427420000000001</v>
      </c>
      <c r="J1511" s="460">
        <v>83.616829999999993</v>
      </c>
      <c r="K1511" s="460" t="e">
        <v>#N/A</v>
      </c>
      <c r="L1511" s="459" t="s">
        <v>538</v>
      </c>
      <c r="O1511">
        <v>12.6326</v>
      </c>
      <c r="P1511" t="s">
        <v>9874</v>
      </c>
    </row>
    <row r="1512" spans="1:16" ht="14.4" x14ac:dyDescent="0.3">
      <c r="A1512">
        <v>388541</v>
      </c>
      <c r="B1512" t="str">
        <f t="shared" si="46"/>
        <v>StrongLine Planio tor górny anodowany 4 m</v>
      </c>
      <c r="C1512" s="185">
        <f t="shared" si="47"/>
        <v>101.45274999999999</v>
      </c>
      <c r="D1512" s="407" t="s">
        <v>7696</v>
      </c>
      <c r="E1512" s="407" t="s">
        <v>7697</v>
      </c>
      <c r="F1512" s="407" t="s">
        <v>7698</v>
      </c>
      <c r="G1512" s="407" t="s">
        <v>7699</v>
      </c>
      <c r="H1512" s="460">
        <v>827.46144000000004</v>
      </c>
      <c r="I1512" s="460">
        <v>32.818939999999998</v>
      </c>
      <c r="J1512" s="460">
        <v>101.45274999999999</v>
      </c>
      <c r="K1512" s="460" t="e">
        <v>#N/A</v>
      </c>
      <c r="L1512" s="459" t="s">
        <v>538</v>
      </c>
      <c r="O1512">
        <v>16.829999999999998</v>
      </c>
      <c r="P1512" t="s">
        <v>9875</v>
      </c>
    </row>
    <row r="1513" spans="1:16" ht="14.4" x14ac:dyDescent="0.3">
      <c r="A1513">
        <v>388542</v>
      </c>
      <c r="B1513" t="str">
        <f t="shared" si="46"/>
        <v>StrongLine Planio tor dolny anodowany 2 m</v>
      </c>
      <c r="C1513" s="185">
        <f t="shared" si="47"/>
        <v>62.039479999999998</v>
      </c>
      <c r="D1513" s="407" t="s">
        <v>7700</v>
      </c>
      <c r="E1513" s="407" t="s">
        <v>7701</v>
      </c>
      <c r="F1513" s="407" t="s">
        <v>7702</v>
      </c>
      <c r="G1513" s="407" t="s">
        <v>7703</v>
      </c>
      <c r="H1513" s="460">
        <v>506.0016</v>
      </c>
      <c r="I1513" s="460">
        <v>20.046530000000001</v>
      </c>
      <c r="J1513" s="460">
        <v>62.039479999999998</v>
      </c>
      <c r="K1513" s="460" t="e">
        <v>#N/A</v>
      </c>
      <c r="L1513" s="459" t="s">
        <v>538</v>
      </c>
      <c r="O1513">
        <v>10.291729999999999</v>
      </c>
      <c r="P1513" t="s">
        <v>9876</v>
      </c>
    </row>
    <row r="1514" spans="1:16" ht="14.4" x14ac:dyDescent="0.3">
      <c r="A1514">
        <v>388543</v>
      </c>
      <c r="B1514" t="str">
        <f t="shared" si="46"/>
        <v>StrongLine Planio tor dolny anodowany 3 m</v>
      </c>
      <c r="C1514" s="185">
        <f t="shared" si="47"/>
        <v>102.04992</v>
      </c>
      <c r="D1514" s="407" t="s">
        <v>7704</v>
      </c>
      <c r="E1514" s="407" t="s">
        <v>7705</v>
      </c>
      <c r="F1514" s="407" t="s">
        <v>7706</v>
      </c>
      <c r="G1514" s="407" t="s">
        <v>7707</v>
      </c>
      <c r="H1514" s="460">
        <v>899.88912000000005</v>
      </c>
      <c r="I1514" s="460">
        <v>30.991879999999998</v>
      </c>
      <c r="J1514" s="460">
        <v>102.04992</v>
      </c>
      <c r="K1514" s="460" t="e">
        <v>#N/A</v>
      </c>
      <c r="L1514" s="459" t="s">
        <v>538</v>
      </c>
      <c r="O1514">
        <v>15.417400000000001</v>
      </c>
      <c r="P1514" t="s">
        <v>9877</v>
      </c>
    </row>
    <row r="1515" spans="1:16" ht="14.4" x14ac:dyDescent="0.3">
      <c r="A1515">
        <v>388544</v>
      </c>
      <c r="B1515" t="str">
        <f t="shared" si="46"/>
        <v>StrongLine Planio tor dolny anodowany 4 m</v>
      </c>
      <c r="C1515" s="185">
        <f t="shared" si="47"/>
        <v>124.07883</v>
      </c>
      <c r="D1515" s="407" t="s">
        <v>7708</v>
      </c>
      <c r="E1515" s="407" t="s">
        <v>7709</v>
      </c>
      <c r="F1515" s="407" t="s">
        <v>7710</v>
      </c>
      <c r="G1515" s="407" t="s">
        <v>7711</v>
      </c>
      <c r="H1515" s="460">
        <v>1012.0032</v>
      </c>
      <c r="I1515" s="460">
        <v>40.161380000000001</v>
      </c>
      <c r="J1515" s="460">
        <v>124.07883</v>
      </c>
      <c r="K1515" s="460" t="e">
        <v>#N/A</v>
      </c>
      <c r="L1515" s="459" t="s">
        <v>538</v>
      </c>
      <c r="O1515">
        <v>20.583459999999999</v>
      </c>
      <c r="P1515" t="s">
        <v>9878</v>
      </c>
    </row>
    <row r="1516" spans="1:16" ht="14.4" x14ac:dyDescent="0.3">
      <c r="A1516">
        <v>388545</v>
      </c>
      <c r="B1516" t="str">
        <f t="shared" si="46"/>
        <v>StrongLine Planio profil maskujący do drzwi zewnętrznych, anodowany, 2 m</v>
      </c>
      <c r="C1516" s="185">
        <f t="shared" si="47"/>
        <v>46.34713</v>
      </c>
      <c r="D1516" s="407" t="s">
        <v>7712</v>
      </c>
      <c r="E1516" s="407" t="s">
        <v>7713</v>
      </c>
      <c r="F1516" s="407" t="s">
        <v>7714</v>
      </c>
      <c r="G1516" s="407" t="s">
        <v>7715</v>
      </c>
      <c r="H1516" s="460">
        <v>449.44848000000002</v>
      </c>
      <c r="I1516" s="460">
        <v>15.460699999999999</v>
      </c>
      <c r="J1516" s="460">
        <v>46.34713</v>
      </c>
      <c r="K1516" s="460" t="e">
        <v>#N/A</v>
      </c>
      <c r="L1516" s="459" t="s">
        <v>538</v>
      </c>
      <c r="O1516">
        <v>7.6885199999999996</v>
      </c>
      <c r="P1516" t="s">
        <v>9879</v>
      </c>
    </row>
    <row r="1517" spans="1:16" ht="14.4" x14ac:dyDescent="0.3">
      <c r="A1517">
        <v>388635</v>
      </c>
      <c r="B1517" t="e">
        <f t="shared" si="46"/>
        <v>#N/A</v>
      </c>
      <c r="C1517" s="185" t="e">
        <f t="shared" si="47"/>
        <v>#N/A</v>
      </c>
      <c r="D1517" s="407" t="e">
        <v>#N/A</v>
      </c>
      <c r="E1517" s="407" t="e">
        <v>#N/A</v>
      </c>
      <c r="F1517" s="407" t="e">
        <v>#N/A</v>
      </c>
      <c r="G1517" s="407" t="e">
        <v>#N/A</v>
      </c>
      <c r="H1517" s="460" t="e">
        <v>#N/A</v>
      </c>
      <c r="I1517" s="460" t="e">
        <v>#N/A</v>
      </c>
      <c r="J1517" s="460" t="e">
        <v>#N/A</v>
      </c>
      <c r="K1517" s="460" t="e">
        <v>#N/A</v>
      </c>
      <c r="L1517" s="459" t="e">
        <v>#N/A</v>
      </c>
      <c r="O1517" t="e">
        <v>#N/A</v>
      </c>
      <c r="P1517" t="e">
        <v>#N/A</v>
      </c>
    </row>
    <row r="1518" spans="1:16" ht="14.4" x14ac:dyDescent="0.3">
      <c r="A1518">
        <v>317451</v>
      </c>
      <c r="B1518" t="e">
        <f t="shared" si="46"/>
        <v>#N/A</v>
      </c>
      <c r="C1518" s="185" t="e">
        <f t="shared" si="47"/>
        <v>#N/A</v>
      </c>
      <c r="D1518" s="407" t="e">
        <v>#N/A</v>
      </c>
      <c r="E1518" s="407" t="e">
        <v>#N/A</v>
      </c>
      <c r="F1518" s="407" t="e">
        <v>#N/A</v>
      </c>
      <c r="G1518" s="407" t="e">
        <v>#N/A</v>
      </c>
      <c r="H1518" s="460" t="e">
        <v>#N/A</v>
      </c>
      <c r="I1518" s="460" t="e">
        <v>#N/A</v>
      </c>
      <c r="J1518" s="460" t="e">
        <v>#N/A</v>
      </c>
      <c r="K1518" s="460" t="e">
        <v>#N/A</v>
      </c>
      <c r="L1518" s="459" t="e">
        <v>#N/A</v>
      </c>
      <c r="O1518" t="e">
        <v>#N/A</v>
      </c>
      <c r="P1518" t="e">
        <v>#N/A</v>
      </c>
    </row>
    <row r="1519" spans="1:16" ht="14.4" x14ac:dyDescent="0.3">
      <c r="A1519">
        <v>317904</v>
      </c>
      <c r="B1519" t="str">
        <f t="shared" si="46"/>
        <v>S-brush stop niski z klejem 4,8*5mm szary</v>
      </c>
      <c r="C1519" s="185" t="e">
        <f t="shared" si="47"/>
        <v>#N/A</v>
      </c>
      <c r="D1519" s="407" t="s">
        <v>7716</v>
      </c>
      <c r="E1519" s="407" t="s">
        <v>7717</v>
      </c>
      <c r="F1519" s="407" t="s">
        <v>7718</v>
      </c>
      <c r="G1519" s="407" t="s">
        <v>7719</v>
      </c>
      <c r="H1519" s="460" t="e">
        <v>#N/A</v>
      </c>
      <c r="I1519" s="460" t="e">
        <v>#N/A</v>
      </c>
      <c r="J1519" s="460" t="e">
        <v>#N/A</v>
      </c>
      <c r="K1519" s="460" t="e">
        <v>#N/A</v>
      </c>
      <c r="L1519" s="459" t="e">
        <v>#N/A</v>
      </c>
      <c r="O1519">
        <v>0.87414999999999998</v>
      </c>
      <c r="P1519" t="s">
        <v>9880</v>
      </c>
    </row>
    <row r="1520" spans="1:16" ht="14.4" x14ac:dyDescent="0.3">
      <c r="A1520">
        <v>317938</v>
      </c>
      <c r="B1520" t="str">
        <f t="shared" si="46"/>
        <v>S-S60N-2 komplet okuć do 1 drzwi</v>
      </c>
      <c r="C1520" s="185">
        <f t="shared" si="47"/>
        <v>48.437399999999997</v>
      </c>
      <c r="D1520" s="407" t="s">
        <v>7720</v>
      </c>
      <c r="E1520" s="407" t="s">
        <v>7721</v>
      </c>
      <c r="F1520" s="407" t="s">
        <v>7722</v>
      </c>
      <c r="G1520" s="407" t="s">
        <v>7723</v>
      </c>
      <c r="H1520" s="460">
        <v>257.25</v>
      </c>
      <c r="I1520" s="460">
        <v>10.979340000000001</v>
      </c>
      <c r="J1520" s="460">
        <v>48.437399999999997</v>
      </c>
      <c r="K1520" s="460" t="e">
        <v>#N/A</v>
      </c>
      <c r="L1520" s="459" t="s">
        <v>537</v>
      </c>
      <c r="O1520">
        <v>9.2659599999999998</v>
      </c>
      <c r="P1520" t="s">
        <v>9881</v>
      </c>
    </row>
    <row r="1521" spans="1:16" ht="14.4" x14ac:dyDescent="0.3">
      <c r="A1521">
        <v>317940</v>
      </c>
      <c r="B1521" t="str">
        <f t="shared" si="46"/>
        <v>S-profil dzielący "T" 3m elox srebrny</v>
      </c>
      <c r="C1521" s="185" t="e">
        <f t="shared" si="47"/>
        <v>#N/A</v>
      </c>
      <c r="D1521" s="407" t="s">
        <v>7724</v>
      </c>
      <c r="E1521" s="407" t="s">
        <v>7725</v>
      </c>
      <c r="F1521" s="407" t="s">
        <v>7726</v>
      </c>
      <c r="G1521" s="407" t="s">
        <v>7727</v>
      </c>
      <c r="H1521" s="460" t="e">
        <v>#N/A</v>
      </c>
      <c r="I1521" s="460" t="e">
        <v>#N/A</v>
      </c>
      <c r="J1521" s="460" t="e">
        <v>#N/A</v>
      </c>
      <c r="K1521" s="460" t="e">
        <v>#N/A</v>
      </c>
      <c r="L1521" s="459" t="e">
        <v>#N/A</v>
      </c>
      <c r="O1521">
        <v>0</v>
      </c>
      <c r="P1521" t="s">
        <v>9882</v>
      </c>
    </row>
    <row r="1522" spans="1:16" ht="14.4" x14ac:dyDescent="0.3">
      <c r="A1522">
        <v>409670</v>
      </c>
      <c r="B1522" t="str">
        <f t="shared" si="46"/>
        <v>SEVROLL 05314 Gemini tor górny 2,35 m czarny mat</v>
      </c>
      <c r="C1522" s="185">
        <f t="shared" si="47"/>
        <v>103.20359999999999</v>
      </c>
      <c r="D1522" s="407" t="s">
        <v>1408</v>
      </c>
      <c r="E1522" s="407" t="s">
        <v>1852</v>
      </c>
      <c r="F1522" s="407" t="s">
        <v>5864</v>
      </c>
      <c r="G1522" s="407" t="s">
        <v>5865</v>
      </c>
      <c r="H1522" s="460">
        <v>707.82552999999996</v>
      </c>
      <c r="I1522" s="460">
        <v>25.450099999999999</v>
      </c>
      <c r="J1522" s="460">
        <v>103.20359999999999</v>
      </c>
      <c r="K1522" s="460">
        <v>9795.3803599999992</v>
      </c>
      <c r="L1522" s="459" t="s">
        <v>538</v>
      </c>
      <c r="O1522">
        <v>26.928000000000001</v>
      </c>
      <c r="P1522" t="s">
        <v>9883</v>
      </c>
    </row>
    <row r="1523" spans="1:16" ht="14.4" x14ac:dyDescent="0.3">
      <c r="A1523">
        <v>409674</v>
      </c>
      <c r="B1523" t="str">
        <f t="shared" si="46"/>
        <v>SEVROLL 04835 Gemini tor górny 4,05 m czarny mat</v>
      </c>
      <c r="C1523" s="185">
        <f t="shared" si="47"/>
        <v>177.9186</v>
      </c>
      <c r="D1523" s="407" t="s">
        <v>1409</v>
      </c>
      <c r="E1523" s="407" t="s">
        <v>1853</v>
      </c>
      <c r="F1523" s="407" t="s">
        <v>5866</v>
      </c>
      <c r="G1523" s="407" t="s">
        <v>5867</v>
      </c>
      <c r="H1523" s="460">
        <v>1219.5153600000001</v>
      </c>
      <c r="I1523" s="460">
        <v>43.848080000000003</v>
      </c>
      <c r="J1523" s="460">
        <v>177.9186</v>
      </c>
      <c r="K1523" s="460">
        <v>16876.499019999999</v>
      </c>
      <c r="L1523" s="459" t="s">
        <v>538</v>
      </c>
      <c r="O1523">
        <v>46.353999999999999</v>
      </c>
      <c r="P1523" t="s">
        <v>9884</v>
      </c>
    </row>
    <row r="1524" spans="1:16" ht="14.4" x14ac:dyDescent="0.3">
      <c r="A1524">
        <v>409676</v>
      </c>
      <c r="B1524" t="str">
        <f t="shared" si="46"/>
        <v>SEVROLL 05311 Elegant II tor dolny 4,05 m czarny mat</v>
      </c>
      <c r="C1524" s="185">
        <f t="shared" si="47"/>
        <v>96.930599999999998</v>
      </c>
      <c r="D1524" s="407" t="s">
        <v>1410</v>
      </c>
      <c r="E1524" s="407" t="s">
        <v>1854</v>
      </c>
      <c r="F1524" s="407" t="s">
        <v>5868</v>
      </c>
      <c r="G1524" s="407" t="s">
        <v>5869</v>
      </c>
      <c r="H1524" s="460">
        <v>713.61551999999995</v>
      </c>
      <c r="I1524" s="460">
        <v>25.658280000000001</v>
      </c>
      <c r="J1524" s="460">
        <v>96.930599999999998</v>
      </c>
      <c r="K1524" s="460">
        <v>9875.5060699999995</v>
      </c>
      <c r="L1524" s="459" t="s">
        <v>538</v>
      </c>
      <c r="O1524">
        <v>25.564</v>
      </c>
      <c r="P1524" t="s">
        <v>9885</v>
      </c>
    </row>
    <row r="1525" spans="1:16" ht="14.4" x14ac:dyDescent="0.3">
      <c r="A1525">
        <v>409678</v>
      </c>
      <c r="B1525" t="str">
        <f t="shared" si="46"/>
        <v>SEVROLL 05309 Elegant II tor dolny 2,35 m czarny mat</v>
      </c>
      <c r="C1525" s="185">
        <f t="shared" si="47"/>
        <v>56.242800000000003</v>
      </c>
      <c r="D1525" s="407" t="s">
        <v>1411</v>
      </c>
      <c r="E1525" s="407" t="s">
        <v>1855</v>
      </c>
      <c r="F1525" s="407" t="s">
        <v>5870</v>
      </c>
      <c r="G1525" s="407" t="s">
        <v>5871</v>
      </c>
      <c r="H1525" s="460">
        <v>414.70758000000001</v>
      </c>
      <c r="I1525" s="460">
        <v>14.91095</v>
      </c>
      <c r="J1525" s="460">
        <v>56.242800000000003</v>
      </c>
      <c r="K1525" s="460">
        <v>5739.01116</v>
      </c>
      <c r="L1525" s="459" t="s">
        <v>538</v>
      </c>
      <c r="O1525">
        <v>14.85</v>
      </c>
      <c r="P1525" t="s">
        <v>9886</v>
      </c>
    </row>
    <row r="1526" spans="1:16" ht="14.4" x14ac:dyDescent="0.3">
      <c r="A1526">
        <v>409679</v>
      </c>
      <c r="B1526" t="str">
        <f t="shared" si="46"/>
        <v>SEVROLL 05318 zaślepka do toru Elegant II 2,35m czarny mat</v>
      </c>
      <c r="C1526" s="185">
        <f t="shared" si="47"/>
        <v>16.870799999999999</v>
      </c>
      <c r="D1526" s="407" t="s">
        <v>1412</v>
      </c>
      <c r="E1526" s="407" t="s">
        <v>1856</v>
      </c>
      <c r="F1526" s="407" t="s">
        <v>5872</v>
      </c>
      <c r="G1526" s="407" t="s">
        <v>5873</v>
      </c>
      <c r="H1526" s="460">
        <v>128.10339999999999</v>
      </c>
      <c r="I1526" s="460">
        <v>4.6059999999999999</v>
      </c>
      <c r="J1526" s="460">
        <v>16.870799999999999</v>
      </c>
      <c r="K1526" s="460">
        <v>1772.7836600000001</v>
      </c>
      <c r="L1526" s="459" t="s">
        <v>538</v>
      </c>
      <c r="O1526">
        <v>4.532</v>
      </c>
      <c r="P1526" t="s">
        <v>9887</v>
      </c>
    </row>
    <row r="1527" spans="1:16" ht="14.4" x14ac:dyDescent="0.3">
      <c r="A1527">
        <v>409680</v>
      </c>
      <c r="B1527" t="str">
        <f t="shared" si="46"/>
        <v>SEVROLL 05320 zaślepka do toru Elegant II 4,05m czarny mat</v>
      </c>
      <c r="C1527" s="185">
        <f t="shared" si="47"/>
        <v>29.07</v>
      </c>
      <c r="D1527" s="407" t="s">
        <v>1413</v>
      </c>
      <c r="E1527" s="407" t="s">
        <v>1857</v>
      </c>
      <c r="F1527" s="407" t="s">
        <v>5874</v>
      </c>
      <c r="G1527" s="407" t="s">
        <v>5875</v>
      </c>
      <c r="H1527" s="460">
        <v>220.74315000000001</v>
      </c>
      <c r="I1527" s="460">
        <v>7.93689</v>
      </c>
      <c r="J1527" s="460">
        <v>29.07</v>
      </c>
      <c r="K1527" s="460">
        <v>3054.79655</v>
      </c>
      <c r="L1527" s="459" t="s">
        <v>538</v>
      </c>
      <c r="O1527">
        <v>7.7880000000000003</v>
      </c>
      <c r="P1527" t="s">
        <v>9888</v>
      </c>
    </row>
    <row r="1528" spans="1:16" ht="14.4" x14ac:dyDescent="0.3">
      <c r="A1528">
        <v>409682</v>
      </c>
      <c r="B1528" t="str">
        <f t="shared" si="46"/>
        <v>SEVROLL kątownik Mini 17x11 mm 2,35 m czarny mat</v>
      </c>
      <c r="C1528" s="185">
        <f t="shared" si="47"/>
        <v>16.901399999999999</v>
      </c>
      <c r="D1528" s="407" t="s">
        <v>5876</v>
      </c>
      <c r="E1528" s="407" t="s">
        <v>5877</v>
      </c>
      <c r="F1528" s="407" t="s">
        <v>5878</v>
      </c>
      <c r="G1528" s="407" t="s">
        <v>5879</v>
      </c>
      <c r="H1528" s="460">
        <v>122.31341</v>
      </c>
      <c r="I1528" s="460">
        <v>4.3978200000000003</v>
      </c>
      <c r="J1528" s="460">
        <v>16.901399999999999</v>
      </c>
      <c r="K1528" s="460">
        <v>1692.6579200000001</v>
      </c>
      <c r="L1528" s="459" t="s">
        <v>538</v>
      </c>
      <c r="O1528">
        <v>4.5540000000000003</v>
      </c>
      <c r="P1528" t="s">
        <v>9889</v>
      </c>
    </row>
    <row r="1529" spans="1:16" ht="14.4" x14ac:dyDescent="0.3">
      <c r="A1529">
        <v>409683</v>
      </c>
      <c r="B1529" t="str">
        <f t="shared" si="46"/>
        <v>SEVROLL listwa łącząca H18 3m czarny mat</v>
      </c>
      <c r="C1529" s="185">
        <f t="shared" si="47"/>
        <v>62.464799999999997</v>
      </c>
      <c r="D1529" s="407" t="s">
        <v>1414</v>
      </c>
      <c r="E1529" s="407" t="s">
        <v>1858</v>
      </c>
      <c r="F1529" s="407" t="s">
        <v>5880</v>
      </c>
      <c r="G1529" s="407" t="s">
        <v>2405</v>
      </c>
      <c r="H1529" s="460">
        <v>433.52503999999999</v>
      </c>
      <c r="I1529" s="460">
        <v>15.587540000000001</v>
      </c>
      <c r="J1529" s="460">
        <v>62.464799999999997</v>
      </c>
      <c r="K1529" s="460">
        <v>5999.42029</v>
      </c>
      <c r="L1529" s="459" t="s">
        <v>538</v>
      </c>
      <c r="O1529">
        <v>16.5</v>
      </c>
      <c r="P1529" t="s">
        <v>9890</v>
      </c>
    </row>
    <row r="1530" spans="1:16" ht="14.4" x14ac:dyDescent="0.3">
      <c r="A1530">
        <v>409700</v>
      </c>
      <c r="B1530" t="str">
        <f t="shared" si="46"/>
        <v>SEVROLL 
20334-SV szczotka odbojowa wsuwana 14x4mm czarna</v>
      </c>
      <c r="C1530" s="185">
        <f t="shared" si="47"/>
        <v>1.43</v>
      </c>
      <c r="D1530" s="407" t="s">
        <v>1415</v>
      </c>
      <c r="E1530" s="407" t="s">
        <v>1859</v>
      </c>
      <c r="F1530" s="407" t="s">
        <v>5881</v>
      </c>
      <c r="G1530" s="407" t="s">
        <v>5882</v>
      </c>
      <c r="H1530" s="460">
        <v>11.520099999999999</v>
      </c>
      <c r="I1530" s="460">
        <v>0.39034000000000002</v>
      </c>
      <c r="J1530" s="460">
        <v>1.43</v>
      </c>
      <c r="K1530" s="460">
        <v>149.05521999999999</v>
      </c>
      <c r="L1530" s="459" t="s">
        <v>538</v>
      </c>
      <c r="O1530">
        <v>0.37444</v>
      </c>
      <c r="P1530" t="s">
        <v>9891</v>
      </c>
    </row>
    <row r="1531" spans="1:16" ht="14.4" x14ac:dyDescent="0.3">
      <c r="A1531">
        <v>409699</v>
      </c>
      <c r="B1531" t="str">
        <f t="shared" si="46"/>
        <v>SEVROLL 20403-SV szczotka odbojowa wsuwana 4,8x4mm czarna</v>
      </c>
      <c r="C1531" s="185">
        <f t="shared" si="47"/>
        <v>0.59360000000000002</v>
      </c>
      <c r="D1531" s="407" t="s">
        <v>1416</v>
      </c>
      <c r="E1531" s="407" t="s">
        <v>1860</v>
      </c>
      <c r="F1531" s="407" t="s">
        <v>5883</v>
      </c>
      <c r="G1531" s="407" t="s">
        <v>5884</v>
      </c>
      <c r="H1531" s="460">
        <v>4.6080500000000004</v>
      </c>
      <c r="I1531" s="460">
        <v>0.15629999999999999</v>
      </c>
      <c r="J1531" s="460">
        <v>0.59360000000000002</v>
      </c>
      <c r="K1531" s="460">
        <v>61.50817</v>
      </c>
      <c r="L1531" s="459" t="s">
        <v>538</v>
      </c>
      <c r="O1531">
        <v>0.15576000000000001</v>
      </c>
      <c r="P1531" t="s">
        <v>9892</v>
      </c>
    </row>
    <row r="1532" spans="1:16" ht="14.4" x14ac:dyDescent="0.3">
      <c r="A1532">
        <v>410298</v>
      </c>
      <c r="B1532" t="e">
        <f t="shared" si="46"/>
        <v>#N/A</v>
      </c>
      <c r="C1532" s="185" t="e">
        <f t="shared" si="47"/>
        <v>#N/A</v>
      </c>
      <c r="D1532" s="407" t="e">
        <v>#N/A</v>
      </c>
      <c r="E1532" s="407" t="e">
        <v>#N/A</v>
      </c>
      <c r="F1532" s="407" t="e">
        <v>#N/A</v>
      </c>
      <c r="G1532" s="407" t="e">
        <v>#N/A</v>
      </c>
      <c r="H1532" s="460" t="e">
        <v>#N/A</v>
      </c>
      <c r="I1532" s="460" t="e">
        <v>#N/A</v>
      </c>
      <c r="J1532" s="460" t="e">
        <v>#N/A</v>
      </c>
      <c r="K1532" s="460" t="e">
        <v>#N/A</v>
      </c>
      <c r="L1532" s="459" t="e">
        <v>#N/A</v>
      </c>
      <c r="O1532" t="e">
        <v>#N/A</v>
      </c>
      <c r="P1532" t="e">
        <v>#N/A</v>
      </c>
    </row>
    <row r="1533" spans="1:16" ht="14.4" x14ac:dyDescent="0.3">
      <c r="A1533">
        <v>410301</v>
      </c>
      <c r="B1533" t="e">
        <f t="shared" si="46"/>
        <v>#N/A</v>
      </c>
      <c r="C1533" s="185" t="e">
        <f t="shared" si="47"/>
        <v>#N/A</v>
      </c>
      <c r="D1533" s="407" t="e">
        <v>#N/A</v>
      </c>
      <c r="E1533" s="407" t="e">
        <v>#N/A</v>
      </c>
      <c r="F1533" s="407" t="e">
        <v>#N/A</v>
      </c>
      <c r="G1533" s="407" t="e">
        <v>#N/A</v>
      </c>
      <c r="H1533" s="460" t="e">
        <v>#N/A</v>
      </c>
      <c r="I1533" s="460" t="e">
        <v>#N/A</v>
      </c>
      <c r="J1533" s="460" t="e">
        <v>#N/A</v>
      </c>
      <c r="K1533" s="460" t="e">
        <v>#N/A</v>
      </c>
      <c r="L1533" s="459" t="e">
        <v>#N/A</v>
      </c>
      <c r="O1533" t="e">
        <v>#N/A</v>
      </c>
      <c r="P1533" t="e">
        <v>#N/A</v>
      </c>
    </row>
    <row r="1534" spans="1:16" ht="14.4" x14ac:dyDescent="0.3">
      <c r="A1534">
        <v>410302</v>
      </c>
      <c r="B1534" t="e">
        <f t="shared" si="46"/>
        <v>#N/A</v>
      </c>
      <c r="C1534" s="185" t="e">
        <f t="shared" si="47"/>
        <v>#N/A</v>
      </c>
      <c r="D1534" s="407" t="e">
        <v>#N/A</v>
      </c>
      <c r="E1534" s="407" t="e">
        <v>#N/A</v>
      </c>
      <c r="F1534" s="407" t="e">
        <v>#N/A</v>
      </c>
      <c r="G1534" s="407" t="e">
        <v>#N/A</v>
      </c>
      <c r="H1534" s="460" t="e">
        <v>#N/A</v>
      </c>
      <c r="I1534" s="460" t="e">
        <v>#N/A</v>
      </c>
      <c r="J1534" s="460" t="e">
        <v>#N/A</v>
      </c>
      <c r="K1534" s="460" t="e">
        <v>#N/A</v>
      </c>
      <c r="L1534" s="459" t="e">
        <v>#N/A</v>
      </c>
      <c r="O1534" t="e">
        <v>#N/A</v>
      </c>
      <c r="P1534" t="e">
        <v>#N/A</v>
      </c>
    </row>
    <row r="1535" spans="1:16" ht="14.4" x14ac:dyDescent="0.3">
      <c r="A1535">
        <v>410303</v>
      </c>
      <c r="B1535" t="e">
        <f t="shared" si="46"/>
        <v>#N/A</v>
      </c>
      <c r="C1535" s="185" t="e">
        <f t="shared" si="47"/>
        <v>#N/A</v>
      </c>
      <c r="D1535" s="407" t="e">
        <v>#N/A</v>
      </c>
      <c r="E1535" s="407" t="e">
        <v>#N/A</v>
      </c>
      <c r="F1535" s="407" t="e">
        <v>#N/A</v>
      </c>
      <c r="G1535" s="407" t="e">
        <v>#N/A</v>
      </c>
      <c r="H1535" s="460" t="e">
        <v>#N/A</v>
      </c>
      <c r="I1535" s="460" t="e">
        <v>#N/A</v>
      </c>
      <c r="J1535" s="460" t="e">
        <v>#N/A</v>
      </c>
      <c r="K1535" s="460" t="e">
        <v>#N/A</v>
      </c>
      <c r="L1535" s="459" t="e">
        <v>#N/A</v>
      </c>
      <c r="O1535" t="e">
        <v>#N/A</v>
      </c>
      <c r="P1535" t="e">
        <v>#N/A</v>
      </c>
    </row>
    <row r="1536" spans="1:16" ht="14.4" x14ac:dyDescent="0.3">
      <c r="A1536">
        <v>410307</v>
      </c>
      <c r="B1536" t="e">
        <f t="shared" si="46"/>
        <v>#N/A</v>
      </c>
      <c r="C1536" s="185" t="e">
        <f t="shared" si="47"/>
        <v>#N/A</v>
      </c>
      <c r="D1536" s="407" t="e">
        <v>#N/A</v>
      </c>
      <c r="E1536" s="407" t="e">
        <v>#N/A</v>
      </c>
      <c r="F1536" s="407" t="e">
        <v>#N/A</v>
      </c>
      <c r="G1536" s="407" t="e">
        <v>#N/A</v>
      </c>
      <c r="H1536" s="460" t="e">
        <v>#N/A</v>
      </c>
      <c r="I1536" s="460" t="e">
        <v>#N/A</v>
      </c>
      <c r="J1536" s="460" t="e">
        <v>#N/A</v>
      </c>
      <c r="K1536" s="460" t="e">
        <v>#N/A</v>
      </c>
      <c r="L1536" s="459" t="e">
        <v>#N/A</v>
      </c>
      <c r="O1536" t="e">
        <v>#N/A</v>
      </c>
      <c r="P1536" t="e">
        <v>#N/A</v>
      </c>
    </row>
    <row r="1537" spans="1:16" ht="14.4" x14ac:dyDescent="0.3">
      <c r="A1537">
        <v>222811</v>
      </c>
      <c r="B1537" t="str">
        <f t="shared" si="46"/>
        <v>S-profil S04 srebrny elox 2,7m</v>
      </c>
      <c r="C1537" s="185" t="e">
        <f t="shared" si="47"/>
        <v>#N/A</v>
      </c>
      <c r="D1537" s="407" t="s">
        <v>7728</v>
      </c>
      <c r="E1537" s="407" t="s">
        <v>7729</v>
      </c>
      <c r="F1537" s="407" t="s">
        <v>7730</v>
      </c>
      <c r="G1537" s="407" t="s">
        <v>7731</v>
      </c>
      <c r="H1537" s="460" t="e">
        <v>#N/A</v>
      </c>
      <c r="I1537" s="460" t="e">
        <v>#N/A</v>
      </c>
      <c r="J1537" s="460" t="e">
        <v>#N/A</v>
      </c>
      <c r="K1537" s="460" t="e">
        <v>#N/A</v>
      </c>
      <c r="L1537" s="459" t="e">
        <v>#N/A</v>
      </c>
      <c r="O1537">
        <v>0</v>
      </c>
      <c r="P1537" t="s">
        <v>9893</v>
      </c>
    </row>
    <row r="1538" spans="1:16" ht="14.4" x14ac:dyDescent="0.3">
      <c r="A1538">
        <v>222922</v>
      </c>
      <c r="B1538" t="str">
        <f t="shared" si="46"/>
        <v>SEVROLL ZR-18 Unicomfort zestaw do drzwi rozwieranych</v>
      </c>
      <c r="C1538" s="185">
        <f t="shared" si="47"/>
        <v>106.2534</v>
      </c>
      <c r="D1538" s="407" t="s">
        <v>3036</v>
      </c>
      <c r="E1538" s="407" t="s">
        <v>1861</v>
      </c>
      <c r="F1538" s="407" t="s">
        <v>2174</v>
      </c>
      <c r="G1538" s="407" t="s">
        <v>2406</v>
      </c>
      <c r="H1538" s="460">
        <v>846.78513999999996</v>
      </c>
      <c r="I1538" s="460">
        <v>30.446439999999999</v>
      </c>
      <c r="J1538" s="460">
        <v>106.2534</v>
      </c>
      <c r="K1538" s="460">
        <v>11718.3999</v>
      </c>
      <c r="L1538" s="459" t="s">
        <v>539</v>
      </c>
      <c r="O1538">
        <v>28.533999999999999</v>
      </c>
      <c r="P1538" t="s">
        <v>9894</v>
      </c>
    </row>
    <row r="1539" spans="1:16" ht="14.4" x14ac:dyDescent="0.3">
      <c r="A1539">
        <v>224390</v>
      </c>
      <c r="B1539" t="e">
        <f t="shared" si="46"/>
        <v>#N/A</v>
      </c>
      <c r="C1539" s="185" t="e">
        <f t="shared" si="47"/>
        <v>#N/A</v>
      </c>
      <c r="D1539" s="407" t="e">
        <v>#N/A</v>
      </c>
      <c r="E1539" s="407" t="e">
        <v>#N/A</v>
      </c>
      <c r="F1539" s="407" t="e">
        <v>#N/A</v>
      </c>
      <c r="G1539" s="407" t="e">
        <v>#N/A</v>
      </c>
      <c r="H1539" s="460" t="e">
        <v>#N/A</v>
      </c>
      <c r="I1539" s="460" t="e">
        <v>#N/A</v>
      </c>
      <c r="J1539" s="460" t="e">
        <v>#N/A</v>
      </c>
      <c r="K1539" s="460" t="e">
        <v>#N/A</v>
      </c>
      <c r="L1539" s="459" t="e">
        <v>#N/A</v>
      </c>
      <c r="O1539" t="e">
        <v>#N/A</v>
      </c>
      <c r="P1539" t="e">
        <v>#N/A</v>
      </c>
    </row>
    <row r="1540" spans="1:16" ht="14.4" x14ac:dyDescent="0.3">
      <c r="A1540">
        <v>224524</v>
      </c>
      <c r="B1540" t="str">
        <f t="shared" ref="B1540:B1603" si="48">IF($A$2=1,D1540,IF($A$2=2,F1540,IF($A$2=3,G1540,IF($A$2=4,E1540,IF($A$2&gt;4,P1540,"zadat jazyk")))))</f>
        <v>S-S34 komplet okuć do ramek aluminiowych</v>
      </c>
      <c r="C1540" s="185" t="e">
        <f t="shared" ref="C1540:C1603" si="49">IF($A$2=1,H1540,IF($A$2=2,I1540,IF($A$2=3,J1540,IF($A$2=4,K1540,IF($A$2&gt;4,O1540,"zadat jazyk")))))</f>
        <v>#N/A</v>
      </c>
      <c r="D1540" s="407" t="s">
        <v>7732</v>
      </c>
      <c r="E1540" s="407" t="s">
        <v>7733</v>
      </c>
      <c r="F1540" s="407" t="s">
        <v>7734</v>
      </c>
      <c r="G1540" s="407" t="s">
        <v>7735</v>
      </c>
      <c r="H1540" s="460" t="e">
        <v>#N/A</v>
      </c>
      <c r="I1540" s="460" t="e">
        <v>#N/A</v>
      </c>
      <c r="J1540" s="460" t="e">
        <v>#N/A</v>
      </c>
      <c r="K1540" s="460" t="e">
        <v>#N/A</v>
      </c>
      <c r="L1540" s="459" t="e">
        <v>#N/A</v>
      </c>
      <c r="O1540">
        <v>0</v>
      </c>
      <c r="P1540" t="s">
        <v>9895</v>
      </c>
    </row>
    <row r="1541" spans="1:16" ht="14.4" x14ac:dyDescent="0.3">
      <c r="A1541">
        <v>225130</v>
      </c>
      <c r="B1541" t="str">
        <f t="shared" si="48"/>
        <v>IC-rączka Exclusive 10mm 2,7m srebrna</v>
      </c>
      <c r="C1541" s="185" t="e">
        <f t="shared" si="49"/>
        <v>#N/A</v>
      </c>
      <c r="D1541" s="407" t="s">
        <v>7736</v>
      </c>
      <c r="E1541" s="407" t="s">
        <v>7737</v>
      </c>
      <c r="F1541" s="407" t="s">
        <v>7738</v>
      </c>
      <c r="G1541" s="407" t="s">
        <v>7739</v>
      </c>
      <c r="H1541" s="460" t="e">
        <v>#N/A</v>
      </c>
      <c r="I1541" s="460" t="e">
        <v>#N/A</v>
      </c>
      <c r="J1541" s="460" t="e">
        <v>#N/A</v>
      </c>
      <c r="K1541" s="460" t="e">
        <v>#N/A</v>
      </c>
      <c r="L1541" s="459" t="e">
        <v>#N/A</v>
      </c>
      <c r="O1541">
        <v>0</v>
      </c>
      <c r="P1541" t="s">
        <v>9896</v>
      </c>
    </row>
    <row r="1542" spans="1:16" ht="14.4" x14ac:dyDescent="0.3">
      <c r="A1542">
        <v>225131</v>
      </c>
      <c r="B1542" t="str">
        <f t="shared" si="48"/>
        <v>IC-Górna listwa torowa 10mm 2m srebrna</v>
      </c>
      <c r="C1542" s="185" t="e">
        <f t="shared" si="49"/>
        <v>#N/A</v>
      </c>
      <c r="D1542" s="407" t="s">
        <v>7740</v>
      </c>
      <c r="E1542" s="407" t="s">
        <v>7741</v>
      </c>
      <c r="F1542" s="407" t="s">
        <v>7742</v>
      </c>
      <c r="G1542" s="407" t="s">
        <v>7743</v>
      </c>
      <c r="H1542" s="460" t="e">
        <v>#N/A</v>
      </c>
      <c r="I1542" s="460" t="e">
        <v>#N/A</v>
      </c>
      <c r="J1542" s="460" t="e">
        <v>#N/A</v>
      </c>
      <c r="K1542" s="460" t="e">
        <v>#N/A</v>
      </c>
      <c r="L1542" s="459" t="e">
        <v>#N/A</v>
      </c>
      <c r="O1542">
        <v>0</v>
      </c>
      <c r="P1542" t="s">
        <v>9897</v>
      </c>
    </row>
    <row r="1543" spans="1:16" ht="14.4" x14ac:dyDescent="0.3">
      <c r="A1543">
        <v>225132</v>
      </c>
      <c r="B1543" t="str">
        <f t="shared" si="48"/>
        <v>IC-Dolna listwa maskująca  10mm 2m srebrna</v>
      </c>
      <c r="C1543" s="185" t="e">
        <f t="shared" si="49"/>
        <v>#N/A</v>
      </c>
      <c r="D1543" s="407" t="s">
        <v>7744</v>
      </c>
      <c r="E1543" s="407" t="s">
        <v>7745</v>
      </c>
      <c r="F1543" s="407" t="s">
        <v>7746</v>
      </c>
      <c r="G1543" s="407" t="s">
        <v>7747</v>
      </c>
      <c r="H1543" s="460" t="e">
        <v>#N/A</v>
      </c>
      <c r="I1543" s="460" t="e">
        <v>#N/A</v>
      </c>
      <c r="J1543" s="460" t="e">
        <v>#N/A</v>
      </c>
      <c r="K1543" s="460" t="e">
        <v>#N/A</v>
      </c>
      <c r="L1543" s="459" t="e">
        <v>#N/A</v>
      </c>
      <c r="O1543">
        <v>0</v>
      </c>
      <c r="P1543" t="s">
        <v>9898</v>
      </c>
    </row>
    <row r="1544" spans="1:16" ht="14.4" x14ac:dyDescent="0.3">
      <c r="A1544">
        <v>284545</v>
      </c>
      <c r="B1544" t="str">
        <f t="shared" si="48"/>
        <v>StrongLine Linio komplet okuć do 2 skrzydeł z tłumieniem 40kg</v>
      </c>
      <c r="C1544" s="185">
        <f t="shared" si="49"/>
        <v>166.16825</v>
      </c>
      <c r="D1544" s="407" t="s">
        <v>7748</v>
      </c>
      <c r="E1544" s="407" t="s">
        <v>7749</v>
      </c>
      <c r="F1544" s="407" t="s">
        <v>7750</v>
      </c>
      <c r="G1544" s="407" t="s">
        <v>7751</v>
      </c>
      <c r="H1544" s="460">
        <v>1016.46792</v>
      </c>
      <c r="I1544" s="460">
        <v>38.723309999999998</v>
      </c>
      <c r="J1544" s="460">
        <v>166.16825</v>
      </c>
      <c r="K1544" s="460" t="e">
        <v>#N/A</v>
      </c>
      <c r="L1544" s="459" t="s">
        <v>538</v>
      </c>
      <c r="O1544">
        <v>32.577640000000002</v>
      </c>
      <c r="P1544" t="s">
        <v>9899</v>
      </c>
    </row>
    <row r="1545" spans="1:16" ht="14.4" x14ac:dyDescent="0.3">
      <c r="A1545">
        <v>284546</v>
      </c>
      <c r="B1545" t="str">
        <f t="shared" si="48"/>
        <v>StrongLine Linio komplet okuć do 3 skrzydeł z tłumieniem 40kg</v>
      </c>
      <c r="C1545" s="185">
        <f t="shared" si="49"/>
        <v>220.66565</v>
      </c>
      <c r="D1545" s="407" t="s">
        <v>7752</v>
      </c>
      <c r="E1545" s="407" t="s">
        <v>7753</v>
      </c>
      <c r="F1545" s="407" t="s">
        <v>7754</v>
      </c>
      <c r="G1545" s="407" t="s">
        <v>7755</v>
      </c>
      <c r="H1545" s="460">
        <v>1349.83368</v>
      </c>
      <c r="I1545" s="460">
        <v>51.423220000000001</v>
      </c>
      <c r="J1545" s="460">
        <v>220.66565</v>
      </c>
      <c r="K1545" s="460" t="e">
        <v>#N/A</v>
      </c>
      <c r="L1545" s="459" t="s">
        <v>538</v>
      </c>
      <c r="O1545">
        <v>43.261949999999999</v>
      </c>
      <c r="P1545" t="s">
        <v>9900</v>
      </c>
    </row>
    <row r="1546" spans="1:16" ht="14.4" x14ac:dyDescent="0.3">
      <c r="A1546">
        <v>284547</v>
      </c>
      <c r="B1546" t="str">
        <f t="shared" si="48"/>
        <v>StrongLine Linio górny/dolny tor  elox 1,5m</v>
      </c>
      <c r="C1546" s="185">
        <f t="shared" si="49"/>
        <v>17.097370000000002</v>
      </c>
      <c r="D1546" s="407" t="s">
        <v>7756</v>
      </c>
      <c r="E1546" s="407" t="s">
        <v>7757</v>
      </c>
      <c r="F1546" s="407" t="s">
        <v>7758</v>
      </c>
      <c r="G1546" s="407" t="s">
        <v>7759</v>
      </c>
      <c r="H1546" s="460">
        <v>126.99648000000001</v>
      </c>
      <c r="I1546" s="460">
        <v>4.8248600000000001</v>
      </c>
      <c r="J1546" s="460">
        <v>17.097370000000002</v>
      </c>
      <c r="K1546" s="460" t="e">
        <v>#N/A</v>
      </c>
      <c r="L1546" s="459" t="s">
        <v>538</v>
      </c>
      <c r="O1546">
        <v>2.5830199999999999</v>
      </c>
      <c r="P1546" t="s">
        <v>9901</v>
      </c>
    </row>
    <row r="1547" spans="1:16" ht="14.4" x14ac:dyDescent="0.3">
      <c r="A1547">
        <v>284549</v>
      </c>
      <c r="B1547" t="str">
        <f t="shared" si="48"/>
        <v>StrongLine Linio górny/dolny tor  elox 2m</v>
      </c>
      <c r="C1547" s="185">
        <f t="shared" si="49"/>
        <v>26.848220000000001</v>
      </c>
      <c r="D1547" s="407" t="s">
        <v>7760</v>
      </c>
      <c r="E1547" s="407" t="s">
        <v>7761</v>
      </c>
      <c r="F1547" s="407" t="s">
        <v>7762</v>
      </c>
      <c r="G1547" s="407" t="s">
        <v>7763</v>
      </c>
      <c r="H1547" s="460">
        <v>199.42416</v>
      </c>
      <c r="I1547" s="460">
        <v>7.3746999999999998</v>
      </c>
      <c r="J1547" s="460">
        <v>26.848220000000001</v>
      </c>
      <c r="K1547" s="460" t="e">
        <v>#N/A</v>
      </c>
      <c r="L1547" s="459" t="s">
        <v>538</v>
      </c>
      <c r="O1547">
        <v>4.0561600000000002</v>
      </c>
      <c r="P1547" t="s">
        <v>9902</v>
      </c>
    </row>
    <row r="1548" spans="1:16" ht="14.4" x14ac:dyDescent="0.3">
      <c r="A1548">
        <v>284550</v>
      </c>
      <c r="B1548" t="str">
        <f t="shared" si="48"/>
        <v>StrongLine Linio górny/dolny tor  elox 3m</v>
      </c>
      <c r="C1548" s="185">
        <f t="shared" si="49"/>
        <v>34.19473</v>
      </c>
      <c r="D1548" s="407" t="s">
        <v>7764</v>
      </c>
      <c r="E1548" s="407" t="s">
        <v>7765</v>
      </c>
      <c r="F1548" s="407" t="s">
        <v>7766</v>
      </c>
      <c r="G1548" s="407" t="s">
        <v>7767</v>
      </c>
      <c r="H1548" s="460">
        <v>253.99296000000001</v>
      </c>
      <c r="I1548" s="460">
        <v>9.6145200000000006</v>
      </c>
      <c r="J1548" s="460">
        <v>34.19473</v>
      </c>
      <c r="K1548" s="460" t="e">
        <v>#N/A</v>
      </c>
      <c r="L1548" s="459" t="s">
        <v>538</v>
      </c>
      <c r="O1548">
        <v>5.1660399999999997</v>
      </c>
      <c r="P1548" t="s">
        <v>9903</v>
      </c>
    </row>
    <row r="1549" spans="1:16" ht="14.4" x14ac:dyDescent="0.3">
      <c r="A1549">
        <v>284551</v>
      </c>
      <c r="B1549" t="str">
        <f t="shared" si="48"/>
        <v>StrongLine Linio dwustronne tłumienie środkowe</v>
      </c>
      <c r="C1549" s="185">
        <f t="shared" si="49"/>
        <v>80.894499999999994</v>
      </c>
      <c r="D1549" s="407" t="s">
        <v>7768</v>
      </c>
      <c r="E1549" s="407" t="s">
        <v>7769</v>
      </c>
      <c r="F1549" s="407" t="s">
        <v>7770</v>
      </c>
      <c r="G1549" s="407" t="s">
        <v>7771</v>
      </c>
      <c r="H1549" s="460">
        <v>494.83980000000003</v>
      </c>
      <c r="I1549" s="460">
        <v>18.851379999999999</v>
      </c>
      <c r="J1549" s="460">
        <v>80.894499999999994</v>
      </c>
      <c r="K1549" s="460" t="e">
        <v>#N/A</v>
      </c>
      <c r="L1549" s="459" t="s">
        <v>538</v>
      </c>
      <c r="O1549">
        <v>15.859529999999999</v>
      </c>
      <c r="P1549" t="s">
        <v>9904</v>
      </c>
    </row>
    <row r="1550" spans="1:16" ht="14.4" x14ac:dyDescent="0.3">
      <c r="A1550">
        <v>284637</v>
      </c>
      <c r="B1550" t="str">
        <f t="shared" si="48"/>
        <v>StrongLine Baleo komplet okuć do jednego skrzydła 30kg</v>
      </c>
      <c r="C1550" s="185">
        <f t="shared" si="49"/>
        <v>38.804499999999997</v>
      </c>
      <c r="D1550" s="407" t="s">
        <v>7772</v>
      </c>
      <c r="E1550" s="407" t="s">
        <v>7773</v>
      </c>
      <c r="F1550" s="407" t="s">
        <v>7774</v>
      </c>
      <c r="G1550" s="407" t="s">
        <v>7775</v>
      </c>
      <c r="H1550" s="460">
        <v>243.21117000000001</v>
      </c>
      <c r="I1550" s="460">
        <v>9.4223999999999997</v>
      </c>
      <c r="J1550" s="460">
        <v>38.804499999999997</v>
      </c>
      <c r="K1550" s="460" t="e">
        <v>#N/A</v>
      </c>
      <c r="L1550" s="459" t="s">
        <v>538</v>
      </c>
      <c r="O1550">
        <v>7.8520000000000003</v>
      </c>
      <c r="P1550" t="s">
        <v>9905</v>
      </c>
    </row>
    <row r="1551" spans="1:16" ht="14.4" x14ac:dyDescent="0.3">
      <c r="A1551">
        <v>284638</v>
      </c>
      <c r="B1551" t="str">
        <f t="shared" si="48"/>
        <v>StrongLine Baleo tor górny/dolny 1,2m elox</v>
      </c>
      <c r="C1551" s="185">
        <f t="shared" si="49"/>
        <v>18.34825</v>
      </c>
      <c r="D1551" s="407" t="s">
        <v>7776</v>
      </c>
      <c r="E1551" s="407" t="s">
        <v>7777</v>
      </c>
      <c r="F1551" s="407" t="s">
        <v>7778</v>
      </c>
      <c r="G1551" s="407" t="s">
        <v>7779</v>
      </c>
      <c r="H1551" s="460">
        <v>135.29628</v>
      </c>
      <c r="I1551" s="460">
        <v>4.9896000000000003</v>
      </c>
      <c r="J1551" s="460">
        <v>18.34825</v>
      </c>
      <c r="K1551" s="460" t="e">
        <v>#N/A</v>
      </c>
      <c r="L1551" s="459" t="s">
        <v>538</v>
      </c>
      <c r="O1551">
        <v>2.7719999999999998</v>
      </c>
      <c r="P1551" t="s">
        <v>9906</v>
      </c>
    </row>
    <row r="1552" spans="1:16" ht="14.4" x14ac:dyDescent="0.3">
      <c r="A1552">
        <v>284639</v>
      </c>
      <c r="B1552" t="str">
        <f t="shared" si="48"/>
        <v>StrongLine Baleo tor górny/dolny 2m elox</v>
      </c>
      <c r="C1552" s="185">
        <f t="shared" si="49"/>
        <v>30.58042</v>
      </c>
      <c r="D1552" s="407" t="s">
        <v>7780</v>
      </c>
      <c r="E1552" s="407" t="s">
        <v>7781</v>
      </c>
      <c r="F1552" s="407" t="s">
        <v>7782</v>
      </c>
      <c r="G1552" s="407" t="s">
        <v>7783</v>
      </c>
      <c r="H1552" s="460">
        <v>225.49379999999999</v>
      </c>
      <c r="I1552" s="460">
        <v>8.3160000000000007</v>
      </c>
      <c r="J1552" s="460">
        <v>30.58042</v>
      </c>
      <c r="K1552" s="460" t="e">
        <v>#N/A</v>
      </c>
      <c r="L1552" s="459" t="s">
        <v>538</v>
      </c>
      <c r="O1552">
        <v>4.62</v>
      </c>
      <c r="P1552" t="s">
        <v>9907</v>
      </c>
    </row>
    <row r="1553" spans="1:16" ht="14.4" x14ac:dyDescent="0.3">
      <c r="A1553">
        <v>284640</v>
      </c>
      <c r="B1553" t="str">
        <f t="shared" si="48"/>
        <v>StrongLine Baleo tor górny/dolny 3m elox</v>
      </c>
      <c r="C1553" s="185">
        <f t="shared" si="49"/>
        <v>45.870600000000003</v>
      </c>
      <c r="D1553" s="407" t="s">
        <v>7784</v>
      </c>
      <c r="E1553" s="407" t="s">
        <v>7785</v>
      </c>
      <c r="F1553" s="407" t="s">
        <v>7786</v>
      </c>
      <c r="G1553" s="407" t="s">
        <v>7787</v>
      </c>
      <c r="H1553" s="460">
        <v>338.24072000000001</v>
      </c>
      <c r="I1553" s="460">
        <v>12.474</v>
      </c>
      <c r="J1553" s="460">
        <v>45.870600000000003</v>
      </c>
      <c r="K1553" s="460" t="e">
        <v>#N/A</v>
      </c>
      <c r="L1553" s="459" t="s">
        <v>538</v>
      </c>
      <c r="O1553">
        <v>6.93</v>
      </c>
      <c r="P1553" t="s">
        <v>9908</v>
      </c>
    </row>
    <row r="1554" spans="1:16" ht="14.4" x14ac:dyDescent="0.3">
      <c r="A1554">
        <v>284641</v>
      </c>
      <c r="B1554" t="str">
        <f t="shared" si="48"/>
        <v>StrongLine Baleo tor górny/podwójny dolny  1,2m elox</v>
      </c>
      <c r="C1554" s="185">
        <f t="shared" si="49"/>
        <v>78.635339999999999</v>
      </c>
      <c r="D1554" s="407" t="s">
        <v>7788</v>
      </c>
      <c r="E1554" s="407" t="s">
        <v>7789</v>
      </c>
      <c r="F1554" s="407" t="s">
        <v>7790</v>
      </c>
      <c r="G1554" s="407" t="s">
        <v>7791</v>
      </c>
      <c r="H1554" s="460">
        <v>579.84119999999996</v>
      </c>
      <c r="I1554" s="460">
        <v>21.384</v>
      </c>
      <c r="J1554" s="460">
        <v>78.635339999999999</v>
      </c>
      <c r="K1554" s="460" t="e">
        <v>#N/A</v>
      </c>
      <c r="L1554" s="459" t="s">
        <v>538</v>
      </c>
      <c r="O1554">
        <v>11.88</v>
      </c>
      <c r="P1554" t="s">
        <v>9909</v>
      </c>
    </row>
    <row r="1555" spans="1:16" ht="14.4" x14ac:dyDescent="0.3">
      <c r="A1555">
        <v>284642</v>
      </c>
      <c r="B1555" t="str">
        <f t="shared" si="48"/>
        <v>StrongLine Baleo tor górny/podwójny dolny 2m elox</v>
      </c>
      <c r="C1555" s="185">
        <f t="shared" si="49"/>
        <v>131.05889999999999</v>
      </c>
      <c r="D1555" s="407" t="s">
        <v>7792</v>
      </c>
      <c r="E1555" s="407" t="s">
        <v>7793</v>
      </c>
      <c r="F1555" s="407" t="s">
        <v>7794</v>
      </c>
      <c r="G1555" s="407" t="s">
        <v>7795</v>
      </c>
      <c r="H1555" s="460">
        <v>966.40200000000004</v>
      </c>
      <c r="I1555" s="460">
        <v>35.64</v>
      </c>
      <c r="J1555" s="460">
        <v>131.05889999999999</v>
      </c>
      <c r="K1555" s="460" t="e">
        <v>#N/A</v>
      </c>
      <c r="L1555" s="459" t="s">
        <v>538</v>
      </c>
      <c r="O1555">
        <v>19.8</v>
      </c>
      <c r="P1555" t="s">
        <v>9909</v>
      </c>
    </row>
    <row r="1556" spans="1:16" ht="14.4" x14ac:dyDescent="0.3">
      <c r="A1556">
        <v>284643</v>
      </c>
      <c r="B1556" t="str">
        <f t="shared" si="48"/>
        <v>StrongLine Baleo tor górny/podwójny dolny 3m elox</v>
      </c>
      <c r="C1556" s="185">
        <f t="shared" si="49"/>
        <v>196.58833999999999</v>
      </c>
      <c r="D1556" s="407" t="s">
        <v>7796</v>
      </c>
      <c r="E1556" s="407" t="s">
        <v>7797</v>
      </c>
      <c r="F1556" s="407" t="s">
        <v>7798</v>
      </c>
      <c r="G1556" s="407" t="s">
        <v>7799</v>
      </c>
      <c r="H1556" s="460">
        <v>1449.6030000000001</v>
      </c>
      <c r="I1556" s="460">
        <v>53.46</v>
      </c>
      <c r="J1556" s="460">
        <v>196.58833999999999</v>
      </c>
      <c r="K1556" s="460" t="e">
        <v>#N/A</v>
      </c>
      <c r="L1556" s="459" t="s">
        <v>538</v>
      </c>
      <c r="O1556">
        <v>29.7</v>
      </c>
      <c r="P1556" t="s">
        <v>9910</v>
      </c>
    </row>
    <row r="1557" spans="1:16" ht="14.4" x14ac:dyDescent="0.3">
      <c r="A1557">
        <v>284644</v>
      </c>
      <c r="B1557" t="str">
        <f t="shared" si="48"/>
        <v>StrongLine Baleo záslepka toru podwójnego 3m</v>
      </c>
      <c r="C1557" s="185">
        <f t="shared" si="49"/>
        <v>14.64805</v>
      </c>
      <c r="D1557" s="407" t="s">
        <v>7800</v>
      </c>
      <c r="E1557" s="407" t="s">
        <v>7801</v>
      </c>
      <c r="F1557" s="407" t="s">
        <v>7802</v>
      </c>
      <c r="G1557" s="407" t="s">
        <v>7803</v>
      </c>
      <c r="H1557" s="460">
        <v>91.808189999999996</v>
      </c>
      <c r="I1557" s="460">
        <v>3.5568</v>
      </c>
      <c r="J1557" s="460">
        <v>14.64805</v>
      </c>
      <c r="K1557" s="460" t="e">
        <v>#N/A</v>
      </c>
      <c r="L1557" s="459" t="s">
        <v>538</v>
      </c>
      <c r="O1557">
        <v>2.964</v>
      </c>
      <c r="P1557" t="s">
        <v>9911</v>
      </c>
    </row>
    <row r="1558" spans="1:16" ht="14.4" x14ac:dyDescent="0.3">
      <c r="A1558">
        <v>284930</v>
      </c>
      <c r="B1558" t="e">
        <f t="shared" si="48"/>
        <v>#N/A</v>
      </c>
      <c r="C1558" s="185" t="e">
        <f t="shared" si="49"/>
        <v>#N/A</v>
      </c>
      <c r="D1558" s="407" t="e">
        <v>#N/A</v>
      </c>
      <c r="E1558" s="407" t="e">
        <v>#N/A</v>
      </c>
      <c r="F1558" s="407" t="e">
        <v>#N/A</v>
      </c>
      <c r="G1558" s="407" t="e">
        <v>#N/A</v>
      </c>
      <c r="H1558" s="460" t="e">
        <v>#N/A</v>
      </c>
      <c r="I1558" s="460" t="e">
        <v>#N/A</v>
      </c>
      <c r="J1558" s="460" t="e">
        <v>#N/A</v>
      </c>
      <c r="K1558" s="460" t="e">
        <v>#N/A</v>
      </c>
      <c r="L1558" s="459" t="e">
        <v>#N/A</v>
      </c>
      <c r="O1558" t="e">
        <v>#N/A</v>
      </c>
      <c r="P1558" t="e">
        <v>#N/A</v>
      </c>
    </row>
    <row r="1559" spans="1:16" ht="14.4" x14ac:dyDescent="0.3">
      <c r="A1559">
        <v>284935</v>
      </c>
      <c r="B1559" t="e">
        <f t="shared" si="48"/>
        <v>#N/A</v>
      </c>
      <c r="C1559" s="185" t="e">
        <f t="shared" si="49"/>
        <v>#N/A</v>
      </c>
      <c r="D1559" s="407" t="e">
        <v>#N/A</v>
      </c>
      <c r="E1559" s="407" t="e">
        <v>#N/A</v>
      </c>
      <c r="F1559" s="407" t="e">
        <v>#N/A</v>
      </c>
      <c r="G1559" s="407" t="e">
        <v>#N/A</v>
      </c>
      <c r="H1559" s="460" t="e">
        <v>#N/A</v>
      </c>
      <c r="I1559" s="460" t="e">
        <v>#N/A</v>
      </c>
      <c r="J1559" s="460" t="e">
        <v>#N/A</v>
      </c>
      <c r="K1559" s="460" t="e">
        <v>#N/A</v>
      </c>
      <c r="L1559" s="459" t="e">
        <v>#N/A</v>
      </c>
      <c r="O1559" t="e">
        <v>#N/A</v>
      </c>
      <c r="P1559" t="e">
        <v>#N/A</v>
      </c>
    </row>
    <row r="1560" spans="1:16" ht="14.4" x14ac:dyDescent="0.3">
      <c r="A1560">
        <v>284939</v>
      </c>
      <c r="B1560" t="e">
        <f t="shared" si="48"/>
        <v>#N/A</v>
      </c>
      <c r="C1560" s="185" t="e">
        <f t="shared" si="49"/>
        <v>#N/A</v>
      </c>
      <c r="D1560" s="407" t="e">
        <v>#N/A</v>
      </c>
      <c r="E1560" s="407" t="e">
        <v>#N/A</v>
      </c>
      <c r="F1560" s="407" t="e">
        <v>#N/A</v>
      </c>
      <c r="G1560" s="407" t="e">
        <v>#N/A</v>
      </c>
      <c r="H1560" s="460" t="e">
        <v>#N/A</v>
      </c>
      <c r="I1560" s="460" t="e">
        <v>#N/A</v>
      </c>
      <c r="J1560" s="460" t="e">
        <v>#N/A</v>
      </c>
      <c r="K1560" s="460" t="e">
        <v>#N/A</v>
      </c>
      <c r="L1560" s="459" t="e">
        <v>#N/A</v>
      </c>
      <c r="O1560" t="e">
        <v>#N/A</v>
      </c>
      <c r="P1560" t="e">
        <v>#N/A</v>
      </c>
    </row>
    <row r="1561" spans="1:16" ht="14.4" x14ac:dyDescent="0.3">
      <c r="A1561">
        <v>284941</v>
      </c>
      <c r="B1561" t="e">
        <f t="shared" si="48"/>
        <v>#N/A</v>
      </c>
      <c r="C1561" s="185" t="e">
        <f t="shared" si="49"/>
        <v>#N/A</v>
      </c>
      <c r="D1561" s="407" t="e">
        <v>#N/A</v>
      </c>
      <c r="E1561" s="407" t="e">
        <v>#N/A</v>
      </c>
      <c r="F1561" s="407" t="e">
        <v>#N/A</v>
      </c>
      <c r="G1561" s="407" t="e">
        <v>#N/A</v>
      </c>
      <c r="H1561" s="460" t="e">
        <v>#N/A</v>
      </c>
      <c r="I1561" s="460" t="e">
        <v>#N/A</v>
      </c>
      <c r="J1561" s="460" t="e">
        <v>#N/A</v>
      </c>
      <c r="K1561" s="460" t="e">
        <v>#N/A</v>
      </c>
      <c r="L1561" s="459" t="e">
        <v>#N/A</v>
      </c>
      <c r="O1561" t="e">
        <v>#N/A</v>
      </c>
      <c r="P1561" t="e">
        <v>#N/A</v>
      </c>
    </row>
    <row r="1562" spans="1:16" ht="14.4" x14ac:dyDescent="0.3">
      <c r="A1562">
        <v>284942</v>
      </c>
      <c r="B1562" t="e">
        <f t="shared" si="48"/>
        <v>#N/A</v>
      </c>
      <c r="C1562" s="185" t="e">
        <f t="shared" si="49"/>
        <v>#N/A</v>
      </c>
      <c r="D1562" s="407" t="e">
        <v>#N/A</v>
      </c>
      <c r="E1562" s="407" t="e">
        <v>#N/A</v>
      </c>
      <c r="F1562" s="407" t="e">
        <v>#N/A</v>
      </c>
      <c r="G1562" s="407" t="e">
        <v>#N/A</v>
      </c>
      <c r="H1562" s="460" t="e">
        <v>#N/A</v>
      </c>
      <c r="I1562" s="460" t="e">
        <v>#N/A</v>
      </c>
      <c r="J1562" s="460" t="e">
        <v>#N/A</v>
      </c>
      <c r="K1562" s="460" t="e">
        <v>#N/A</v>
      </c>
      <c r="L1562" s="459" t="e">
        <v>#N/A</v>
      </c>
      <c r="O1562" t="e">
        <v>#N/A</v>
      </c>
      <c r="P1562" t="e">
        <v>#N/A</v>
      </c>
    </row>
    <row r="1563" spans="1:16" ht="14.4" x14ac:dyDescent="0.3">
      <c r="A1563">
        <v>284944</v>
      </c>
      <c r="B1563" t="e">
        <f t="shared" si="48"/>
        <v>#N/A</v>
      </c>
      <c r="C1563" s="185" t="e">
        <f t="shared" si="49"/>
        <v>#N/A</v>
      </c>
      <c r="D1563" s="407" t="e">
        <v>#N/A</v>
      </c>
      <c r="E1563" s="407" t="e">
        <v>#N/A</v>
      </c>
      <c r="F1563" s="407" t="e">
        <v>#N/A</v>
      </c>
      <c r="G1563" s="407" t="e">
        <v>#N/A</v>
      </c>
      <c r="H1563" s="460" t="e">
        <v>#N/A</v>
      </c>
      <c r="I1563" s="460" t="e">
        <v>#N/A</v>
      </c>
      <c r="J1563" s="460" t="e">
        <v>#N/A</v>
      </c>
      <c r="K1563" s="460" t="e">
        <v>#N/A</v>
      </c>
      <c r="L1563" s="459" t="e">
        <v>#N/A</v>
      </c>
      <c r="O1563" t="e">
        <v>#N/A</v>
      </c>
      <c r="P1563" t="e">
        <v>#N/A</v>
      </c>
    </row>
    <row r="1564" spans="1:16" ht="14.4" x14ac:dyDescent="0.3">
      <c r="A1564">
        <v>284945</v>
      </c>
      <c r="B1564" t="e">
        <f t="shared" si="48"/>
        <v>#N/A</v>
      </c>
      <c r="C1564" s="185" t="e">
        <f t="shared" si="49"/>
        <v>#N/A</v>
      </c>
      <c r="D1564" s="407" t="e">
        <v>#N/A</v>
      </c>
      <c r="E1564" s="407" t="e">
        <v>#N/A</v>
      </c>
      <c r="F1564" s="407" t="e">
        <v>#N/A</v>
      </c>
      <c r="G1564" s="407" t="e">
        <v>#N/A</v>
      </c>
      <c r="H1564" s="460" t="e">
        <v>#N/A</v>
      </c>
      <c r="I1564" s="460" t="e">
        <v>#N/A</v>
      </c>
      <c r="J1564" s="460" t="e">
        <v>#N/A</v>
      </c>
      <c r="K1564" s="460" t="e">
        <v>#N/A</v>
      </c>
      <c r="L1564" s="459" t="e">
        <v>#N/A</v>
      </c>
      <c r="O1564" t="e">
        <v>#N/A</v>
      </c>
      <c r="P1564" t="e">
        <v>#N/A</v>
      </c>
    </row>
    <row r="1565" spans="1:16" ht="14.4" x14ac:dyDescent="0.3">
      <c r="A1565">
        <v>409431</v>
      </c>
      <c r="B1565" t="e">
        <f t="shared" si="48"/>
        <v>#N/A</v>
      </c>
      <c r="C1565" s="185" t="e">
        <f t="shared" si="49"/>
        <v>#N/A</v>
      </c>
      <c r="D1565" s="407" t="e">
        <v>#N/A</v>
      </c>
      <c r="E1565" s="407" t="e">
        <v>#N/A</v>
      </c>
      <c r="F1565" s="407" t="e">
        <v>#N/A</v>
      </c>
      <c r="G1565" s="407" t="e">
        <v>#N/A</v>
      </c>
      <c r="H1565" s="460" t="e">
        <v>#N/A</v>
      </c>
      <c r="I1565" s="460" t="e">
        <v>#N/A</v>
      </c>
      <c r="J1565" s="460" t="e">
        <v>#N/A</v>
      </c>
      <c r="K1565" s="460" t="e">
        <v>#N/A</v>
      </c>
      <c r="L1565" s="459" t="e">
        <v>#N/A</v>
      </c>
      <c r="O1565" t="e">
        <v>#N/A</v>
      </c>
      <c r="P1565" t="e">
        <v>#N/A</v>
      </c>
    </row>
    <row r="1566" spans="1:16" ht="14.4" x14ac:dyDescent="0.3">
      <c r="A1566">
        <v>409464</v>
      </c>
      <c r="B1566" t="e">
        <f t="shared" si="48"/>
        <v>#N/A</v>
      </c>
      <c r="C1566" s="185" t="e">
        <f t="shared" si="49"/>
        <v>#N/A</v>
      </c>
      <c r="D1566" s="407" t="e">
        <v>#N/A</v>
      </c>
      <c r="E1566" s="407" t="e">
        <v>#N/A</v>
      </c>
      <c r="F1566" s="407" t="e">
        <v>#N/A</v>
      </c>
      <c r="G1566" s="407" t="e">
        <v>#N/A</v>
      </c>
      <c r="H1566" s="460" t="e">
        <v>#N/A</v>
      </c>
      <c r="I1566" s="460" t="e">
        <v>#N/A</v>
      </c>
      <c r="J1566" s="460" t="e">
        <v>#N/A</v>
      </c>
      <c r="K1566" s="460" t="e">
        <v>#N/A</v>
      </c>
      <c r="L1566" s="459" t="e">
        <v>#N/A</v>
      </c>
      <c r="O1566" t="e">
        <v>#N/A</v>
      </c>
      <c r="P1566" t="e">
        <v>#N/A</v>
      </c>
    </row>
    <row r="1567" spans="1:16" ht="14.4" x14ac:dyDescent="0.3">
      <c r="A1567">
        <v>409469</v>
      </c>
      <c r="B1567" t="e">
        <f t="shared" si="48"/>
        <v>#N/A</v>
      </c>
      <c r="C1567" s="185" t="e">
        <f t="shared" si="49"/>
        <v>#N/A</v>
      </c>
      <c r="D1567" s="407" t="e">
        <v>#N/A</v>
      </c>
      <c r="E1567" s="407" t="e">
        <v>#N/A</v>
      </c>
      <c r="F1567" s="407" t="e">
        <v>#N/A</v>
      </c>
      <c r="G1567" s="407" t="e">
        <v>#N/A</v>
      </c>
      <c r="H1567" s="460" t="e">
        <v>#N/A</v>
      </c>
      <c r="I1567" s="460" t="e">
        <v>#N/A</v>
      </c>
      <c r="J1567" s="460" t="e">
        <v>#N/A</v>
      </c>
      <c r="K1567" s="460" t="e">
        <v>#N/A</v>
      </c>
      <c r="L1567" s="459" t="e">
        <v>#N/A</v>
      </c>
      <c r="O1567" t="e">
        <v>#N/A</v>
      </c>
      <c r="P1567" t="e">
        <v>#N/A</v>
      </c>
    </row>
    <row r="1568" spans="1:16" ht="14.4" x14ac:dyDescent="0.3">
      <c r="A1568">
        <v>315863</v>
      </c>
      <c r="B1568" t="str">
        <f t="shared" si="48"/>
        <v>SEVROLL zestaw Herkules plus 25kg HP2/25 1,2m</v>
      </c>
      <c r="C1568" s="185" t="e">
        <f t="shared" si="49"/>
        <v>#N/A</v>
      </c>
      <c r="D1568" s="407" t="s">
        <v>1417</v>
      </c>
      <c r="E1568" s="407" t="s">
        <v>1862</v>
      </c>
      <c r="F1568" s="407" t="s">
        <v>1417</v>
      </c>
      <c r="G1568" s="407" t="s">
        <v>2409</v>
      </c>
      <c r="H1568" s="460" t="e">
        <v>#N/A</v>
      </c>
      <c r="I1568" s="460" t="e">
        <v>#N/A</v>
      </c>
      <c r="J1568" s="460" t="e">
        <v>#N/A</v>
      </c>
      <c r="K1568" s="460" t="e">
        <v>#N/A</v>
      </c>
      <c r="L1568" s="459" t="e">
        <v>#N/A</v>
      </c>
      <c r="O1568" t="e">
        <v>#N/A</v>
      </c>
      <c r="P1568" t="e">
        <v>#N/A</v>
      </c>
    </row>
    <row r="1569" spans="1:16" ht="14.4" x14ac:dyDescent="0.3">
      <c r="A1569">
        <v>387402</v>
      </c>
      <c r="B1569" t="str">
        <f t="shared" si="48"/>
        <v/>
      </c>
      <c r="C1569" s="185" t="e">
        <f t="shared" si="49"/>
        <v>#N/A</v>
      </c>
      <c r="D1569" s="407" t="s">
        <v>1418</v>
      </c>
      <c r="E1569" s="407" t="s">
        <v>1863</v>
      </c>
      <c r="F1569" s="407" t="s">
        <v>68</v>
      </c>
      <c r="G1569" s="407" t="s">
        <v>68</v>
      </c>
      <c r="H1569" s="460" t="e">
        <v>#N/A</v>
      </c>
      <c r="I1569" s="460" t="e">
        <v>#N/A</v>
      </c>
      <c r="J1569" s="460" t="e">
        <v>#N/A</v>
      </c>
      <c r="K1569" s="460" t="e">
        <v>#N/A</v>
      </c>
      <c r="L1569" s="459" t="e">
        <v>#N/A</v>
      </c>
      <c r="O1569">
        <v>0</v>
      </c>
      <c r="P1569" t="s">
        <v>9912</v>
      </c>
    </row>
    <row r="1570" spans="1:16" ht="14.4" x14ac:dyDescent="0.3">
      <c r="A1570">
        <v>387796</v>
      </c>
      <c r="B1570" t="str">
        <f t="shared" si="48"/>
        <v/>
      </c>
      <c r="C1570" s="185" t="e">
        <f t="shared" si="49"/>
        <v>#N/A</v>
      </c>
      <c r="D1570" s="407" t="s">
        <v>7804</v>
      </c>
      <c r="E1570" s="407" t="s">
        <v>7805</v>
      </c>
      <c r="F1570" s="407" t="s">
        <v>7806</v>
      </c>
      <c r="G1570" s="407" t="s">
        <v>68</v>
      </c>
      <c r="H1570" s="460" t="e">
        <v>#N/A</v>
      </c>
      <c r="I1570" s="460" t="e">
        <v>#N/A</v>
      </c>
      <c r="J1570" s="460" t="e">
        <v>#N/A</v>
      </c>
      <c r="K1570" s="460" t="e">
        <v>#N/A</v>
      </c>
      <c r="L1570" s="459" t="e">
        <v>#N/A</v>
      </c>
      <c r="O1570">
        <v>0</v>
      </c>
      <c r="P1570" t="s">
        <v>9913</v>
      </c>
    </row>
    <row r="1571" spans="1:16" ht="14.4" x14ac:dyDescent="0.3">
      <c r="A1571">
        <v>387801</v>
      </c>
      <c r="B1571" t="str">
        <f t="shared" si="48"/>
        <v/>
      </c>
      <c r="C1571" s="185" t="e">
        <f t="shared" si="49"/>
        <v>#N/A</v>
      </c>
      <c r="D1571" s="407" t="s">
        <v>7807</v>
      </c>
      <c r="E1571" s="407" t="s">
        <v>7808</v>
      </c>
      <c r="F1571" s="407" t="s">
        <v>7809</v>
      </c>
      <c r="G1571" s="407" t="s">
        <v>68</v>
      </c>
      <c r="H1571" s="460" t="e">
        <v>#N/A</v>
      </c>
      <c r="I1571" s="460" t="e">
        <v>#N/A</v>
      </c>
      <c r="J1571" s="460" t="e">
        <v>#N/A</v>
      </c>
      <c r="K1571" s="460" t="e">
        <v>#N/A</v>
      </c>
      <c r="L1571" s="459" t="e">
        <v>#N/A</v>
      </c>
      <c r="O1571">
        <v>0</v>
      </c>
      <c r="P1571" t="s">
        <v>9914</v>
      </c>
    </row>
    <row r="1572" spans="1:16" ht="14.4" x14ac:dyDescent="0.3">
      <c r="A1572">
        <v>387808</v>
      </c>
      <c r="B1572" t="e">
        <f t="shared" si="48"/>
        <v>#N/A</v>
      </c>
      <c r="C1572" s="185" t="e">
        <f t="shared" si="49"/>
        <v>#N/A</v>
      </c>
      <c r="D1572" s="407" t="e">
        <v>#N/A</v>
      </c>
      <c r="E1572" s="407" t="e">
        <v>#N/A</v>
      </c>
      <c r="F1572" s="407" t="e">
        <v>#N/A</v>
      </c>
      <c r="G1572" s="407" t="e">
        <v>#N/A</v>
      </c>
      <c r="H1572" s="460" t="e">
        <v>#N/A</v>
      </c>
      <c r="I1572" s="460" t="e">
        <v>#N/A</v>
      </c>
      <c r="J1572" s="460" t="e">
        <v>#N/A</v>
      </c>
      <c r="K1572" s="460" t="e">
        <v>#N/A</v>
      </c>
      <c r="L1572" s="459" t="e">
        <v>#N/A</v>
      </c>
      <c r="O1572" t="e">
        <v>#N/A</v>
      </c>
      <c r="P1572" t="e">
        <v>#N/A</v>
      </c>
    </row>
    <row r="1573" spans="1:16" ht="14.4" x14ac:dyDescent="0.3">
      <c r="A1573">
        <v>387810</v>
      </c>
      <c r="B1573" t="e">
        <f t="shared" si="48"/>
        <v>#N/A</v>
      </c>
      <c r="C1573" s="185" t="e">
        <f t="shared" si="49"/>
        <v>#N/A</v>
      </c>
      <c r="D1573" s="407" t="e">
        <v>#N/A</v>
      </c>
      <c r="E1573" s="407" t="e">
        <v>#N/A</v>
      </c>
      <c r="F1573" s="407" t="e">
        <v>#N/A</v>
      </c>
      <c r="G1573" s="407" t="e">
        <v>#N/A</v>
      </c>
      <c r="H1573" s="460" t="e">
        <v>#N/A</v>
      </c>
      <c r="I1573" s="460" t="e">
        <v>#N/A</v>
      </c>
      <c r="J1573" s="460" t="e">
        <v>#N/A</v>
      </c>
      <c r="K1573" s="460" t="e">
        <v>#N/A</v>
      </c>
      <c r="L1573" s="459" t="e">
        <v>#N/A</v>
      </c>
      <c r="O1573" t="e">
        <v>#N/A</v>
      </c>
      <c r="P1573" t="e">
        <v>#N/A</v>
      </c>
    </row>
    <row r="1574" spans="1:16" ht="14.4" x14ac:dyDescent="0.3">
      <c r="A1574">
        <v>388128</v>
      </c>
      <c r="B1574" t="str">
        <f t="shared" si="48"/>
        <v>SEVROLL 00884 Comfort Tor dolny 2,35 m srebrny</v>
      </c>
      <c r="C1574" s="185" t="e">
        <f t="shared" si="49"/>
        <v>#N/A</v>
      </c>
      <c r="D1574" s="407" t="s">
        <v>1419</v>
      </c>
      <c r="E1574" s="407" t="s">
        <v>1864</v>
      </c>
      <c r="F1574" s="407" t="s">
        <v>5885</v>
      </c>
      <c r="G1574" s="407" t="s">
        <v>5886</v>
      </c>
      <c r="H1574" s="460" t="e">
        <v>#N/A</v>
      </c>
      <c r="I1574" s="460" t="e">
        <v>#N/A</v>
      </c>
      <c r="J1574" s="460" t="e">
        <v>#N/A</v>
      </c>
      <c r="K1574" s="460" t="e">
        <v>#N/A</v>
      </c>
      <c r="L1574" s="459" t="e">
        <v>#N/A</v>
      </c>
      <c r="O1574">
        <v>19.756</v>
      </c>
      <c r="P1574" t="s">
        <v>9915</v>
      </c>
    </row>
    <row r="1575" spans="1:16" ht="14.4" x14ac:dyDescent="0.3">
      <c r="A1575">
        <v>388130</v>
      </c>
      <c r="B1575" t="str">
        <f t="shared" si="48"/>
        <v>SEVROLL 00885 Comfort Tor dolny 3m srebrny</v>
      </c>
      <c r="C1575" s="185">
        <f t="shared" si="49"/>
        <v>100.9392</v>
      </c>
      <c r="D1575" s="407" t="s">
        <v>1420</v>
      </c>
      <c r="E1575" s="407" t="s">
        <v>1865</v>
      </c>
      <c r="F1575" s="407" t="s">
        <v>5887</v>
      </c>
      <c r="G1575" s="407" t="s">
        <v>5888</v>
      </c>
      <c r="H1575" s="460">
        <v>749.07916999999998</v>
      </c>
      <c r="I1575" s="460">
        <v>26.933389999999999</v>
      </c>
      <c r="J1575" s="460">
        <v>100.9392</v>
      </c>
      <c r="K1575" s="460">
        <v>10366.276830000001</v>
      </c>
      <c r="L1575" s="459" t="s">
        <v>539</v>
      </c>
      <c r="O1575">
        <v>25.212</v>
      </c>
      <c r="P1575" t="s">
        <v>9916</v>
      </c>
    </row>
    <row r="1576" spans="1:16" ht="14.4" x14ac:dyDescent="0.3">
      <c r="A1576">
        <v>388131</v>
      </c>
      <c r="B1576" t="str">
        <f t="shared" si="48"/>
        <v>SEVROLL 01495 Comfort Tor dolny 4,05 m srebrny</v>
      </c>
      <c r="C1576" s="185" t="e">
        <f t="shared" si="49"/>
        <v>#N/A</v>
      </c>
      <c r="D1576" s="407" t="s">
        <v>1421</v>
      </c>
      <c r="E1576" s="407" t="s">
        <v>1866</v>
      </c>
      <c r="F1576" s="407" t="s">
        <v>5889</v>
      </c>
      <c r="G1576" s="407" t="s">
        <v>5890</v>
      </c>
      <c r="H1576" s="460" t="e">
        <v>#N/A</v>
      </c>
      <c r="I1576" s="460" t="e">
        <v>#N/A</v>
      </c>
      <c r="J1576" s="460" t="e">
        <v>#N/A</v>
      </c>
      <c r="K1576" s="460" t="e">
        <v>#N/A</v>
      </c>
      <c r="L1576" s="459" t="e">
        <v>#N/A</v>
      </c>
      <c r="O1576">
        <v>34.078000000000003</v>
      </c>
      <c r="P1576" t="s">
        <v>9917</v>
      </c>
    </row>
    <row r="1577" spans="1:16" ht="14.4" x14ac:dyDescent="0.3">
      <c r="A1577">
        <v>388133</v>
      </c>
      <c r="B1577" t="str">
        <f t="shared" si="48"/>
        <v/>
      </c>
      <c r="C1577" s="185" t="e">
        <f t="shared" si="49"/>
        <v>#N/A</v>
      </c>
      <c r="D1577" s="407" t="s">
        <v>1422</v>
      </c>
      <c r="E1577" s="407" t="s">
        <v>1867</v>
      </c>
      <c r="F1577" s="407" t="s">
        <v>68</v>
      </c>
      <c r="G1577" s="407" t="s">
        <v>68</v>
      </c>
      <c r="H1577" s="460" t="e">
        <v>#N/A</v>
      </c>
      <c r="I1577" s="460" t="e">
        <v>#N/A</v>
      </c>
      <c r="J1577" s="460" t="e">
        <v>#N/A</v>
      </c>
      <c r="K1577" s="460" t="e">
        <v>#N/A</v>
      </c>
      <c r="L1577" s="459" t="e">
        <v>#N/A</v>
      </c>
      <c r="O1577">
        <v>0</v>
      </c>
      <c r="P1577" t="s">
        <v>9918</v>
      </c>
    </row>
    <row r="1578" spans="1:16" ht="14.4" x14ac:dyDescent="0.3">
      <c r="A1578">
        <v>388134</v>
      </c>
      <c r="B1578" t="str">
        <f t="shared" si="48"/>
        <v/>
      </c>
      <c r="C1578" s="185" t="e">
        <f t="shared" si="49"/>
        <v>#N/A</v>
      </c>
      <c r="D1578" s="407" t="s">
        <v>1423</v>
      </c>
      <c r="E1578" s="407" t="s">
        <v>1868</v>
      </c>
      <c r="F1578" s="407" t="s">
        <v>68</v>
      </c>
      <c r="G1578" s="407" t="s">
        <v>68</v>
      </c>
      <c r="H1578" s="460" t="e">
        <v>#N/A</v>
      </c>
      <c r="I1578" s="460" t="e">
        <v>#N/A</v>
      </c>
      <c r="J1578" s="460" t="e">
        <v>#N/A</v>
      </c>
      <c r="K1578" s="460" t="e">
        <v>#N/A</v>
      </c>
      <c r="L1578" s="459" t="e">
        <v>#N/A</v>
      </c>
      <c r="O1578">
        <v>0</v>
      </c>
      <c r="P1578" t="s">
        <v>9919</v>
      </c>
    </row>
    <row r="1579" spans="1:16" ht="14.4" x14ac:dyDescent="0.3">
      <c r="A1579">
        <v>388236</v>
      </c>
      <c r="B1579" t="e">
        <f t="shared" si="48"/>
        <v>#N/A</v>
      </c>
      <c r="C1579" s="185" t="e">
        <f t="shared" si="49"/>
        <v>#N/A</v>
      </c>
      <c r="D1579" s="407" t="e">
        <v>#N/A</v>
      </c>
      <c r="E1579" s="407" t="e">
        <v>#N/A</v>
      </c>
      <c r="F1579" s="407" t="e">
        <v>#N/A</v>
      </c>
      <c r="G1579" s="407" t="e">
        <v>#N/A</v>
      </c>
      <c r="H1579" s="460" t="e">
        <v>#N/A</v>
      </c>
      <c r="I1579" s="460" t="e">
        <v>#N/A</v>
      </c>
      <c r="J1579" s="460" t="e">
        <v>#N/A</v>
      </c>
      <c r="K1579" s="460" t="e">
        <v>#N/A</v>
      </c>
      <c r="L1579" s="459" t="e">
        <v>#N/A</v>
      </c>
      <c r="O1579" t="e">
        <v>#N/A</v>
      </c>
      <c r="P1579" t="e">
        <v>#N/A</v>
      </c>
    </row>
    <row r="1580" spans="1:16" ht="14.4" x14ac:dyDescent="0.3">
      <c r="A1580">
        <v>388237</v>
      </c>
      <c r="B1580" t="e">
        <f t="shared" si="48"/>
        <v>#N/A</v>
      </c>
      <c r="C1580" s="185" t="e">
        <f t="shared" si="49"/>
        <v>#N/A</v>
      </c>
      <c r="D1580" s="407" t="e">
        <v>#N/A</v>
      </c>
      <c r="E1580" s="407" t="e">
        <v>#N/A</v>
      </c>
      <c r="F1580" s="407" t="e">
        <v>#N/A</v>
      </c>
      <c r="G1580" s="407" t="e">
        <v>#N/A</v>
      </c>
      <c r="H1580" s="460" t="e">
        <v>#N/A</v>
      </c>
      <c r="I1580" s="460" t="e">
        <v>#N/A</v>
      </c>
      <c r="J1580" s="460" t="e">
        <v>#N/A</v>
      </c>
      <c r="K1580" s="460" t="e">
        <v>#N/A</v>
      </c>
      <c r="L1580" s="459" t="e">
        <v>#N/A</v>
      </c>
      <c r="O1580" t="e">
        <v>#N/A</v>
      </c>
      <c r="P1580" t="e">
        <v>#N/A</v>
      </c>
    </row>
    <row r="1581" spans="1:16" ht="14.4" x14ac:dyDescent="0.3">
      <c r="A1581">
        <v>458673</v>
      </c>
      <c r="B1581" t="str">
        <f t="shared" si="48"/>
        <v/>
      </c>
      <c r="C1581" s="185">
        <f t="shared" si="49"/>
        <v>0</v>
      </c>
      <c r="D1581" s="407" t="s">
        <v>1424</v>
      </c>
      <c r="E1581" s="407" t="s">
        <v>1869</v>
      </c>
      <c r="F1581" s="407" t="s">
        <v>2175</v>
      </c>
      <c r="G1581" s="407" t="s">
        <v>68</v>
      </c>
      <c r="H1581" s="460">
        <v>0</v>
      </c>
      <c r="I1581" s="460">
        <v>0</v>
      </c>
      <c r="J1581" s="460">
        <v>0</v>
      </c>
      <c r="K1581" s="460">
        <v>0</v>
      </c>
      <c r="L1581" s="459" t="s">
        <v>541</v>
      </c>
      <c r="O1581">
        <v>0</v>
      </c>
      <c r="P1581" t="s">
        <v>9920</v>
      </c>
    </row>
    <row r="1582" spans="1:16" ht="14.4" x14ac:dyDescent="0.3">
      <c r="A1582">
        <v>458712</v>
      </c>
      <c r="B1582" t="str">
        <f t="shared" si="48"/>
        <v>SEVROLL 04449-M maskownica dolna Simple/Blue 2m (18mm) jasny brąz  new</v>
      </c>
      <c r="C1582" s="185" t="e">
        <f t="shared" si="49"/>
        <v>#N/A</v>
      </c>
      <c r="D1582" s="407" t="s">
        <v>1425</v>
      </c>
      <c r="E1582" s="407" t="s">
        <v>5891</v>
      </c>
      <c r="F1582" s="407" t="s">
        <v>5892</v>
      </c>
      <c r="G1582" s="407" t="s">
        <v>5893</v>
      </c>
      <c r="H1582" s="460" t="e">
        <v>#N/A</v>
      </c>
      <c r="I1582" s="460" t="e">
        <v>#N/A</v>
      </c>
      <c r="J1582" s="460" t="e">
        <v>#N/A</v>
      </c>
      <c r="K1582" s="460" t="e">
        <v>#N/A</v>
      </c>
      <c r="L1582" s="459" t="e">
        <v>#N/A</v>
      </c>
      <c r="O1582" t="e">
        <v>#N/A</v>
      </c>
      <c r="P1582" t="e">
        <v>#N/A</v>
      </c>
    </row>
    <row r="1583" spans="1:16" ht="14.4" x14ac:dyDescent="0.3">
      <c r="A1583">
        <v>459711</v>
      </c>
      <c r="B1583" t="str">
        <f t="shared" si="48"/>
        <v/>
      </c>
      <c r="C1583" s="185" t="e">
        <f t="shared" si="49"/>
        <v>#N/A</v>
      </c>
      <c r="D1583" s="407" t="s">
        <v>1426</v>
      </c>
      <c r="E1583" s="407" t="s">
        <v>68</v>
      </c>
      <c r="F1583" s="407" t="s">
        <v>68</v>
      </c>
      <c r="G1583" s="407" t="s">
        <v>68</v>
      </c>
      <c r="H1583" s="460" t="e">
        <v>#N/A</v>
      </c>
      <c r="I1583" s="460" t="e">
        <v>#N/A</v>
      </c>
      <c r="J1583" s="460" t="e">
        <v>#N/A</v>
      </c>
      <c r="K1583" s="460" t="e">
        <v>#N/A</v>
      </c>
      <c r="L1583" s="459" t="e">
        <v>#N/A</v>
      </c>
      <c r="O1583">
        <v>75.328000000000003</v>
      </c>
      <c r="P1583" t="s">
        <v>9921</v>
      </c>
    </row>
    <row r="1584" spans="1:16" ht="14.4" x14ac:dyDescent="0.3">
      <c r="A1584">
        <v>459712</v>
      </c>
      <c r="B1584" t="str">
        <f t="shared" si="48"/>
        <v/>
      </c>
      <c r="C1584" s="185" t="e">
        <f t="shared" si="49"/>
        <v>#N/A</v>
      </c>
      <c r="D1584" s="407" t="s">
        <v>1427</v>
      </c>
      <c r="E1584" s="407" t="s">
        <v>68</v>
      </c>
      <c r="F1584" s="407" t="s">
        <v>68</v>
      </c>
      <c r="G1584" s="407" t="s">
        <v>68</v>
      </c>
      <c r="H1584" s="460" t="e">
        <v>#N/A</v>
      </c>
      <c r="I1584" s="460" t="e">
        <v>#N/A</v>
      </c>
      <c r="J1584" s="460" t="e">
        <v>#N/A</v>
      </c>
      <c r="K1584" s="460" t="e">
        <v>#N/A</v>
      </c>
      <c r="L1584" s="459" t="e">
        <v>#N/A</v>
      </c>
      <c r="O1584">
        <v>110.55</v>
      </c>
      <c r="P1584" t="s">
        <v>9922</v>
      </c>
    </row>
    <row r="1585" spans="1:16" ht="14.4" x14ac:dyDescent="0.3">
      <c r="A1585">
        <v>459713</v>
      </c>
      <c r="B1585" t="str">
        <f t="shared" si="48"/>
        <v/>
      </c>
      <c r="C1585" s="185" t="e">
        <f t="shared" si="49"/>
        <v>#N/A</v>
      </c>
      <c r="D1585" s="407" t="s">
        <v>1428</v>
      </c>
      <c r="E1585" s="407" t="s">
        <v>68</v>
      </c>
      <c r="F1585" s="407" t="s">
        <v>68</v>
      </c>
      <c r="G1585" s="407" t="s">
        <v>68</v>
      </c>
      <c r="H1585" s="460" t="e">
        <v>#N/A</v>
      </c>
      <c r="I1585" s="460" t="e">
        <v>#N/A</v>
      </c>
      <c r="J1585" s="460" t="e">
        <v>#N/A</v>
      </c>
      <c r="K1585" s="460" t="e">
        <v>#N/A</v>
      </c>
      <c r="L1585" s="459" t="e">
        <v>#N/A</v>
      </c>
      <c r="O1585">
        <v>145.61799999999999</v>
      </c>
      <c r="P1585" t="s">
        <v>9923</v>
      </c>
    </row>
    <row r="1586" spans="1:16" ht="14.4" x14ac:dyDescent="0.3">
      <c r="A1586">
        <v>459714</v>
      </c>
      <c r="B1586" t="str">
        <f t="shared" si="48"/>
        <v/>
      </c>
      <c r="C1586" s="185" t="e">
        <f t="shared" si="49"/>
        <v>#N/A</v>
      </c>
      <c r="D1586" s="407" t="s">
        <v>1429</v>
      </c>
      <c r="E1586" s="407" t="s">
        <v>68</v>
      </c>
      <c r="F1586" s="407" t="s">
        <v>68</v>
      </c>
      <c r="G1586" s="407" t="s">
        <v>68</v>
      </c>
      <c r="H1586" s="460" t="e">
        <v>#N/A</v>
      </c>
      <c r="I1586" s="460" t="e">
        <v>#N/A</v>
      </c>
      <c r="J1586" s="460" t="e">
        <v>#N/A</v>
      </c>
      <c r="K1586" s="460" t="e">
        <v>#N/A</v>
      </c>
      <c r="L1586" s="459" t="e">
        <v>#N/A</v>
      </c>
      <c r="O1586">
        <v>185.768</v>
      </c>
      <c r="P1586" t="s">
        <v>9924</v>
      </c>
    </row>
    <row r="1587" spans="1:16" ht="14.4" x14ac:dyDescent="0.3">
      <c r="A1587">
        <v>195337</v>
      </c>
      <c r="B1587" t="e">
        <f t="shared" si="48"/>
        <v>#N/A</v>
      </c>
      <c r="C1587" s="185" t="e">
        <f t="shared" si="49"/>
        <v>#N/A</v>
      </c>
      <c r="D1587" s="407" t="e">
        <v>#N/A</v>
      </c>
      <c r="E1587" s="407" t="e">
        <v>#N/A</v>
      </c>
      <c r="F1587" s="407" t="e">
        <v>#N/A</v>
      </c>
      <c r="G1587" s="407" t="e">
        <v>#N/A</v>
      </c>
      <c r="H1587" s="460" t="e">
        <v>#N/A</v>
      </c>
      <c r="I1587" s="460" t="e">
        <v>#N/A</v>
      </c>
      <c r="J1587" s="460" t="e">
        <v>#N/A</v>
      </c>
      <c r="K1587" s="460" t="e">
        <v>#N/A</v>
      </c>
      <c r="L1587" s="459" t="e">
        <v>#N/A</v>
      </c>
      <c r="O1587" t="e">
        <v>#N/A</v>
      </c>
      <c r="P1587" t="e">
        <v>#N/A</v>
      </c>
    </row>
    <row r="1588" spans="1:16" ht="14.4" x14ac:dyDescent="0.3">
      <c r="A1588">
        <v>196558</v>
      </c>
      <c r="B1588" t="str">
        <f t="shared" si="48"/>
        <v>S-S50N komplet okuć</v>
      </c>
      <c r="C1588" s="185" t="e">
        <f t="shared" si="49"/>
        <v>#N/A</v>
      </c>
      <c r="D1588" s="407" t="s">
        <v>7810</v>
      </c>
      <c r="E1588" s="407" t="s">
        <v>7811</v>
      </c>
      <c r="F1588" s="407" t="s">
        <v>7812</v>
      </c>
      <c r="G1588" s="407" t="s">
        <v>7813</v>
      </c>
      <c r="H1588" s="460" t="e">
        <v>#N/A</v>
      </c>
      <c r="I1588" s="460" t="e">
        <v>#N/A</v>
      </c>
      <c r="J1588" s="460" t="e">
        <v>#N/A</v>
      </c>
      <c r="K1588" s="460" t="e">
        <v>#N/A</v>
      </c>
      <c r="L1588" s="459" t="e">
        <v>#N/A</v>
      </c>
      <c r="O1588">
        <v>8.5666600000000006</v>
      </c>
      <c r="P1588" t="s">
        <v>9925</v>
      </c>
    </row>
    <row r="1589" spans="1:16" ht="14.4" x14ac:dyDescent="0.3">
      <c r="A1589">
        <v>197344</v>
      </c>
      <c r="B1589" t="str">
        <f t="shared" si="48"/>
        <v>S-profil dzielący "T" 2m srebrny</v>
      </c>
      <c r="C1589" s="185" t="e">
        <f t="shared" si="49"/>
        <v>#N/A</v>
      </c>
      <c r="D1589" s="407" t="s">
        <v>7814</v>
      </c>
      <c r="E1589" s="407" t="s">
        <v>7815</v>
      </c>
      <c r="F1589" s="407" t="s">
        <v>7816</v>
      </c>
      <c r="G1589" s="407" t="s">
        <v>7817</v>
      </c>
      <c r="H1589" s="460" t="e">
        <v>#N/A</v>
      </c>
      <c r="I1589" s="460" t="e">
        <v>#N/A</v>
      </c>
      <c r="J1589" s="460" t="e">
        <v>#N/A</v>
      </c>
      <c r="K1589" s="460" t="e">
        <v>#N/A</v>
      </c>
      <c r="L1589" s="459" t="e">
        <v>#N/A</v>
      </c>
      <c r="O1589">
        <v>0</v>
      </c>
      <c r="P1589" t="s">
        <v>9926</v>
      </c>
    </row>
    <row r="1590" spans="1:16" ht="14.4" x14ac:dyDescent="0.3">
      <c r="A1590">
        <v>197345</v>
      </c>
      <c r="B1590" t="str">
        <f t="shared" si="48"/>
        <v>S-kątownik S07 2m srebrny</v>
      </c>
      <c r="C1590" s="185" t="e">
        <f t="shared" si="49"/>
        <v>#N/A</v>
      </c>
      <c r="D1590" s="407" t="s">
        <v>7818</v>
      </c>
      <c r="E1590" s="407" t="s">
        <v>7819</v>
      </c>
      <c r="F1590" s="407" t="s">
        <v>7820</v>
      </c>
      <c r="G1590" s="407" t="s">
        <v>7821</v>
      </c>
      <c r="H1590" s="460" t="e">
        <v>#N/A</v>
      </c>
      <c r="I1590" s="460" t="e">
        <v>#N/A</v>
      </c>
      <c r="J1590" s="460" t="e">
        <v>#N/A</v>
      </c>
      <c r="K1590" s="460" t="e">
        <v>#N/A</v>
      </c>
      <c r="L1590" s="459" t="e">
        <v>#N/A</v>
      </c>
      <c r="O1590">
        <v>0</v>
      </c>
      <c r="P1590" t="s">
        <v>9927</v>
      </c>
    </row>
    <row r="1591" spans="1:16" ht="14.4" x14ac:dyDescent="0.3">
      <c r="A1591">
        <v>197346</v>
      </c>
      <c r="B1591" t="str">
        <f t="shared" si="48"/>
        <v>S-kątownik S07 3m srebrny</v>
      </c>
      <c r="C1591" s="185" t="e">
        <f t="shared" si="49"/>
        <v>#N/A</v>
      </c>
      <c r="D1591" s="407" t="s">
        <v>7822</v>
      </c>
      <c r="E1591" s="407" t="s">
        <v>7823</v>
      </c>
      <c r="F1591" s="407" t="s">
        <v>7824</v>
      </c>
      <c r="G1591" s="407" t="s">
        <v>7825</v>
      </c>
      <c r="H1591" s="460" t="e">
        <v>#N/A</v>
      </c>
      <c r="I1591" s="460" t="e">
        <v>#N/A</v>
      </c>
      <c r="J1591" s="460" t="e">
        <v>#N/A</v>
      </c>
      <c r="K1591" s="460" t="e">
        <v>#N/A</v>
      </c>
      <c r="L1591" s="459" t="e">
        <v>#N/A</v>
      </c>
      <c r="O1591">
        <v>0</v>
      </c>
      <c r="P1591" t="s">
        <v>9928</v>
      </c>
    </row>
    <row r="1592" spans="1:16" ht="14.4" x14ac:dyDescent="0.3">
      <c r="A1592">
        <v>197347</v>
      </c>
      <c r="B1592" t="str">
        <f t="shared" si="48"/>
        <v>S-S06N-S06N dolny profil prowadzący alu 3,5m</v>
      </c>
      <c r="C1592" s="185" t="e">
        <f t="shared" si="49"/>
        <v>#N/A</v>
      </c>
      <c r="D1592" s="407" t="s">
        <v>7826</v>
      </c>
      <c r="E1592" s="407" t="s">
        <v>7827</v>
      </c>
      <c r="F1592" s="407" t="s">
        <v>7828</v>
      </c>
      <c r="G1592" s="407" t="s">
        <v>7829</v>
      </c>
      <c r="H1592" s="460" t="e">
        <v>#N/A</v>
      </c>
      <c r="I1592" s="460" t="e">
        <v>#N/A</v>
      </c>
      <c r="J1592" s="460" t="e">
        <v>#N/A</v>
      </c>
      <c r="K1592" s="460" t="e">
        <v>#N/A</v>
      </c>
      <c r="L1592" s="459" t="e">
        <v>#N/A</v>
      </c>
      <c r="O1592">
        <v>0</v>
      </c>
      <c r="P1592" t="s">
        <v>9929</v>
      </c>
    </row>
    <row r="1593" spans="1:16" ht="14.4" x14ac:dyDescent="0.3">
      <c r="A1593">
        <v>197349</v>
      </c>
      <c r="B1593" t="str">
        <f t="shared" si="48"/>
        <v>S-profil S12 2,7m srebrny elox</v>
      </c>
      <c r="C1593" s="185">
        <f t="shared" si="49"/>
        <v>130.089</v>
      </c>
      <c r="D1593" s="407" t="s">
        <v>7830</v>
      </c>
      <c r="E1593" s="407" t="s">
        <v>7831</v>
      </c>
      <c r="F1593" s="407" t="s">
        <v>7832</v>
      </c>
      <c r="G1593" s="407" t="s">
        <v>7833</v>
      </c>
      <c r="H1593" s="460">
        <v>690.9</v>
      </c>
      <c r="I1593" s="460">
        <v>29.487390000000001</v>
      </c>
      <c r="J1593" s="460">
        <v>130.089</v>
      </c>
      <c r="K1593" s="460" t="e">
        <v>#N/A</v>
      </c>
      <c r="L1593" s="459" t="s">
        <v>537</v>
      </c>
      <c r="O1593">
        <v>18.939859999999999</v>
      </c>
      <c r="P1593" t="s">
        <v>9930</v>
      </c>
    </row>
    <row r="1594" spans="1:16" ht="14.4" x14ac:dyDescent="0.3">
      <c r="A1594">
        <v>198307</v>
      </c>
      <c r="B1594" t="str">
        <f t="shared" si="48"/>
        <v>S-S40/80 górna listwa alu 3m</v>
      </c>
      <c r="C1594" s="185" t="e">
        <f t="shared" si="49"/>
        <v>#N/A</v>
      </c>
      <c r="D1594" s="407" t="s">
        <v>7834</v>
      </c>
      <c r="E1594" s="407" t="s">
        <v>7835</v>
      </c>
      <c r="F1594" s="407" t="s">
        <v>7836</v>
      </c>
      <c r="G1594" s="407" t="s">
        <v>7837</v>
      </c>
      <c r="H1594" s="460" t="e">
        <v>#N/A</v>
      </c>
      <c r="I1594" s="460" t="e">
        <v>#N/A</v>
      </c>
      <c r="J1594" s="460" t="e">
        <v>#N/A</v>
      </c>
      <c r="K1594" s="460" t="e">
        <v>#N/A</v>
      </c>
      <c r="L1594" s="459" t="e">
        <v>#N/A</v>
      </c>
      <c r="O1594">
        <v>0</v>
      </c>
      <c r="P1594" t="s">
        <v>9931</v>
      </c>
    </row>
    <row r="1595" spans="1:16" ht="14.4" x14ac:dyDescent="0.3">
      <c r="A1595">
        <v>198435</v>
      </c>
      <c r="B1595" t="e">
        <f t="shared" si="48"/>
        <v>#N/A</v>
      </c>
      <c r="C1595" s="185" t="e">
        <f t="shared" si="49"/>
        <v>#N/A</v>
      </c>
      <c r="D1595" s="407" t="e">
        <v>#N/A</v>
      </c>
      <c r="E1595" s="407" t="e">
        <v>#N/A</v>
      </c>
      <c r="F1595" s="407" t="e">
        <v>#N/A</v>
      </c>
      <c r="G1595" s="407" t="e">
        <v>#N/A</v>
      </c>
      <c r="H1595" s="460" t="e">
        <v>#N/A</v>
      </c>
      <c r="I1595" s="460" t="e">
        <v>#N/A</v>
      </c>
      <c r="J1595" s="460" t="e">
        <v>#N/A</v>
      </c>
      <c r="K1595" s="460" t="e">
        <v>#N/A</v>
      </c>
      <c r="L1595" s="459" t="e">
        <v>#N/A</v>
      </c>
      <c r="O1595" t="e">
        <v>#N/A</v>
      </c>
      <c r="P1595" t="e">
        <v>#N/A</v>
      </c>
    </row>
    <row r="1596" spans="1:16" ht="14.4" x14ac:dyDescent="0.3">
      <c r="A1596">
        <v>198521</v>
      </c>
      <c r="B1596" t="e">
        <f t="shared" si="48"/>
        <v>#N/A</v>
      </c>
      <c r="C1596" s="185" t="e">
        <f t="shared" si="49"/>
        <v>#N/A</v>
      </c>
      <c r="D1596" s="407" t="e">
        <v>#N/A</v>
      </c>
      <c r="E1596" s="407" t="e">
        <v>#N/A</v>
      </c>
      <c r="F1596" s="407" t="e">
        <v>#N/A</v>
      </c>
      <c r="G1596" s="407" t="e">
        <v>#N/A</v>
      </c>
      <c r="H1596" s="460" t="e">
        <v>#N/A</v>
      </c>
      <c r="I1596" s="460" t="e">
        <v>#N/A</v>
      </c>
      <c r="J1596" s="460" t="e">
        <v>#N/A</v>
      </c>
      <c r="K1596" s="460" t="e">
        <v>#N/A</v>
      </c>
      <c r="L1596" s="459" t="e">
        <v>#N/A</v>
      </c>
      <c r="O1596" t="e">
        <v>#N/A</v>
      </c>
      <c r="P1596" t="e">
        <v>#N/A</v>
      </c>
    </row>
    <row r="1597" spans="1:16" ht="14.4" x14ac:dyDescent="0.3">
      <c r="A1597">
        <v>198676</v>
      </c>
      <c r="B1597" t="e">
        <f t="shared" si="48"/>
        <v>#N/A</v>
      </c>
      <c r="C1597" s="185" t="e">
        <f t="shared" si="49"/>
        <v>#N/A</v>
      </c>
      <c r="D1597" s="407" t="e">
        <v>#N/A</v>
      </c>
      <c r="E1597" s="407" t="e">
        <v>#N/A</v>
      </c>
      <c r="F1597" s="407" t="e">
        <v>#N/A</v>
      </c>
      <c r="G1597" s="407" t="e">
        <v>#N/A</v>
      </c>
      <c r="H1597" s="460" t="e">
        <v>#N/A</v>
      </c>
      <c r="I1597" s="460" t="e">
        <v>#N/A</v>
      </c>
      <c r="J1597" s="460" t="e">
        <v>#N/A</v>
      </c>
      <c r="K1597" s="460" t="e">
        <v>#N/A</v>
      </c>
      <c r="L1597" s="459" t="e">
        <v>#N/A</v>
      </c>
      <c r="O1597" t="e">
        <v>#N/A</v>
      </c>
      <c r="P1597" t="e">
        <v>#N/A</v>
      </c>
    </row>
    <row r="1598" spans="1:16" ht="14.4" x14ac:dyDescent="0.3">
      <c r="A1598">
        <v>252977</v>
      </c>
      <c r="B1598" t="e">
        <f t="shared" si="48"/>
        <v>#N/A</v>
      </c>
      <c r="C1598" s="185" t="e">
        <f t="shared" si="49"/>
        <v>#N/A</v>
      </c>
      <c r="D1598" s="407" t="e">
        <v>#N/A</v>
      </c>
      <c r="E1598" s="407" t="e">
        <v>#N/A</v>
      </c>
      <c r="F1598" s="407" t="e">
        <v>#N/A</v>
      </c>
      <c r="G1598" s="407" t="e">
        <v>#N/A</v>
      </c>
      <c r="H1598" s="460" t="e">
        <v>#N/A</v>
      </c>
      <c r="I1598" s="460" t="e">
        <v>#N/A</v>
      </c>
      <c r="J1598" s="460" t="e">
        <v>#N/A</v>
      </c>
      <c r="K1598" s="460" t="e">
        <v>#N/A</v>
      </c>
      <c r="L1598" s="459" t="e">
        <v>#N/A</v>
      </c>
      <c r="O1598" t="e">
        <v>#N/A</v>
      </c>
      <c r="P1598" t="e">
        <v>#N/A</v>
      </c>
    </row>
    <row r="1599" spans="1:16" ht="14.4" x14ac:dyDescent="0.3">
      <c r="A1599">
        <v>253054</v>
      </c>
      <c r="B1599" t="str">
        <f t="shared" si="48"/>
        <v>S-S06NN dolny profil 3,5m jasny brąz</v>
      </c>
      <c r="C1599" s="185" t="e">
        <f t="shared" si="49"/>
        <v>#N/A</v>
      </c>
      <c r="D1599" s="407" t="s">
        <v>7838</v>
      </c>
      <c r="E1599" s="407" t="s">
        <v>7839</v>
      </c>
      <c r="F1599" s="407" t="s">
        <v>7840</v>
      </c>
      <c r="G1599" s="407" t="s">
        <v>7841</v>
      </c>
      <c r="H1599" s="460" t="e">
        <v>#N/A</v>
      </c>
      <c r="I1599" s="460" t="e">
        <v>#N/A</v>
      </c>
      <c r="J1599" s="460" t="e">
        <v>#N/A</v>
      </c>
      <c r="K1599" s="460" t="e">
        <v>#N/A</v>
      </c>
      <c r="L1599" s="459" t="e">
        <v>#N/A</v>
      </c>
      <c r="O1599">
        <v>0</v>
      </c>
      <c r="P1599" t="s">
        <v>9932</v>
      </c>
    </row>
    <row r="1600" spans="1:16" ht="14.4" x14ac:dyDescent="0.3">
      <c r="A1600">
        <v>253055</v>
      </c>
      <c r="B1600" t="str">
        <f t="shared" si="48"/>
        <v>S-S06N profl maskujący 3,5m jasny brąz</v>
      </c>
      <c r="C1600" s="185" t="e">
        <f t="shared" si="49"/>
        <v>#N/A</v>
      </c>
      <c r="D1600" s="407" t="s">
        <v>7842</v>
      </c>
      <c r="E1600" s="407" t="s">
        <v>7843</v>
      </c>
      <c r="F1600" s="407" t="s">
        <v>7844</v>
      </c>
      <c r="G1600" s="407" t="s">
        <v>7845</v>
      </c>
      <c r="H1600" s="460" t="e">
        <v>#N/A</v>
      </c>
      <c r="I1600" s="460" t="e">
        <v>#N/A</v>
      </c>
      <c r="J1600" s="460" t="e">
        <v>#N/A</v>
      </c>
      <c r="K1600" s="460" t="e">
        <v>#N/A</v>
      </c>
      <c r="L1600" s="459" t="e">
        <v>#N/A</v>
      </c>
      <c r="O1600">
        <v>0</v>
      </c>
      <c r="P1600" t="s">
        <v>9933</v>
      </c>
    </row>
    <row r="1601" spans="1:16" ht="14.4" x14ac:dyDescent="0.3">
      <c r="A1601">
        <v>253056</v>
      </c>
      <c r="B1601" t="str">
        <f t="shared" si="48"/>
        <v>S-S05 górny profil prowadzący 3,5m jasny brąz</v>
      </c>
      <c r="C1601" s="185" t="e">
        <f t="shared" si="49"/>
        <v>#N/A</v>
      </c>
      <c r="D1601" s="407" t="s">
        <v>7846</v>
      </c>
      <c r="E1601" s="407" t="s">
        <v>7847</v>
      </c>
      <c r="F1601" s="407" t="s">
        <v>7848</v>
      </c>
      <c r="G1601" s="407" t="s">
        <v>7849</v>
      </c>
      <c r="H1601" s="460" t="e">
        <v>#N/A</v>
      </c>
      <c r="I1601" s="460" t="e">
        <v>#N/A</v>
      </c>
      <c r="J1601" s="460" t="e">
        <v>#N/A</v>
      </c>
      <c r="K1601" s="460" t="e">
        <v>#N/A</v>
      </c>
      <c r="L1601" s="459" t="e">
        <v>#N/A</v>
      </c>
      <c r="O1601">
        <v>0</v>
      </c>
      <c r="P1601" t="s">
        <v>9934</v>
      </c>
    </row>
    <row r="1602" spans="1:16" ht="14.4" x14ac:dyDescent="0.3">
      <c r="A1602">
        <v>253058</v>
      </c>
      <c r="B1602" t="str">
        <f t="shared" si="48"/>
        <v>S-profil dzielący "T" 2m jasny brąz</v>
      </c>
      <c r="C1602" s="185" t="e">
        <f t="shared" si="49"/>
        <v>#N/A</v>
      </c>
      <c r="D1602" s="407" t="s">
        <v>7850</v>
      </c>
      <c r="E1602" s="407" t="s">
        <v>7851</v>
      </c>
      <c r="F1602" s="407" t="s">
        <v>7852</v>
      </c>
      <c r="G1602" s="407" t="s">
        <v>7853</v>
      </c>
      <c r="H1602" s="460" t="e">
        <v>#N/A</v>
      </c>
      <c r="I1602" s="460" t="e">
        <v>#N/A</v>
      </c>
      <c r="J1602" s="460" t="e">
        <v>#N/A</v>
      </c>
      <c r="K1602" s="460" t="e">
        <v>#N/A</v>
      </c>
      <c r="L1602" s="459" t="e">
        <v>#N/A</v>
      </c>
      <c r="O1602">
        <v>0</v>
      </c>
      <c r="P1602" t="s">
        <v>9935</v>
      </c>
    </row>
    <row r="1603" spans="1:16" ht="14.4" x14ac:dyDescent="0.3">
      <c r="A1603">
        <v>253060</v>
      </c>
      <c r="B1603" t="str">
        <f t="shared" si="48"/>
        <v>S-profil dzielący "T" 3m jasny brąz</v>
      </c>
      <c r="C1603" s="185" t="e">
        <f t="shared" si="49"/>
        <v>#N/A</v>
      </c>
      <c r="D1603" s="407" t="s">
        <v>7854</v>
      </c>
      <c r="E1603" s="407" t="s">
        <v>7855</v>
      </c>
      <c r="F1603" s="407" t="s">
        <v>7856</v>
      </c>
      <c r="G1603" s="407" t="s">
        <v>7857</v>
      </c>
      <c r="H1603" s="460" t="e">
        <v>#N/A</v>
      </c>
      <c r="I1603" s="460" t="e">
        <v>#N/A</v>
      </c>
      <c r="J1603" s="460" t="e">
        <v>#N/A</v>
      </c>
      <c r="K1603" s="460" t="e">
        <v>#N/A</v>
      </c>
      <c r="L1603" s="459" t="e">
        <v>#N/A</v>
      </c>
      <c r="O1603">
        <v>0</v>
      </c>
      <c r="P1603" t="s">
        <v>9936</v>
      </c>
    </row>
    <row r="1604" spans="1:16" ht="14.4" x14ac:dyDescent="0.3">
      <c r="A1604">
        <v>253062</v>
      </c>
      <c r="B1604" t="str">
        <f t="shared" ref="B1604:B1667" si="50">IF($A$2=1,D1604,IF($A$2=2,F1604,IF($A$2=3,G1604,IF($A$2=4,E1604,IF($A$2&gt;4,P1604,"zadat jazyk")))))</f>
        <v>S-profil S04N jasny brąz 2,7m</v>
      </c>
      <c r="C1604" s="185" t="e">
        <f t="shared" ref="C1604:C1667" si="51">IF($A$2=1,H1604,IF($A$2=2,I1604,IF($A$2=3,J1604,IF($A$2=4,K1604,IF($A$2&gt;4,O1604,"zadat jazyk")))))</f>
        <v>#N/A</v>
      </c>
      <c r="D1604" s="407" t="s">
        <v>7858</v>
      </c>
      <c r="E1604" s="407" t="s">
        <v>7859</v>
      </c>
      <c r="F1604" s="407" t="s">
        <v>7860</v>
      </c>
      <c r="G1604" s="407" t="s">
        <v>7861</v>
      </c>
      <c r="H1604" s="460" t="e">
        <v>#N/A</v>
      </c>
      <c r="I1604" s="460" t="e">
        <v>#N/A</v>
      </c>
      <c r="J1604" s="460" t="e">
        <v>#N/A</v>
      </c>
      <c r="K1604" s="460" t="e">
        <v>#N/A</v>
      </c>
      <c r="L1604" s="459" t="e">
        <v>#N/A</v>
      </c>
      <c r="O1604">
        <v>0</v>
      </c>
      <c r="P1604" t="s">
        <v>9937</v>
      </c>
    </row>
    <row r="1605" spans="1:16" ht="14.4" x14ac:dyDescent="0.3">
      <c r="A1605">
        <v>253722</v>
      </c>
      <c r="B1605" t="e">
        <f t="shared" si="50"/>
        <v>#N/A</v>
      </c>
      <c r="C1605" s="185" t="e">
        <f t="shared" si="51"/>
        <v>#N/A</v>
      </c>
      <c r="D1605" s="407" t="e">
        <v>#N/A</v>
      </c>
      <c r="E1605" s="407" t="e">
        <v>#N/A</v>
      </c>
      <c r="F1605" s="407" t="e">
        <v>#N/A</v>
      </c>
      <c r="G1605" s="407" t="e">
        <v>#N/A</v>
      </c>
      <c r="H1605" s="460" t="e">
        <v>#N/A</v>
      </c>
      <c r="I1605" s="460" t="e">
        <v>#N/A</v>
      </c>
      <c r="J1605" s="460" t="e">
        <v>#N/A</v>
      </c>
      <c r="K1605" s="460" t="e">
        <v>#N/A</v>
      </c>
      <c r="L1605" s="459" t="e">
        <v>#N/A</v>
      </c>
      <c r="O1605" t="e">
        <v>#N/A</v>
      </c>
      <c r="P1605" t="e">
        <v>#N/A</v>
      </c>
    </row>
    <row r="1606" spans="1:16" ht="14.4" x14ac:dyDescent="0.3">
      <c r="A1606">
        <v>253726</v>
      </c>
      <c r="B1606" t="e">
        <f t="shared" si="50"/>
        <v>#N/A</v>
      </c>
      <c r="C1606" s="185" t="e">
        <f t="shared" si="51"/>
        <v>#N/A</v>
      </c>
      <c r="D1606" s="407" t="e">
        <v>#N/A</v>
      </c>
      <c r="E1606" s="407" t="e">
        <v>#N/A</v>
      </c>
      <c r="F1606" s="407" t="e">
        <v>#N/A</v>
      </c>
      <c r="G1606" s="407" t="e">
        <v>#N/A</v>
      </c>
      <c r="H1606" s="460" t="e">
        <v>#N/A</v>
      </c>
      <c r="I1606" s="460" t="e">
        <v>#N/A</v>
      </c>
      <c r="J1606" s="460" t="e">
        <v>#N/A</v>
      </c>
      <c r="K1606" s="460" t="e">
        <v>#N/A</v>
      </c>
      <c r="L1606" s="459" t="e">
        <v>#N/A</v>
      </c>
      <c r="O1606" t="e">
        <v>#N/A</v>
      </c>
      <c r="P1606" t="e">
        <v>#N/A</v>
      </c>
    </row>
    <row r="1607" spans="1:16" ht="14.4" x14ac:dyDescent="0.3">
      <c r="A1607">
        <v>253727</v>
      </c>
      <c r="B1607" t="e">
        <f t="shared" si="50"/>
        <v>#N/A</v>
      </c>
      <c r="C1607" s="185" t="e">
        <f t="shared" si="51"/>
        <v>#N/A</v>
      </c>
      <c r="D1607" s="407" t="e">
        <v>#N/A</v>
      </c>
      <c r="E1607" s="407" t="e">
        <v>#N/A</v>
      </c>
      <c r="F1607" s="407" t="e">
        <v>#N/A</v>
      </c>
      <c r="G1607" s="407" t="e">
        <v>#N/A</v>
      </c>
      <c r="H1607" s="460" t="e">
        <v>#N/A</v>
      </c>
      <c r="I1607" s="460" t="e">
        <v>#N/A</v>
      </c>
      <c r="J1607" s="460" t="e">
        <v>#N/A</v>
      </c>
      <c r="K1607" s="460" t="e">
        <v>#N/A</v>
      </c>
      <c r="L1607" s="459" t="e">
        <v>#N/A</v>
      </c>
      <c r="O1607" t="e">
        <v>#N/A</v>
      </c>
      <c r="P1607" t="e">
        <v>#N/A</v>
      </c>
    </row>
    <row r="1608" spans="1:16" ht="14.4" x14ac:dyDescent="0.3">
      <c r="A1608">
        <v>253728</v>
      </c>
      <c r="B1608" t="e">
        <f t="shared" si="50"/>
        <v>#N/A</v>
      </c>
      <c r="C1608" s="185" t="e">
        <f t="shared" si="51"/>
        <v>#N/A</v>
      </c>
      <c r="D1608" s="407" t="e">
        <v>#N/A</v>
      </c>
      <c r="E1608" s="407" t="e">
        <v>#N/A</v>
      </c>
      <c r="F1608" s="407" t="e">
        <v>#N/A</v>
      </c>
      <c r="G1608" s="407" t="e">
        <v>#N/A</v>
      </c>
      <c r="H1608" s="460" t="e">
        <v>#N/A</v>
      </c>
      <c r="I1608" s="460" t="e">
        <v>#N/A</v>
      </c>
      <c r="J1608" s="460" t="e">
        <v>#N/A</v>
      </c>
      <c r="K1608" s="460" t="e">
        <v>#N/A</v>
      </c>
      <c r="L1608" s="459" t="e">
        <v>#N/A</v>
      </c>
      <c r="O1608" t="e">
        <v>#N/A</v>
      </c>
      <c r="P1608" t="e">
        <v>#N/A</v>
      </c>
    </row>
    <row r="1609" spans="1:16" ht="14.4" x14ac:dyDescent="0.3">
      <c r="A1609">
        <v>253729</v>
      </c>
      <c r="B1609" t="e">
        <f t="shared" si="50"/>
        <v>#N/A</v>
      </c>
      <c r="C1609" s="185" t="e">
        <f t="shared" si="51"/>
        <v>#N/A</v>
      </c>
      <c r="D1609" s="407" t="e">
        <v>#N/A</v>
      </c>
      <c r="E1609" s="407" t="e">
        <v>#N/A</v>
      </c>
      <c r="F1609" s="407" t="e">
        <v>#N/A</v>
      </c>
      <c r="G1609" s="407" t="e">
        <v>#N/A</v>
      </c>
      <c r="H1609" s="460" t="e">
        <v>#N/A</v>
      </c>
      <c r="I1609" s="460" t="e">
        <v>#N/A</v>
      </c>
      <c r="J1609" s="460" t="e">
        <v>#N/A</v>
      </c>
      <c r="K1609" s="460" t="e">
        <v>#N/A</v>
      </c>
      <c r="L1609" s="459" t="e">
        <v>#N/A</v>
      </c>
      <c r="O1609" t="e">
        <v>#N/A</v>
      </c>
      <c r="P1609" t="e">
        <v>#N/A</v>
      </c>
    </row>
    <row r="1610" spans="1:16" ht="14.4" x14ac:dyDescent="0.3">
      <c r="A1610">
        <v>253741</v>
      </c>
      <c r="B1610" t="e">
        <f t="shared" si="50"/>
        <v>#N/A</v>
      </c>
      <c r="C1610" s="185" t="e">
        <f t="shared" si="51"/>
        <v>#N/A</v>
      </c>
      <c r="D1610" s="407" t="e">
        <v>#N/A</v>
      </c>
      <c r="E1610" s="407" t="e">
        <v>#N/A</v>
      </c>
      <c r="F1610" s="407" t="e">
        <v>#N/A</v>
      </c>
      <c r="G1610" s="407" t="e">
        <v>#N/A</v>
      </c>
      <c r="H1610" s="460" t="e">
        <v>#N/A</v>
      </c>
      <c r="I1610" s="460" t="e">
        <v>#N/A</v>
      </c>
      <c r="J1610" s="460" t="e">
        <v>#N/A</v>
      </c>
      <c r="K1610" s="460" t="e">
        <v>#N/A</v>
      </c>
      <c r="L1610" s="459" t="e">
        <v>#N/A</v>
      </c>
      <c r="O1610" t="e">
        <v>#N/A</v>
      </c>
      <c r="P1610" t="e">
        <v>#N/A</v>
      </c>
    </row>
    <row r="1611" spans="1:16" ht="14.4" x14ac:dyDescent="0.3">
      <c r="A1611">
        <v>254151</v>
      </c>
      <c r="B1611" t="str">
        <f t="shared" si="50"/>
        <v>S-S06NN dolny profil 2m elox srebrny</v>
      </c>
      <c r="C1611" s="185" t="e">
        <f t="shared" si="51"/>
        <v>#N/A</v>
      </c>
      <c r="D1611" s="407" t="s">
        <v>7862</v>
      </c>
      <c r="E1611" s="407" t="s">
        <v>7863</v>
      </c>
      <c r="F1611" s="407" t="s">
        <v>7864</v>
      </c>
      <c r="G1611" s="407" t="s">
        <v>7865</v>
      </c>
      <c r="H1611" s="460" t="e">
        <v>#N/A</v>
      </c>
      <c r="I1611" s="460" t="e">
        <v>#N/A</v>
      </c>
      <c r="J1611" s="460" t="e">
        <v>#N/A</v>
      </c>
      <c r="K1611" s="460" t="e">
        <v>#N/A</v>
      </c>
      <c r="L1611" s="459" t="e">
        <v>#N/A</v>
      </c>
      <c r="O1611">
        <v>0</v>
      </c>
      <c r="P1611" t="s">
        <v>9938</v>
      </c>
    </row>
    <row r="1612" spans="1:16" ht="14.4" x14ac:dyDescent="0.3">
      <c r="A1612">
        <v>369700</v>
      </c>
      <c r="B1612" t="e">
        <f t="shared" si="50"/>
        <v>#N/A</v>
      </c>
      <c r="C1612" s="185" t="e">
        <f t="shared" si="51"/>
        <v>#N/A</v>
      </c>
      <c r="D1612" s="407" t="e">
        <v>#N/A</v>
      </c>
      <c r="E1612" s="407" t="e">
        <v>#N/A</v>
      </c>
      <c r="F1612" s="407" t="e">
        <v>#N/A</v>
      </c>
      <c r="G1612" s="407" t="e">
        <v>#N/A</v>
      </c>
      <c r="H1612" s="460" t="e">
        <v>#N/A</v>
      </c>
      <c r="I1612" s="460" t="e">
        <v>#N/A</v>
      </c>
      <c r="J1612" s="460" t="e">
        <v>#N/A</v>
      </c>
      <c r="K1612" s="460" t="e">
        <v>#N/A</v>
      </c>
      <c r="L1612" s="459" t="e">
        <v>#N/A</v>
      </c>
      <c r="O1612" t="e">
        <v>#N/A</v>
      </c>
      <c r="P1612" t="e">
        <v>#N/A</v>
      </c>
    </row>
    <row r="1613" spans="1:16" ht="14.4" x14ac:dyDescent="0.3">
      <c r="A1613">
        <v>369847</v>
      </c>
      <c r="B1613" t="str">
        <f t="shared" si="50"/>
        <v>SEVROLL profile "U" Mini 36 do DTD 2x18 mm srebrny 3 m</v>
      </c>
      <c r="C1613" s="185" t="e">
        <f t="shared" si="51"/>
        <v>#N/A</v>
      </c>
      <c r="D1613" s="407" t="s">
        <v>1430</v>
      </c>
      <c r="E1613" s="407" t="s">
        <v>1870</v>
      </c>
      <c r="F1613" s="407" t="s">
        <v>2176</v>
      </c>
      <c r="G1613" s="407" t="s">
        <v>2410</v>
      </c>
      <c r="H1613" s="460" t="e">
        <v>#N/A</v>
      </c>
      <c r="I1613" s="460" t="e">
        <v>#N/A</v>
      </c>
      <c r="J1613" s="460" t="e">
        <v>#N/A</v>
      </c>
      <c r="K1613" s="460" t="e">
        <v>#N/A</v>
      </c>
      <c r="L1613" s="459" t="e">
        <v>#N/A</v>
      </c>
      <c r="O1613" t="e">
        <v>#N/A</v>
      </c>
      <c r="P1613" t="e">
        <v>#N/A</v>
      </c>
    </row>
    <row r="1614" spans="1:16" ht="14.4" x14ac:dyDescent="0.3">
      <c r="A1614">
        <v>369913</v>
      </c>
      <c r="B1614" t="e">
        <f t="shared" si="50"/>
        <v>#N/A</v>
      </c>
      <c r="C1614" s="185" t="e">
        <f t="shared" si="51"/>
        <v>#N/A</v>
      </c>
      <c r="D1614" s="407" t="e">
        <v>#N/A</v>
      </c>
      <c r="E1614" s="407" t="e">
        <v>#N/A</v>
      </c>
      <c r="F1614" s="407" t="e">
        <v>#N/A</v>
      </c>
      <c r="G1614" s="407" t="e">
        <v>#N/A</v>
      </c>
      <c r="H1614" s="460" t="e">
        <v>#N/A</v>
      </c>
      <c r="I1614" s="460" t="e">
        <v>#N/A</v>
      </c>
      <c r="J1614" s="460" t="e">
        <v>#N/A</v>
      </c>
      <c r="K1614" s="460" t="e">
        <v>#N/A</v>
      </c>
      <c r="L1614" s="459" t="e">
        <v>#N/A</v>
      </c>
      <c r="O1614" t="e">
        <v>#N/A</v>
      </c>
      <c r="P1614" t="e">
        <v>#N/A</v>
      </c>
    </row>
    <row r="1615" spans="1:16" ht="14.4" x14ac:dyDescent="0.3">
      <c r="A1615">
        <v>369914</v>
      </c>
      <c r="B1615" t="e">
        <f t="shared" si="50"/>
        <v>#N/A</v>
      </c>
      <c r="C1615" s="185" t="e">
        <f t="shared" si="51"/>
        <v>#N/A</v>
      </c>
      <c r="D1615" s="407" t="e">
        <v>#N/A</v>
      </c>
      <c r="E1615" s="407" t="e">
        <v>#N/A</v>
      </c>
      <c r="F1615" s="407" t="e">
        <v>#N/A</v>
      </c>
      <c r="G1615" s="407" t="e">
        <v>#N/A</v>
      </c>
      <c r="H1615" s="460" t="e">
        <v>#N/A</v>
      </c>
      <c r="I1615" s="460" t="e">
        <v>#N/A</v>
      </c>
      <c r="J1615" s="460" t="e">
        <v>#N/A</v>
      </c>
      <c r="K1615" s="460" t="e">
        <v>#N/A</v>
      </c>
      <c r="L1615" s="459" t="e">
        <v>#N/A</v>
      </c>
      <c r="O1615" t="e">
        <v>#N/A</v>
      </c>
      <c r="P1615" t="e">
        <v>#N/A</v>
      </c>
    </row>
    <row r="1616" spans="1:16" ht="14.4" x14ac:dyDescent="0.3">
      <c r="A1616">
        <v>369915</v>
      </c>
      <c r="B1616" t="e">
        <f t="shared" si="50"/>
        <v>#N/A</v>
      </c>
      <c r="C1616" s="185" t="e">
        <f t="shared" si="51"/>
        <v>#N/A</v>
      </c>
      <c r="D1616" s="407" t="e">
        <v>#N/A</v>
      </c>
      <c r="E1616" s="407" t="e">
        <v>#N/A</v>
      </c>
      <c r="F1616" s="407" t="e">
        <v>#N/A</v>
      </c>
      <c r="G1616" s="407" t="e">
        <v>#N/A</v>
      </c>
      <c r="H1616" s="460" t="e">
        <v>#N/A</v>
      </c>
      <c r="I1616" s="460" t="e">
        <v>#N/A</v>
      </c>
      <c r="J1616" s="460" t="e">
        <v>#N/A</v>
      </c>
      <c r="K1616" s="460" t="e">
        <v>#N/A</v>
      </c>
      <c r="L1616" s="459" t="e">
        <v>#N/A</v>
      </c>
      <c r="O1616" t="e">
        <v>#N/A</v>
      </c>
      <c r="P1616" t="e">
        <v>#N/A</v>
      </c>
    </row>
    <row r="1617" spans="1:16" ht="14.4" x14ac:dyDescent="0.3">
      <c r="A1617">
        <v>369918</v>
      </c>
      <c r="B1617" t="e">
        <f t="shared" si="50"/>
        <v>#N/A</v>
      </c>
      <c r="C1617" s="185" t="e">
        <f t="shared" si="51"/>
        <v>#N/A</v>
      </c>
      <c r="D1617" s="407" t="e">
        <v>#N/A</v>
      </c>
      <c r="E1617" s="407" t="e">
        <v>#N/A</v>
      </c>
      <c r="F1617" s="407" t="e">
        <v>#N/A</v>
      </c>
      <c r="G1617" s="407" t="e">
        <v>#N/A</v>
      </c>
      <c r="H1617" s="460" t="e">
        <v>#N/A</v>
      </c>
      <c r="I1617" s="460" t="e">
        <v>#N/A</v>
      </c>
      <c r="J1617" s="460" t="e">
        <v>#N/A</v>
      </c>
      <c r="K1617" s="460" t="e">
        <v>#N/A</v>
      </c>
      <c r="L1617" s="459" t="e">
        <v>#N/A</v>
      </c>
      <c r="O1617" t="e">
        <v>#N/A</v>
      </c>
      <c r="P1617" t="e">
        <v>#N/A</v>
      </c>
    </row>
    <row r="1618" spans="1:16" ht="14.4" x14ac:dyDescent="0.3">
      <c r="A1618">
        <v>369982</v>
      </c>
      <c r="B1618" t="str">
        <f t="shared" si="50"/>
        <v>TWIN wzmocnienie 2690mm</v>
      </c>
      <c r="C1618" s="185">
        <f t="shared" si="51"/>
        <v>32.338569999999997</v>
      </c>
      <c r="D1618" s="407" t="s">
        <v>7866</v>
      </c>
      <c r="E1618" s="407" t="s">
        <v>7867</v>
      </c>
      <c r="F1618" s="407" t="s">
        <v>7868</v>
      </c>
      <c r="G1618" s="407" t="s">
        <v>7869</v>
      </c>
      <c r="H1618" s="460">
        <v>799</v>
      </c>
      <c r="I1618" s="460">
        <v>32.700000000000003</v>
      </c>
      <c r="J1618" s="460">
        <v>32.338569999999997</v>
      </c>
      <c r="K1618" s="460" t="e">
        <v>#N/A</v>
      </c>
      <c r="L1618" s="459" t="s">
        <v>538</v>
      </c>
      <c r="O1618">
        <v>7.3273400000000004</v>
      </c>
      <c r="P1618" t="s">
        <v>9939</v>
      </c>
    </row>
    <row r="1619" spans="1:16" ht="14.4" x14ac:dyDescent="0.3">
      <c r="A1619">
        <v>398096</v>
      </c>
      <c r="B1619" t="str">
        <f t="shared" si="50"/>
        <v>SEVROLL Gemini tor górny 2,35 m czarny połysk</v>
      </c>
      <c r="C1619" s="185">
        <f t="shared" si="51"/>
        <v>103.20359999999999</v>
      </c>
      <c r="D1619" s="407" t="s">
        <v>1431</v>
      </c>
      <c r="E1619" s="407" t="s">
        <v>1871</v>
      </c>
      <c r="F1619" s="407" t="s">
        <v>5894</v>
      </c>
      <c r="G1619" s="407" t="s">
        <v>5895</v>
      </c>
      <c r="H1619" s="460">
        <v>707.82552999999996</v>
      </c>
      <c r="I1619" s="460">
        <v>25.450099999999999</v>
      </c>
      <c r="J1619" s="460">
        <v>103.20359999999999</v>
      </c>
      <c r="K1619" s="460">
        <v>9795.3803599999992</v>
      </c>
      <c r="L1619" s="459" t="s">
        <v>538</v>
      </c>
      <c r="O1619">
        <v>26.928000000000001</v>
      </c>
      <c r="P1619" t="s">
        <v>9940</v>
      </c>
    </row>
    <row r="1620" spans="1:16" ht="14.4" x14ac:dyDescent="0.3">
      <c r="A1620">
        <v>398188</v>
      </c>
      <c r="B1620" t="str">
        <f t="shared" si="50"/>
        <v>SEVROLL Elegant II tor dolny 2,35 m czarny połysk</v>
      </c>
      <c r="C1620" s="185">
        <f t="shared" si="51"/>
        <v>56.242800000000003</v>
      </c>
      <c r="D1620" s="407" t="s">
        <v>1432</v>
      </c>
      <c r="E1620" s="407" t="s">
        <v>1872</v>
      </c>
      <c r="F1620" s="407" t="s">
        <v>5896</v>
      </c>
      <c r="G1620" s="407" t="s">
        <v>5897</v>
      </c>
      <c r="H1620" s="460">
        <v>414.70758000000001</v>
      </c>
      <c r="I1620" s="460">
        <v>14.91095</v>
      </c>
      <c r="J1620" s="460">
        <v>56.242800000000003</v>
      </c>
      <c r="K1620" s="460">
        <v>5739.01116</v>
      </c>
      <c r="L1620" s="459" t="s">
        <v>538</v>
      </c>
      <c r="O1620">
        <v>14.85</v>
      </c>
      <c r="P1620" t="s">
        <v>9941</v>
      </c>
    </row>
    <row r="1621" spans="1:16" ht="14.4" x14ac:dyDescent="0.3">
      <c r="A1621">
        <v>398553</v>
      </c>
      <c r="B1621" t="str">
        <f t="shared" si="50"/>
        <v>SEVROLL zaślepka do toru Elegant II 2,35m czarny połysk</v>
      </c>
      <c r="C1621" s="185">
        <f t="shared" si="51"/>
        <v>16.870799999999999</v>
      </c>
      <c r="D1621" s="407" t="s">
        <v>1433</v>
      </c>
      <c r="E1621" s="407" t="s">
        <v>1873</v>
      </c>
      <c r="F1621" s="407" t="s">
        <v>5898</v>
      </c>
      <c r="G1621" s="407" t="s">
        <v>2411</v>
      </c>
      <c r="H1621" s="460">
        <v>128.10339999999999</v>
      </c>
      <c r="I1621" s="460">
        <v>4.6059999999999999</v>
      </c>
      <c r="J1621" s="460">
        <v>16.870799999999999</v>
      </c>
      <c r="K1621" s="460">
        <v>1772.7836600000001</v>
      </c>
      <c r="L1621" s="459" t="s">
        <v>538</v>
      </c>
      <c r="O1621">
        <v>4.532</v>
      </c>
      <c r="P1621" t="s">
        <v>9942</v>
      </c>
    </row>
    <row r="1622" spans="1:16" ht="14.4" x14ac:dyDescent="0.3">
      <c r="A1622">
        <v>398929</v>
      </c>
      <c r="B1622" t="str">
        <f t="shared" si="50"/>
        <v>StrongLine Planio tłumienie środkowe obustronne + dolne antykolizyjne</v>
      </c>
      <c r="C1622" s="185">
        <f t="shared" si="51"/>
        <v>108.99469999999999</v>
      </c>
      <c r="D1622" s="407" t="s">
        <v>7870</v>
      </c>
      <c r="E1622" s="407" t="s">
        <v>7871</v>
      </c>
      <c r="F1622" s="407" t="s">
        <v>7872</v>
      </c>
      <c r="G1622" s="407" t="s">
        <v>7873</v>
      </c>
      <c r="H1622" s="460">
        <v>666.73152000000005</v>
      </c>
      <c r="I1622" s="460">
        <v>25.399760000000001</v>
      </c>
      <c r="J1622" s="460">
        <v>108.99469999999999</v>
      </c>
      <c r="K1622" s="460" t="e">
        <v>#N/A</v>
      </c>
      <c r="L1622" s="459" t="s">
        <v>538</v>
      </c>
      <c r="O1622">
        <v>21.368649999999999</v>
      </c>
      <c r="P1622" t="s">
        <v>9943</v>
      </c>
    </row>
    <row r="1623" spans="1:16" ht="14.4" x14ac:dyDescent="0.3">
      <c r="A1623">
        <v>398930</v>
      </c>
      <c r="B1623" t="str">
        <f t="shared" si="50"/>
        <v>K-StrongLine Planio zestaw do 3 skrzydeł z pełnym tłumieniem, antykolizyjny</v>
      </c>
      <c r="C1623" s="185">
        <f t="shared" si="51"/>
        <v>0</v>
      </c>
      <c r="D1623" s="407" t="s">
        <v>7874</v>
      </c>
      <c r="E1623" s="407" t="s">
        <v>7875</v>
      </c>
      <c r="F1623" s="407" t="s">
        <v>7876</v>
      </c>
      <c r="G1623" s="407" t="s">
        <v>7877</v>
      </c>
      <c r="H1623" s="460">
        <v>0</v>
      </c>
      <c r="I1623" s="460">
        <v>0</v>
      </c>
      <c r="J1623" s="460">
        <v>0</v>
      </c>
      <c r="K1623" s="460" t="e">
        <v>#N/A</v>
      </c>
      <c r="L1623" s="459" t="s">
        <v>538</v>
      </c>
      <c r="O1623">
        <v>0</v>
      </c>
      <c r="P1623" t="s">
        <v>9944</v>
      </c>
    </row>
    <row r="1624" spans="1:16" ht="14.4" x14ac:dyDescent="0.3">
      <c r="A1624">
        <v>399106</v>
      </c>
      <c r="B1624" t="str">
        <f t="shared" si="50"/>
        <v>SEVROLL 10193-SV Optima II zestaw okuc do drzwi wewnętrznych</v>
      </c>
      <c r="C1624" s="185" t="e">
        <f t="shared" si="51"/>
        <v>#N/A</v>
      </c>
      <c r="D1624" s="407" t="s">
        <v>1434</v>
      </c>
      <c r="E1624" s="407" t="s">
        <v>5899</v>
      </c>
      <c r="F1624" s="407" t="s">
        <v>5900</v>
      </c>
      <c r="G1624" s="407" t="s">
        <v>5901</v>
      </c>
      <c r="H1624" s="460" t="e">
        <v>#N/A</v>
      </c>
      <c r="I1624" s="460" t="e">
        <v>#N/A</v>
      </c>
      <c r="J1624" s="460" t="e">
        <v>#N/A</v>
      </c>
      <c r="K1624" s="460" t="e">
        <v>#N/A</v>
      </c>
      <c r="L1624" s="459" t="e">
        <v>#N/A</v>
      </c>
      <c r="O1624">
        <v>12.474</v>
      </c>
      <c r="P1624" t="s">
        <v>9945</v>
      </c>
    </row>
    <row r="1625" spans="1:16" ht="14.4" x14ac:dyDescent="0.3">
      <c r="A1625">
        <v>399178</v>
      </c>
      <c r="B1625" t="str">
        <f t="shared" si="50"/>
        <v>SEVROLL 10212 wózek do drzwi wewnętrznych Simple 18 Inter / Galaxy 35 / 50kg</v>
      </c>
      <c r="C1625" s="185">
        <f t="shared" si="51"/>
        <v>29.475570000000001</v>
      </c>
      <c r="D1625" s="407" t="s">
        <v>1435</v>
      </c>
      <c r="E1625" s="407" t="s">
        <v>5902</v>
      </c>
      <c r="F1625" s="407" t="s">
        <v>5903</v>
      </c>
      <c r="G1625" s="407" t="s">
        <v>2412</v>
      </c>
      <c r="H1625" s="460">
        <v>229.04801</v>
      </c>
      <c r="I1625" s="460">
        <v>8.6395</v>
      </c>
      <c r="J1625" s="460">
        <v>29.475570000000001</v>
      </c>
      <c r="K1625" s="460">
        <v>3260.0208299999999</v>
      </c>
      <c r="L1625" s="459" t="s">
        <v>538</v>
      </c>
      <c r="O1625">
        <v>7.6779999999999999</v>
      </c>
      <c r="P1625" t="s">
        <v>9946</v>
      </c>
    </row>
    <row r="1626" spans="1:16" ht="14.4" x14ac:dyDescent="0.3">
      <c r="A1626">
        <v>399179</v>
      </c>
      <c r="B1626" t="str">
        <f t="shared" si="50"/>
        <v>SEVROLL tłumienie do drzwi wewnętrznych  Simple 18 Galaxy 50kg</v>
      </c>
      <c r="C1626" s="185">
        <f t="shared" si="51"/>
        <v>86.651060000000001</v>
      </c>
      <c r="D1626" s="407" t="s">
        <v>1436</v>
      </c>
      <c r="E1626" s="407" t="s">
        <v>5904</v>
      </c>
      <c r="F1626" s="407" t="s">
        <v>5905</v>
      </c>
      <c r="G1626" s="407" t="s">
        <v>2413</v>
      </c>
      <c r="H1626" s="460">
        <v>673.34596999999997</v>
      </c>
      <c r="I1626" s="460">
        <v>25.398060000000001</v>
      </c>
      <c r="J1626" s="460">
        <v>86.651060000000001</v>
      </c>
      <c r="K1626" s="460">
        <v>9583.67533</v>
      </c>
      <c r="L1626" s="459" t="s">
        <v>538</v>
      </c>
      <c r="O1626">
        <v>22.594000000000001</v>
      </c>
      <c r="P1626" t="s">
        <v>9947</v>
      </c>
    </row>
    <row r="1627" spans="1:16" ht="14.4" x14ac:dyDescent="0.3">
      <c r="A1627">
        <v>399180</v>
      </c>
      <c r="B1627" t="str">
        <f t="shared" si="50"/>
        <v>K-SEVROLL zestaw okuć do drzwi wewnętrznych Simple 18 Inter/Galaxy 50kg</v>
      </c>
      <c r="C1627" s="185">
        <f t="shared" si="51"/>
        <v>0</v>
      </c>
      <c r="D1627" s="407" t="s">
        <v>1437</v>
      </c>
      <c r="E1627" s="407" t="s">
        <v>5906</v>
      </c>
      <c r="F1627" s="407" t="s">
        <v>68</v>
      </c>
      <c r="G1627" s="407" t="s">
        <v>2414</v>
      </c>
      <c r="H1627" s="460">
        <v>0</v>
      </c>
      <c r="I1627" s="460">
        <v>0</v>
      </c>
      <c r="J1627" s="460">
        <v>0</v>
      </c>
      <c r="K1627" s="460">
        <v>0</v>
      </c>
      <c r="L1627" s="459" t="s">
        <v>538</v>
      </c>
      <c r="O1627">
        <v>0</v>
      </c>
      <c r="P1627" t="s">
        <v>9948</v>
      </c>
    </row>
    <row r="1628" spans="1:16" ht="14.4" x14ac:dyDescent="0.3">
      <c r="A1628">
        <v>399695</v>
      </c>
      <c r="B1628" t="str">
        <f t="shared" si="50"/>
        <v>SEVROLL listwa maskująca Herkules II 2m srebrna</v>
      </c>
      <c r="C1628" s="185" t="e">
        <f t="shared" si="51"/>
        <v>#N/A</v>
      </c>
      <c r="D1628" s="407" t="s">
        <v>1438</v>
      </c>
      <c r="E1628" s="407" t="s">
        <v>1874</v>
      </c>
      <c r="F1628" s="407" t="s">
        <v>5907</v>
      </c>
      <c r="G1628" s="407" t="s">
        <v>5908</v>
      </c>
      <c r="H1628" s="460" t="e">
        <v>#N/A</v>
      </c>
      <c r="I1628" s="460" t="e">
        <v>#N/A</v>
      </c>
      <c r="J1628" s="460" t="e">
        <v>#N/A</v>
      </c>
      <c r="K1628" s="460" t="e">
        <v>#N/A</v>
      </c>
      <c r="L1628" s="459" t="e">
        <v>#N/A</v>
      </c>
      <c r="O1628" t="e">
        <v>#N/A</v>
      </c>
      <c r="P1628" t="e">
        <v>#N/A</v>
      </c>
    </row>
    <row r="1629" spans="1:16" ht="14.4" x14ac:dyDescent="0.3">
      <c r="A1629">
        <v>399696</v>
      </c>
      <c r="B1629" t="str">
        <f t="shared" si="50"/>
        <v>SEVROLL listwa maskująca Herkules Wood 2m srebrna</v>
      </c>
      <c r="C1629" s="185" t="e">
        <f t="shared" si="51"/>
        <v>#N/A</v>
      </c>
      <c r="D1629" s="407" t="s">
        <v>1439</v>
      </c>
      <c r="E1629" s="407" t="s">
        <v>1875</v>
      </c>
      <c r="F1629" s="407" t="s">
        <v>5909</v>
      </c>
      <c r="G1629" s="407" t="s">
        <v>5910</v>
      </c>
      <c r="H1629" s="460" t="e">
        <v>#N/A</v>
      </c>
      <c r="I1629" s="460" t="e">
        <v>#N/A</v>
      </c>
      <c r="J1629" s="460" t="e">
        <v>#N/A</v>
      </c>
      <c r="K1629" s="460" t="e">
        <v>#N/A</v>
      </c>
      <c r="L1629" s="459" t="e">
        <v>#N/A</v>
      </c>
      <c r="O1629" t="e">
        <v>#N/A</v>
      </c>
      <c r="P1629" t="e">
        <v>#N/A</v>
      </c>
    </row>
    <row r="1630" spans="1:16" ht="14.4" x14ac:dyDescent="0.3">
      <c r="A1630">
        <v>399705</v>
      </c>
      <c r="B1630" t="str">
        <f t="shared" si="50"/>
        <v>SEVROLL 219-036 Herkules Zestaw listew maskujących + zaslepki i szczotka 2,01m</v>
      </c>
      <c r="C1630" s="185" t="e">
        <f t="shared" si="51"/>
        <v>#N/A</v>
      </c>
      <c r="D1630" s="407" t="s">
        <v>1440</v>
      </c>
      <c r="E1630" s="407" t="s">
        <v>1876</v>
      </c>
      <c r="F1630" s="407" t="s">
        <v>5911</v>
      </c>
      <c r="G1630" s="407" t="s">
        <v>5912</v>
      </c>
      <c r="H1630" s="460" t="e">
        <v>#N/A</v>
      </c>
      <c r="I1630" s="460" t="e">
        <v>#N/A</v>
      </c>
      <c r="J1630" s="460" t="e">
        <v>#N/A</v>
      </c>
      <c r="K1630" s="460" t="e">
        <v>#N/A</v>
      </c>
      <c r="L1630" s="459" t="e">
        <v>#N/A</v>
      </c>
      <c r="O1630" t="e">
        <v>#N/A</v>
      </c>
      <c r="P1630" t="e">
        <v>#N/A</v>
      </c>
    </row>
    <row r="1631" spans="1:16" ht="14.4" x14ac:dyDescent="0.3">
      <c r="A1631">
        <v>355738</v>
      </c>
      <c r="B1631" t="e">
        <f t="shared" si="50"/>
        <v>#N/A</v>
      </c>
      <c r="C1631" s="185" t="e">
        <f t="shared" si="51"/>
        <v>#N/A</v>
      </c>
      <c r="D1631" s="407" t="e">
        <v>#N/A</v>
      </c>
      <c r="E1631" s="407" t="e">
        <v>#N/A</v>
      </c>
      <c r="F1631" s="407" t="e">
        <v>#N/A</v>
      </c>
      <c r="G1631" s="407" t="e">
        <v>#N/A</v>
      </c>
      <c r="H1631" s="460" t="e">
        <v>#N/A</v>
      </c>
      <c r="I1631" s="460" t="e">
        <v>#N/A</v>
      </c>
      <c r="J1631" s="460" t="e">
        <v>#N/A</v>
      </c>
      <c r="K1631" s="460" t="e">
        <v>#N/A</v>
      </c>
      <c r="L1631" s="459" t="e">
        <v>#N/A</v>
      </c>
      <c r="O1631" t="e">
        <v>#N/A</v>
      </c>
      <c r="P1631" t="e">
        <v>#N/A</v>
      </c>
    </row>
    <row r="1632" spans="1:16" ht="14.4" x14ac:dyDescent="0.3">
      <c r="A1632">
        <v>355740</v>
      </c>
      <c r="B1632" t="e">
        <f t="shared" si="50"/>
        <v>#N/A</v>
      </c>
      <c r="C1632" s="185" t="e">
        <f t="shared" si="51"/>
        <v>#N/A</v>
      </c>
      <c r="D1632" s="407" t="e">
        <v>#N/A</v>
      </c>
      <c r="E1632" s="407" t="e">
        <v>#N/A</v>
      </c>
      <c r="F1632" s="407" t="e">
        <v>#N/A</v>
      </c>
      <c r="G1632" s="407" t="e">
        <v>#N/A</v>
      </c>
      <c r="H1632" s="460" t="e">
        <v>#N/A</v>
      </c>
      <c r="I1632" s="460" t="e">
        <v>#N/A</v>
      </c>
      <c r="J1632" s="460" t="e">
        <v>#N/A</v>
      </c>
      <c r="K1632" s="460" t="e">
        <v>#N/A</v>
      </c>
      <c r="L1632" s="459" t="e">
        <v>#N/A</v>
      </c>
      <c r="O1632" t="e">
        <v>#N/A</v>
      </c>
      <c r="P1632" t="e">
        <v>#N/A</v>
      </c>
    </row>
    <row r="1633" spans="1:16" ht="14.4" x14ac:dyDescent="0.3">
      <c r="A1633">
        <v>355743</v>
      </c>
      <c r="B1633" t="e">
        <f t="shared" si="50"/>
        <v>#N/A</v>
      </c>
      <c r="C1633" s="185" t="e">
        <f t="shared" si="51"/>
        <v>#N/A</v>
      </c>
      <c r="D1633" s="407" t="e">
        <v>#N/A</v>
      </c>
      <c r="E1633" s="407" t="e">
        <v>#N/A</v>
      </c>
      <c r="F1633" s="407" t="e">
        <v>#N/A</v>
      </c>
      <c r="G1633" s="407" t="e">
        <v>#N/A</v>
      </c>
      <c r="H1633" s="460" t="e">
        <v>#N/A</v>
      </c>
      <c r="I1633" s="460" t="e">
        <v>#N/A</v>
      </c>
      <c r="J1633" s="460" t="e">
        <v>#N/A</v>
      </c>
      <c r="K1633" s="460" t="e">
        <v>#N/A</v>
      </c>
      <c r="L1633" s="459" t="e">
        <v>#N/A</v>
      </c>
      <c r="O1633" t="e">
        <v>#N/A</v>
      </c>
      <c r="P1633" t="e">
        <v>#N/A</v>
      </c>
    </row>
    <row r="1634" spans="1:16" ht="14.4" x14ac:dyDescent="0.3">
      <c r="A1634">
        <v>355747</v>
      </c>
      <c r="B1634" t="e">
        <f t="shared" si="50"/>
        <v>#N/A</v>
      </c>
      <c r="C1634" s="185" t="e">
        <f t="shared" si="51"/>
        <v>#N/A</v>
      </c>
      <c r="D1634" s="407" t="e">
        <v>#N/A</v>
      </c>
      <c r="E1634" s="407" t="e">
        <v>#N/A</v>
      </c>
      <c r="F1634" s="407" t="e">
        <v>#N/A</v>
      </c>
      <c r="G1634" s="407" t="e">
        <v>#N/A</v>
      </c>
      <c r="H1634" s="460" t="e">
        <v>#N/A</v>
      </c>
      <c r="I1634" s="460" t="e">
        <v>#N/A</v>
      </c>
      <c r="J1634" s="460" t="e">
        <v>#N/A</v>
      </c>
      <c r="K1634" s="460" t="e">
        <v>#N/A</v>
      </c>
      <c r="L1634" s="459" t="e">
        <v>#N/A</v>
      </c>
      <c r="O1634" t="e">
        <v>#N/A</v>
      </c>
      <c r="P1634" t="e">
        <v>#N/A</v>
      </c>
    </row>
    <row r="1635" spans="1:16" ht="14.4" x14ac:dyDescent="0.3">
      <c r="A1635">
        <v>355766</v>
      </c>
      <c r="B1635" t="str">
        <f t="shared" si="50"/>
        <v>S-profil S10N srebrny elox 2,7m</v>
      </c>
      <c r="C1635" s="185">
        <f t="shared" si="51"/>
        <v>129.81219999999999</v>
      </c>
      <c r="D1635" s="407" t="s">
        <v>7878</v>
      </c>
      <c r="E1635" s="407" t="s">
        <v>7879</v>
      </c>
      <c r="F1635" s="407" t="s">
        <v>7880</v>
      </c>
      <c r="G1635" s="407" t="s">
        <v>7881</v>
      </c>
      <c r="H1635" s="460">
        <v>689.43</v>
      </c>
      <c r="I1635" s="460">
        <v>29.42464</v>
      </c>
      <c r="J1635" s="460">
        <v>129.81219999999999</v>
      </c>
      <c r="K1635" s="460" t="e">
        <v>#N/A</v>
      </c>
      <c r="L1635" s="459" t="s">
        <v>537</v>
      </c>
      <c r="O1635">
        <v>25.860050000000001</v>
      </c>
      <c r="P1635" t="s">
        <v>9949</v>
      </c>
    </row>
    <row r="1636" spans="1:16" ht="14.4" x14ac:dyDescent="0.3">
      <c r="A1636">
        <v>355768</v>
      </c>
      <c r="B1636" t="str">
        <f t="shared" si="50"/>
        <v>S-S65 górny i środkowy profil 4/18mm 6m srebrny</v>
      </c>
      <c r="C1636" s="185" t="e">
        <f t="shared" si="51"/>
        <v>#N/A</v>
      </c>
      <c r="D1636" s="407" t="s">
        <v>7882</v>
      </c>
      <c r="E1636" s="407" t="s">
        <v>7883</v>
      </c>
      <c r="F1636" s="407" t="s">
        <v>7884</v>
      </c>
      <c r="G1636" s="407" t="s">
        <v>7885</v>
      </c>
      <c r="H1636" s="460" t="e">
        <v>#N/A</v>
      </c>
      <c r="I1636" s="460" t="e">
        <v>#N/A</v>
      </c>
      <c r="J1636" s="460" t="e">
        <v>#N/A</v>
      </c>
      <c r="K1636" s="460" t="e">
        <v>#N/A</v>
      </c>
      <c r="L1636" s="459" t="e">
        <v>#N/A</v>
      </c>
      <c r="O1636">
        <v>0</v>
      </c>
      <c r="P1636" t="s">
        <v>9950</v>
      </c>
    </row>
    <row r="1637" spans="1:16" ht="14.4" x14ac:dyDescent="0.3">
      <c r="A1637">
        <v>355770</v>
      </c>
      <c r="B1637" t="str">
        <f t="shared" si="50"/>
        <v>S-S65 dolny profil 4/18mm 6m srebrny</v>
      </c>
      <c r="C1637" s="185" t="e">
        <f t="shared" si="51"/>
        <v>#N/A</v>
      </c>
      <c r="D1637" s="407" t="s">
        <v>7886</v>
      </c>
      <c r="E1637" s="407" t="s">
        <v>7887</v>
      </c>
      <c r="F1637" s="407" t="s">
        <v>7888</v>
      </c>
      <c r="G1637" s="407" t="s">
        <v>7889</v>
      </c>
      <c r="H1637" s="460" t="e">
        <v>#N/A</v>
      </c>
      <c r="I1637" s="460" t="e">
        <v>#N/A</v>
      </c>
      <c r="J1637" s="460" t="e">
        <v>#N/A</v>
      </c>
      <c r="K1637" s="460" t="e">
        <v>#N/A</v>
      </c>
      <c r="L1637" s="459" t="e">
        <v>#N/A</v>
      </c>
      <c r="O1637">
        <v>0</v>
      </c>
      <c r="P1637" t="s">
        <v>9951</v>
      </c>
    </row>
    <row r="1638" spans="1:16" ht="14.4" x14ac:dyDescent="0.3">
      <c r="A1638">
        <v>355776</v>
      </c>
      <c r="B1638" t="str">
        <f t="shared" si="50"/>
        <v>S-S06N dolny profil prowadzący 6m srebrny</v>
      </c>
      <c r="C1638" s="185" t="e">
        <f t="shared" si="51"/>
        <v>#N/A</v>
      </c>
      <c r="D1638" s="407" t="s">
        <v>7890</v>
      </c>
      <c r="E1638" s="407" t="s">
        <v>7891</v>
      </c>
      <c r="F1638" s="407" t="s">
        <v>7892</v>
      </c>
      <c r="G1638" s="407" t="s">
        <v>7893</v>
      </c>
      <c r="H1638" s="460" t="e">
        <v>#N/A</v>
      </c>
      <c r="I1638" s="460" t="e">
        <v>#N/A</v>
      </c>
      <c r="J1638" s="460" t="e">
        <v>#N/A</v>
      </c>
      <c r="K1638" s="460" t="e">
        <v>#N/A</v>
      </c>
      <c r="L1638" s="459" t="e">
        <v>#N/A</v>
      </c>
      <c r="O1638">
        <v>0</v>
      </c>
      <c r="P1638" t="s">
        <v>9952</v>
      </c>
    </row>
    <row r="1639" spans="1:16" ht="14.4" x14ac:dyDescent="0.3">
      <c r="A1639">
        <v>355793</v>
      </c>
      <c r="B1639" t="e">
        <f t="shared" si="50"/>
        <v>#N/A</v>
      </c>
      <c r="C1639" s="185" t="e">
        <f t="shared" si="51"/>
        <v>#N/A</v>
      </c>
      <c r="D1639" s="407" t="e">
        <v>#N/A</v>
      </c>
      <c r="E1639" s="407" t="e">
        <v>#N/A</v>
      </c>
      <c r="F1639" s="407" t="e">
        <v>#N/A</v>
      </c>
      <c r="G1639" s="407" t="e">
        <v>#N/A</v>
      </c>
      <c r="H1639" s="460" t="e">
        <v>#N/A</v>
      </c>
      <c r="I1639" s="460" t="e">
        <v>#N/A</v>
      </c>
      <c r="J1639" s="460" t="e">
        <v>#N/A</v>
      </c>
      <c r="K1639" s="460" t="e">
        <v>#N/A</v>
      </c>
      <c r="L1639" s="459" t="e">
        <v>#N/A</v>
      </c>
      <c r="O1639" t="e">
        <v>#N/A</v>
      </c>
      <c r="P1639" t="e">
        <v>#N/A</v>
      </c>
    </row>
    <row r="1640" spans="1:16" ht="14.4" x14ac:dyDescent="0.3">
      <c r="A1640">
        <v>355794</v>
      </c>
      <c r="B1640" t="e">
        <f t="shared" si="50"/>
        <v>#N/A</v>
      </c>
      <c r="C1640" s="185" t="e">
        <f t="shared" si="51"/>
        <v>#N/A</v>
      </c>
      <c r="D1640" s="407" t="e">
        <v>#N/A</v>
      </c>
      <c r="E1640" s="407" t="e">
        <v>#N/A</v>
      </c>
      <c r="F1640" s="407" t="e">
        <v>#N/A</v>
      </c>
      <c r="G1640" s="407" t="e">
        <v>#N/A</v>
      </c>
      <c r="H1640" s="460" t="e">
        <v>#N/A</v>
      </c>
      <c r="I1640" s="460" t="e">
        <v>#N/A</v>
      </c>
      <c r="J1640" s="460" t="e">
        <v>#N/A</v>
      </c>
      <c r="K1640" s="460" t="e">
        <v>#N/A</v>
      </c>
      <c r="L1640" s="459" t="e">
        <v>#N/A</v>
      </c>
      <c r="O1640" t="e">
        <v>#N/A</v>
      </c>
      <c r="P1640" t="e">
        <v>#N/A</v>
      </c>
    </row>
    <row r="1641" spans="1:16" ht="14.4" x14ac:dyDescent="0.3">
      <c r="A1641">
        <v>355795</v>
      </c>
      <c r="B1641" t="e">
        <f t="shared" si="50"/>
        <v>#N/A</v>
      </c>
      <c r="C1641" s="185" t="e">
        <f t="shared" si="51"/>
        <v>#N/A</v>
      </c>
      <c r="D1641" s="407" t="e">
        <v>#N/A</v>
      </c>
      <c r="E1641" s="407" t="e">
        <v>#N/A</v>
      </c>
      <c r="F1641" s="407" t="e">
        <v>#N/A</v>
      </c>
      <c r="G1641" s="407" t="e">
        <v>#N/A</v>
      </c>
      <c r="H1641" s="460" t="e">
        <v>#N/A</v>
      </c>
      <c r="I1641" s="460" t="e">
        <v>#N/A</v>
      </c>
      <c r="J1641" s="460" t="e">
        <v>#N/A</v>
      </c>
      <c r="K1641" s="460" t="e">
        <v>#N/A</v>
      </c>
      <c r="L1641" s="459" t="e">
        <v>#N/A</v>
      </c>
      <c r="O1641" t="e">
        <v>#N/A</v>
      </c>
      <c r="P1641" t="e">
        <v>#N/A</v>
      </c>
    </row>
    <row r="1642" spans="1:16" ht="14.4" x14ac:dyDescent="0.3">
      <c r="A1642">
        <v>355813</v>
      </c>
      <c r="B1642" t="str">
        <f t="shared" si="50"/>
        <v>TWIN-wzmocnienie 2390mm</v>
      </c>
      <c r="C1642" s="185">
        <f t="shared" si="51"/>
        <v>27.606100000000001</v>
      </c>
      <c r="D1642" s="407" t="s">
        <v>7894</v>
      </c>
      <c r="E1642" s="407" t="s">
        <v>7895</v>
      </c>
      <c r="F1642" s="407" t="s">
        <v>7896</v>
      </c>
      <c r="G1642" s="407" t="s">
        <v>7897</v>
      </c>
      <c r="H1642" s="460">
        <v>799</v>
      </c>
      <c r="I1642" s="460">
        <v>32.700000000000003</v>
      </c>
      <c r="J1642" s="460">
        <v>27.606100000000001</v>
      </c>
      <c r="K1642" s="460" t="e">
        <v>#N/A</v>
      </c>
      <c r="L1642" s="459" t="s">
        <v>538</v>
      </c>
      <c r="O1642">
        <v>5.5899299999999998</v>
      </c>
      <c r="P1642" t="s">
        <v>9953</v>
      </c>
    </row>
    <row r="1643" spans="1:16" ht="14.4" x14ac:dyDescent="0.3">
      <c r="A1643">
        <v>355892</v>
      </c>
      <c r="B1643" t="str">
        <f t="shared" si="50"/>
        <v>StrongLine Synchrotec komplet płynnego otwierania 1,35m</v>
      </c>
      <c r="C1643" s="185">
        <f t="shared" si="51"/>
        <v>104.83199999999999</v>
      </c>
      <c r="D1643" s="407" t="s">
        <v>7898</v>
      </c>
      <c r="E1643" s="407" t="s">
        <v>7899</v>
      </c>
      <c r="F1643" s="407" t="s">
        <v>7900</v>
      </c>
      <c r="G1643" s="407" t="s">
        <v>7901</v>
      </c>
      <c r="H1643" s="460">
        <v>749</v>
      </c>
      <c r="I1643" s="460">
        <v>25.53546</v>
      </c>
      <c r="J1643" s="460">
        <v>104.83199999999999</v>
      </c>
      <c r="K1643" s="460" t="e">
        <v>#N/A</v>
      </c>
      <c r="L1643" s="459" t="s">
        <v>538</v>
      </c>
      <c r="O1643">
        <v>18.574649999999998</v>
      </c>
      <c r="P1643" t="s">
        <v>9954</v>
      </c>
    </row>
    <row r="1644" spans="1:16" ht="14.4" x14ac:dyDescent="0.3">
      <c r="A1644">
        <v>356172</v>
      </c>
      <c r="B1644" t="e">
        <f t="shared" si="50"/>
        <v>#N/A</v>
      </c>
      <c r="C1644" s="185" t="e">
        <f t="shared" si="51"/>
        <v>#N/A</v>
      </c>
      <c r="D1644" s="407" t="e">
        <v>#N/A</v>
      </c>
      <c r="E1644" s="407" t="e">
        <v>#N/A</v>
      </c>
      <c r="F1644" s="407" t="e">
        <v>#N/A</v>
      </c>
      <c r="G1644" s="407" t="e">
        <v>#N/A</v>
      </c>
      <c r="H1644" s="460" t="e">
        <v>#N/A</v>
      </c>
      <c r="I1644" s="460" t="e">
        <v>#N/A</v>
      </c>
      <c r="J1644" s="460" t="e">
        <v>#N/A</v>
      </c>
      <c r="K1644" s="460" t="e">
        <v>#N/A</v>
      </c>
      <c r="L1644" s="459" t="e">
        <v>#N/A</v>
      </c>
      <c r="O1644" t="e">
        <v>#N/A</v>
      </c>
      <c r="P1644" t="e">
        <v>#N/A</v>
      </c>
    </row>
    <row r="1645" spans="1:16" ht="14.4" x14ac:dyDescent="0.3">
      <c r="A1645">
        <v>356708</v>
      </c>
      <c r="B1645" t="str">
        <f t="shared" si="50"/>
        <v>S-odbojnik dolny S06N/NN</v>
      </c>
      <c r="C1645" s="185" t="e">
        <f t="shared" si="51"/>
        <v>#N/A</v>
      </c>
      <c r="D1645" s="407" t="s">
        <v>7902</v>
      </c>
      <c r="E1645" s="407" t="s">
        <v>7903</v>
      </c>
      <c r="F1645" s="407" t="s">
        <v>7904</v>
      </c>
      <c r="G1645" s="407" t="s">
        <v>7905</v>
      </c>
      <c r="H1645" s="460" t="e">
        <v>#N/A</v>
      </c>
      <c r="I1645" s="460" t="e">
        <v>#N/A</v>
      </c>
      <c r="J1645" s="460" t="e">
        <v>#N/A</v>
      </c>
      <c r="K1645" s="460" t="e">
        <v>#N/A</v>
      </c>
      <c r="L1645" s="459" t="e">
        <v>#N/A</v>
      </c>
      <c r="O1645">
        <v>0.99070000000000003</v>
      </c>
      <c r="P1645" t="s">
        <v>9955</v>
      </c>
    </row>
    <row r="1646" spans="1:16" ht="14.4" x14ac:dyDescent="0.3">
      <c r="A1646">
        <v>356710</v>
      </c>
      <c r="B1646" t="str">
        <f t="shared" si="50"/>
        <v>S-śruba torx 4x40</v>
      </c>
      <c r="C1646" s="185" t="e">
        <f t="shared" si="51"/>
        <v>#N/A</v>
      </c>
      <c r="D1646" s="407" t="s">
        <v>7906</v>
      </c>
      <c r="E1646" s="407" t="s">
        <v>7907</v>
      </c>
      <c r="F1646" s="407" t="s">
        <v>7906</v>
      </c>
      <c r="G1646" s="407" t="s">
        <v>7908</v>
      </c>
      <c r="H1646" s="460" t="e">
        <v>#N/A</v>
      </c>
      <c r="I1646" s="460" t="e">
        <v>#N/A</v>
      </c>
      <c r="J1646" s="460" t="e">
        <v>#N/A</v>
      </c>
      <c r="K1646" s="460" t="e">
        <v>#N/A</v>
      </c>
      <c r="L1646" s="459" t="e">
        <v>#N/A</v>
      </c>
      <c r="O1646">
        <v>0</v>
      </c>
      <c r="P1646" t="s">
        <v>9956</v>
      </c>
    </row>
    <row r="1647" spans="1:16" ht="14.4" x14ac:dyDescent="0.3">
      <c r="A1647">
        <v>356713</v>
      </c>
      <c r="B1647" t="str">
        <f t="shared" si="50"/>
        <v/>
      </c>
      <c r="C1647" s="185">
        <f t="shared" si="51"/>
        <v>5.2589199999999998</v>
      </c>
      <c r="D1647" s="407" t="s">
        <v>7909</v>
      </c>
      <c r="E1647" s="407" t="s">
        <v>7910</v>
      </c>
      <c r="F1647" s="407" t="s">
        <v>7911</v>
      </c>
      <c r="G1647" s="407" t="s">
        <v>68</v>
      </c>
      <c r="H1647" s="460">
        <v>27.93</v>
      </c>
      <c r="I1647" s="460">
        <v>1.1920500000000001</v>
      </c>
      <c r="J1647" s="460">
        <v>5.2589199999999998</v>
      </c>
      <c r="K1647" s="460" t="e">
        <v>#N/A</v>
      </c>
      <c r="L1647" s="459" t="s">
        <v>537</v>
      </c>
      <c r="O1647">
        <v>0.99070000000000003</v>
      </c>
      <c r="P1647" t="s">
        <v>9957</v>
      </c>
    </row>
    <row r="1648" spans="1:16" ht="14.4" x14ac:dyDescent="0.3">
      <c r="A1648">
        <v>335035</v>
      </c>
      <c r="B1648" t="str">
        <f t="shared" si="50"/>
        <v>IC-rączka Berlin 10 mm EU szampan 5,3m</v>
      </c>
      <c r="C1648" s="185" t="e">
        <f t="shared" si="51"/>
        <v>#N/A</v>
      </c>
      <c r="D1648" s="407" t="s">
        <v>7912</v>
      </c>
      <c r="E1648" s="407" t="s">
        <v>7913</v>
      </c>
      <c r="F1648" s="407" t="s">
        <v>7912</v>
      </c>
      <c r="G1648" s="407" t="s">
        <v>7914</v>
      </c>
      <c r="H1648" s="460" t="e">
        <v>#N/A</v>
      </c>
      <c r="I1648" s="460" t="e">
        <v>#N/A</v>
      </c>
      <c r="J1648" s="460" t="e">
        <v>#N/A</v>
      </c>
      <c r="K1648" s="460" t="e">
        <v>#N/A</v>
      </c>
      <c r="L1648" s="459" t="e">
        <v>#N/A</v>
      </c>
      <c r="O1648">
        <v>0</v>
      </c>
      <c r="P1648" t="s">
        <v>9958</v>
      </c>
    </row>
    <row r="1649" spans="1:16" ht="14.4" x14ac:dyDescent="0.3">
      <c r="A1649">
        <v>335508</v>
      </c>
      <c r="B1649" t="str">
        <f t="shared" si="50"/>
        <v>SEVROLL Pax XL rączka 2,7m srebrny</v>
      </c>
      <c r="C1649" s="185">
        <f t="shared" si="51"/>
        <v>89.892600000000002</v>
      </c>
      <c r="D1649" s="407" t="s">
        <v>1441</v>
      </c>
      <c r="E1649" s="407" t="s">
        <v>1877</v>
      </c>
      <c r="F1649" s="407" t="s">
        <v>5913</v>
      </c>
      <c r="G1649" s="407" t="s">
        <v>2415</v>
      </c>
      <c r="H1649" s="460">
        <v>652.09693000000004</v>
      </c>
      <c r="I1649" s="460">
        <v>23.446359999999999</v>
      </c>
      <c r="J1649" s="460">
        <v>89.892600000000002</v>
      </c>
      <c r="K1649" s="460">
        <v>9024.1693500000001</v>
      </c>
      <c r="L1649" s="459" t="s">
        <v>539</v>
      </c>
      <c r="O1649">
        <v>24.068000000000001</v>
      </c>
      <c r="P1649" t="s">
        <v>9959</v>
      </c>
    </row>
    <row r="1650" spans="1:16" ht="14.4" x14ac:dyDescent="0.3">
      <c r="A1650">
        <v>335509</v>
      </c>
      <c r="B1650" t="str">
        <f t="shared" si="50"/>
        <v>SEVROLL Pax XL tor dolny 3m srebrny</v>
      </c>
      <c r="C1650" s="185" t="e">
        <f t="shared" si="51"/>
        <v>#N/A</v>
      </c>
      <c r="D1650" s="407" t="s">
        <v>1442</v>
      </c>
      <c r="E1650" s="407" t="s">
        <v>1878</v>
      </c>
      <c r="F1650" s="407" t="s">
        <v>5914</v>
      </c>
      <c r="G1650" s="407" t="s">
        <v>2416</v>
      </c>
      <c r="H1650" s="460" t="e">
        <v>#N/A</v>
      </c>
      <c r="I1650" s="460" t="e">
        <v>#N/A</v>
      </c>
      <c r="J1650" s="460" t="e">
        <v>#N/A</v>
      </c>
      <c r="K1650" s="460" t="e">
        <v>#N/A</v>
      </c>
      <c r="L1650" s="459" t="e">
        <v>#N/A</v>
      </c>
      <c r="O1650">
        <v>27.698</v>
      </c>
      <c r="P1650" t="s">
        <v>9960</v>
      </c>
    </row>
    <row r="1651" spans="1:16" ht="14.4" x14ac:dyDescent="0.3">
      <c r="A1651">
        <v>335510</v>
      </c>
      <c r="B1651" t="str">
        <f t="shared" si="50"/>
        <v>SEVROLL Pax XL maskownica dolna 3m 4mm srebrny</v>
      </c>
      <c r="C1651" s="185">
        <f t="shared" si="51"/>
        <v>111.6186</v>
      </c>
      <c r="D1651" s="407" t="s">
        <v>3343</v>
      </c>
      <c r="E1651" s="407" t="s">
        <v>1879</v>
      </c>
      <c r="F1651" s="407" t="s">
        <v>5915</v>
      </c>
      <c r="G1651" s="407" t="s">
        <v>2417</v>
      </c>
      <c r="H1651" s="460">
        <v>809.15025000000003</v>
      </c>
      <c r="I1651" s="460">
        <v>29.09327</v>
      </c>
      <c r="J1651" s="460">
        <v>111.6186</v>
      </c>
      <c r="K1651" s="460">
        <v>11197.582060000001</v>
      </c>
      <c r="L1651" s="459" t="s">
        <v>539</v>
      </c>
      <c r="O1651">
        <v>29.963999999999999</v>
      </c>
      <c r="P1651" t="s">
        <v>9961</v>
      </c>
    </row>
    <row r="1652" spans="1:16" ht="14.4" x14ac:dyDescent="0.3">
      <c r="A1652">
        <v>335513</v>
      </c>
      <c r="B1652" t="str">
        <f t="shared" si="50"/>
        <v>SEVROLL uszczelka do profilu Pax XL</v>
      </c>
      <c r="C1652" s="185">
        <f t="shared" si="51"/>
        <v>2.1318000000000001</v>
      </c>
      <c r="D1652" s="407" t="s">
        <v>1443</v>
      </c>
      <c r="E1652" s="407" t="s">
        <v>1880</v>
      </c>
      <c r="F1652" s="407" t="s">
        <v>5916</v>
      </c>
      <c r="G1652" s="407" t="s">
        <v>2418</v>
      </c>
      <c r="H1652" s="460">
        <v>17.66413</v>
      </c>
      <c r="I1652" s="460">
        <v>0.59852000000000005</v>
      </c>
      <c r="J1652" s="460">
        <v>2.1318000000000001</v>
      </c>
      <c r="K1652" s="460">
        <v>235.78189</v>
      </c>
      <c r="L1652" s="459" t="s">
        <v>539</v>
      </c>
      <c r="O1652">
        <v>0.52800000000000002</v>
      </c>
      <c r="P1652" t="s">
        <v>9962</v>
      </c>
    </row>
    <row r="1653" spans="1:16" ht="14.4" x14ac:dyDescent="0.3">
      <c r="A1653">
        <v>335666</v>
      </c>
      <c r="B1653" t="e">
        <f t="shared" si="50"/>
        <v>#N/A</v>
      </c>
      <c r="C1653" s="185" t="e">
        <f t="shared" si="51"/>
        <v>#N/A</v>
      </c>
      <c r="D1653" s="407" t="e">
        <v>#N/A</v>
      </c>
      <c r="E1653" s="407" t="e">
        <v>#N/A</v>
      </c>
      <c r="F1653" s="407" t="e">
        <v>#N/A</v>
      </c>
      <c r="G1653" s="407" t="e">
        <v>#N/A</v>
      </c>
      <c r="H1653" s="460" t="e">
        <v>#N/A</v>
      </c>
      <c r="I1653" s="460" t="e">
        <v>#N/A</v>
      </c>
      <c r="J1653" s="460" t="e">
        <v>#N/A</v>
      </c>
      <c r="K1653" s="460" t="e">
        <v>#N/A</v>
      </c>
      <c r="L1653" s="459" t="e">
        <v>#N/A</v>
      </c>
      <c r="O1653" t="e">
        <v>#N/A</v>
      </c>
      <c r="P1653" t="e">
        <v>#N/A</v>
      </c>
    </row>
    <row r="1654" spans="1:16" ht="14.4" x14ac:dyDescent="0.3">
      <c r="A1654">
        <v>385652</v>
      </c>
      <c r="B1654" t="e">
        <f t="shared" si="50"/>
        <v>#N/A</v>
      </c>
      <c r="C1654" s="185" t="e">
        <f t="shared" si="51"/>
        <v>#N/A</v>
      </c>
      <c r="D1654" s="407" t="e">
        <v>#N/A</v>
      </c>
      <c r="E1654" s="407" t="e">
        <v>#N/A</v>
      </c>
      <c r="F1654" s="407" t="e">
        <v>#N/A</v>
      </c>
      <c r="G1654" s="407" t="e">
        <v>#N/A</v>
      </c>
      <c r="H1654" s="460" t="e">
        <v>#N/A</v>
      </c>
      <c r="I1654" s="460" t="e">
        <v>#N/A</v>
      </c>
      <c r="J1654" s="460" t="e">
        <v>#N/A</v>
      </c>
      <c r="K1654" s="460" t="e">
        <v>#N/A</v>
      </c>
      <c r="L1654" s="459" t="e">
        <v>#N/A</v>
      </c>
      <c r="O1654" t="e">
        <v>#N/A</v>
      </c>
      <c r="P1654" t="e">
        <v>#N/A</v>
      </c>
    </row>
    <row r="1655" spans="1:16" ht="14.4" x14ac:dyDescent="0.3">
      <c r="A1655">
        <v>385659</v>
      </c>
      <c r="B1655" t="e">
        <f t="shared" si="50"/>
        <v>#N/A</v>
      </c>
      <c r="C1655" s="185" t="e">
        <f t="shared" si="51"/>
        <v>#N/A</v>
      </c>
      <c r="D1655" s="407" t="e">
        <v>#N/A</v>
      </c>
      <c r="E1655" s="407" t="e">
        <v>#N/A</v>
      </c>
      <c r="F1655" s="407" t="e">
        <v>#N/A</v>
      </c>
      <c r="G1655" s="407" t="e">
        <v>#N/A</v>
      </c>
      <c r="H1655" s="460" t="e">
        <v>#N/A</v>
      </c>
      <c r="I1655" s="460" t="e">
        <v>#N/A</v>
      </c>
      <c r="J1655" s="460" t="e">
        <v>#N/A</v>
      </c>
      <c r="K1655" s="460" t="e">
        <v>#N/A</v>
      </c>
      <c r="L1655" s="459" t="e">
        <v>#N/A</v>
      </c>
      <c r="O1655" t="e">
        <v>#N/A</v>
      </c>
      <c r="P1655" t="e">
        <v>#N/A</v>
      </c>
    </row>
    <row r="1656" spans="1:16" ht="14.4" x14ac:dyDescent="0.3">
      <c r="A1656">
        <v>385660</v>
      </c>
      <c r="B1656" t="e">
        <f t="shared" si="50"/>
        <v>#N/A</v>
      </c>
      <c r="C1656" s="185" t="e">
        <f t="shared" si="51"/>
        <v>#N/A</v>
      </c>
      <c r="D1656" s="407" t="e">
        <v>#N/A</v>
      </c>
      <c r="E1656" s="407" t="e">
        <v>#N/A</v>
      </c>
      <c r="F1656" s="407" t="e">
        <v>#N/A</v>
      </c>
      <c r="G1656" s="407" t="e">
        <v>#N/A</v>
      </c>
      <c r="H1656" s="460" t="e">
        <v>#N/A</v>
      </c>
      <c r="I1656" s="460" t="e">
        <v>#N/A</v>
      </c>
      <c r="J1656" s="460" t="e">
        <v>#N/A</v>
      </c>
      <c r="K1656" s="460" t="e">
        <v>#N/A</v>
      </c>
      <c r="L1656" s="459" t="e">
        <v>#N/A</v>
      </c>
      <c r="O1656" t="e">
        <v>#N/A</v>
      </c>
      <c r="P1656" t="e">
        <v>#N/A</v>
      </c>
    </row>
    <row r="1657" spans="1:16" ht="14.4" x14ac:dyDescent="0.3">
      <c r="A1657">
        <v>385661</v>
      </c>
      <c r="B1657" t="e">
        <f t="shared" si="50"/>
        <v>#N/A</v>
      </c>
      <c r="C1657" s="185" t="e">
        <f t="shared" si="51"/>
        <v>#N/A</v>
      </c>
      <c r="D1657" s="407" t="e">
        <v>#N/A</v>
      </c>
      <c r="E1657" s="407" t="e">
        <v>#N/A</v>
      </c>
      <c r="F1657" s="407" t="e">
        <v>#N/A</v>
      </c>
      <c r="G1657" s="407" t="e">
        <v>#N/A</v>
      </c>
      <c r="H1657" s="460" t="e">
        <v>#N/A</v>
      </c>
      <c r="I1657" s="460" t="e">
        <v>#N/A</v>
      </c>
      <c r="J1657" s="460" t="e">
        <v>#N/A</v>
      </c>
      <c r="K1657" s="460" t="e">
        <v>#N/A</v>
      </c>
      <c r="L1657" s="459" t="e">
        <v>#N/A</v>
      </c>
      <c r="O1657" t="e">
        <v>#N/A</v>
      </c>
      <c r="P1657" t="e">
        <v>#N/A</v>
      </c>
    </row>
    <row r="1658" spans="1:16" ht="14.4" x14ac:dyDescent="0.3">
      <c r="A1658">
        <v>385662</v>
      </c>
      <c r="B1658" t="e">
        <f t="shared" si="50"/>
        <v>#N/A</v>
      </c>
      <c r="C1658" s="185" t="e">
        <f t="shared" si="51"/>
        <v>#N/A</v>
      </c>
      <c r="D1658" s="407" t="e">
        <v>#N/A</v>
      </c>
      <c r="E1658" s="407" t="e">
        <v>#N/A</v>
      </c>
      <c r="F1658" s="407" t="e">
        <v>#N/A</v>
      </c>
      <c r="G1658" s="407" t="e">
        <v>#N/A</v>
      </c>
      <c r="H1658" s="460" t="e">
        <v>#N/A</v>
      </c>
      <c r="I1658" s="460" t="e">
        <v>#N/A</v>
      </c>
      <c r="J1658" s="460" t="e">
        <v>#N/A</v>
      </c>
      <c r="K1658" s="460" t="e">
        <v>#N/A</v>
      </c>
      <c r="L1658" s="459" t="e">
        <v>#N/A</v>
      </c>
      <c r="O1658" t="e">
        <v>#N/A</v>
      </c>
      <c r="P1658" t="e">
        <v>#N/A</v>
      </c>
    </row>
    <row r="1659" spans="1:16" ht="14.4" x14ac:dyDescent="0.3">
      <c r="A1659">
        <v>407348</v>
      </c>
      <c r="B1659" t="e">
        <f t="shared" si="50"/>
        <v>#N/A</v>
      </c>
      <c r="C1659" s="185" t="e">
        <f t="shared" si="51"/>
        <v>#N/A</v>
      </c>
      <c r="D1659" s="407" t="e">
        <v>#N/A</v>
      </c>
      <c r="E1659" s="407" t="e">
        <v>#N/A</v>
      </c>
      <c r="F1659" s="407" t="e">
        <v>#N/A</v>
      </c>
      <c r="G1659" s="407" t="e">
        <v>#N/A</v>
      </c>
      <c r="H1659" s="460" t="e">
        <v>#N/A</v>
      </c>
      <c r="I1659" s="460" t="e">
        <v>#N/A</v>
      </c>
      <c r="J1659" s="460" t="e">
        <v>#N/A</v>
      </c>
      <c r="K1659" s="460" t="e">
        <v>#N/A</v>
      </c>
      <c r="L1659" s="459" t="e">
        <v>#N/A</v>
      </c>
      <c r="O1659" t="e">
        <v>#N/A</v>
      </c>
      <c r="P1659" t="e">
        <v>#N/A</v>
      </c>
    </row>
    <row r="1660" spans="1:16" ht="14.4" x14ac:dyDescent="0.3">
      <c r="A1660">
        <v>456957</v>
      </c>
      <c r="B1660" t="e">
        <f t="shared" si="50"/>
        <v>#N/A</v>
      </c>
      <c r="C1660" s="185" t="e">
        <f t="shared" si="51"/>
        <v>#N/A</v>
      </c>
      <c r="D1660" s="407" t="e">
        <v>#N/A</v>
      </c>
      <c r="E1660" s="407" t="e">
        <v>#N/A</v>
      </c>
      <c r="F1660" s="407" t="e">
        <v>#N/A</v>
      </c>
      <c r="G1660" s="407" t="e">
        <v>#N/A</v>
      </c>
      <c r="H1660" s="460" t="e">
        <v>#N/A</v>
      </c>
      <c r="I1660" s="460" t="e">
        <v>#N/A</v>
      </c>
      <c r="J1660" s="460" t="e">
        <v>#N/A</v>
      </c>
      <c r="K1660" s="460" t="e">
        <v>#N/A</v>
      </c>
      <c r="L1660" s="459" t="e">
        <v>#N/A</v>
      </c>
      <c r="O1660" t="e">
        <v>#N/A</v>
      </c>
      <c r="P1660" t="e">
        <v>#N/A</v>
      </c>
    </row>
    <row r="1661" spans="1:16" ht="14.4" x14ac:dyDescent="0.3">
      <c r="A1661">
        <v>457354</v>
      </c>
      <c r="B1661" t="str">
        <f t="shared" si="50"/>
        <v>SEVROLL 04511-M Era rączka 18mm 2,70m jasny brąz new</v>
      </c>
      <c r="C1661" s="185" t="e">
        <f t="shared" si="51"/>
        <v>#N/A</v>
      </c>
      <c r="D1661" s="407" t="s">
        <v>1444</v>
      </c>
      <c r="E1661" s="407" t="s">
        <v>5917</v>
      </c>
      <c r="F1661" s="407" t="s">
        <v>1444</v>
      </c>
      <c r="G1661" s="407" t="s">
        <v>5918</v>
      </c>
      <c r="H1661" s="460" t="e">
        <v>#N/A</v>
      </c>
      <c r="I1661" s="460" t="e">
        <v>#N/A</v>
      </c>
      <c r="J1661" s="460" t="e">
        <v>#N/A</v>
      </c>
      <c r="K1661" s="460" t="e">
        <v>#N/A</v>
      </c>
      <c r="L1661" s="459" t="e">
        <v>#N/A</v>
      </c>
      <c r="O1661" t="e">
        <v>#N/A</v>
      </c>
      <c r="P1661" t="e">
        <v>#N/A</v>
      </c>
    </row>
    <row r="1662" spans="1:16" ht="14.4" x14ac:dyDescent="0.3">
      <c r="A1662">
        <v>457371</v>
      </c>
      <c r="B1662" t="str">
        <f t="shared" si="50"/>
        <v>SEVROLL 04470-M Blue tor górny 6m jasny brąz new</v>
      </c>
      <c r="C1662" s="185" t="e">
        <f t="shared" si="51"/>
        <v>#N/A</v>
      </c>
      <c r="D1662" s="407" t="s">
        <v>1445</v>
      </c>
      <c r="E1662" s="407" t="s">
        <v>5919</v>
      </c>
      <c r="F1662" s="407" t="s">
        <v>5920</v>
      </c>
      <c r="G1662" s="407" t="s">
        <v>5921</v>
      </c>
      <c r="H1662" s="460" t="e">
        <v>#N/A</v>
      </c>
      <c r="I1662" s="460" t="e">
        <v>#N/A</v>
      </c>
      <c r="J1662" s="460" t="e">
        <v>#N/A</v>
      </c>
      <c r="K1662" s="460" t="e">
        <v>#N/A</v>
      </c>
      <c r="L1662" s="459" t="e">
        <v>#N/A</v>
      </c>
      <c r="O1662" t="e">
        <v>#N/A</v>
      </c>
      <c r="P1662" t="e">
        <v>#N/A</v>
      </c>
    </row>
    <row r="1663" spans="1:16" ht="14.4" x14ac:dyDescent="0.3">
      <c r="A1663">
        <v>457372</v>
      </c>
      <c r="B1663" t="str">
        <f t="shared" si="50"/>
        <v>SEVROLL 04494-M Blue-V tor dolny 6m jasny brąz new</v>
      </c>
      <c r="C1663" s="185" t="e">
        <f t="shared" si="51"/>
        <v>#N/A</v>
      </c>
      <c r="D1663" s="407" t="s">
        <v>1446</v>
      </c>
      <c r="E1663" s="407" t="s">
        <v>5922</v>
      </c>
      <c r="F1663" s="407" t="s">
        <v>5923</v>
      </c>
      <c r="G1663" s="407" t="s">
        <v>5924</v>
      </c>
      <c r="H1663" s="460" t="e">
        <v>#N/A</v>
      </c>
      <c r="I1663" s="460" t="e">
        <v>#N/A</v>
      </c>
      <c r="J1663" s="460" t="e">
        <v>#N/A</v>
      </c>
      <c r="K1663" s="460" t="e">
        <v>#N/A</v>
      </c>
      <c r="L1663" s="459" t="e">
        <v>#N/A</v>
      </c>
      <c r="O1663" t="e">
        <v>#N/A</v>
      </c>
      <c r="P1663" t="e">
        <v>#N/A</v>
      </c>
    </row>
    <row r="1664" spans="1:16" ht="14.4" x14ac:dyDescent="0.3">
      <c r="A1664">
        <v>457373</v>
      </c>
      <c r="B1664" t="str">
        <f t="shared" si="50"/>
        <v>SEVROLL 04459-M tor górny Simple/Blue 3m (płyta laminatowa 18mm) jasny brąz new</v>
      </c>
      <c r="C1664" s="185" t="e">
        <f t="shared" si="51"/>
        <v>#N/A</v>
      </c>
      <c r="D1664" s="407" t="s">
        <v>1447</v>
      </c>
      <c r="E1664" s="407" t="s">
        <v>5925</v>
      </c>
      <c r="F1664" s="407" t="s">
        <v>5926</v>
      </c>
      <c r="G1664" s="407" t="s">
        <v>5927</v>
      </c>
      <c r="H1664" s="460" t="e">
        <v>#N/A</v>
      </c>
      <c r="I1664" s="460" t="e">
        <v>#N/A</v>
      </c>
      <c r="J1664" s="460" t="e">
        <v>#N/A</v>
      </c>
      <c r="K1664" s="460" t="e">
        <v>#N/A</v>
      </c>
      <c r="L1664" s="459" t="e">
        <v>#N/A</v>
      </c>
      <c r="O1664" t="e">
        <v>#N/A</v>
      </c>
      <c r="P1664" t="e">
        <v>#N/A</v>
      </c>
    </row>
    <row r="1665" spans="1:16" ht="14.4" x14ac:dyDescent="0.3">
      <c r="A1665">
        <v>457390</v>
      </c>
      <c r="B1665" t="str">
        <f t="shared" si="50"/>
        <v>SEVROLL maskownica dolna Simple/Blue 3m (18mm) jasny brąz new</v>
      </c>
      <c r="C1665" s="185" t="e">
        <f t="shared" si="51"/>
        <v>#N/A</v>
      </c>
      <c r="D1665" s="407" t="s">
        <v>1448</v>
      </c>
      <c r="E1665" s="407" t="s">
        <v>5928</v>
      </c>
      <c r="F1665" s="407" t="s">
        <v>5929</v>
      </c>
      <c r="G1665" s="407" t="s">
        <v>2419</v>
      </c>
      <c r="H1665" s="460" t="e">
        <v>#N/A</v>
      </c>
      <c r="I1665" s="460" t="e">
        <v>#N/A</v>
      </c>
      <c r="J1665" s="460" t="e">
        <v>#N/A</v>
      </c>
      <c r="K1665" s="460" t="e">
        <v>#N/A</v>
      </c>
      <c r="L1665" s="459" t="e">
        <v>#N/A</v>
      </c>
      <c r="O1665" t="e">
        <v>#N/A</v>
      </c>
      <c r="P1665" t="e">
        <v>#N/A</v>
      </c>
    </row>
    <row r="1666" spans="1:16" ht="14.4" x14ac:dyDescent="0.3">
      <c r="A1666">
        <v>384363</v>
      </c>
      <c r="B1666" t="str">
        <f t="shared" si="50"/>
        <v>SEVROLL 219-043 mocowanie toru górnego do lamina 25 - 45 mm</v>
      </c>
      <c r="C1666" s="185" t="e">
        <f t="shared" si="51"/>
        <v>#N/A</v>
      </c>
      <c r="D1666" s="407" t="s">
        <v>1449</v>
      </c>
      <c r="E1666" s="407" t="s">
        <v>1881</v>
      </c>
      <c r="F1666" s="407" t="s">
        <v>5930</v>
      </c>
      <c r="G1666" s="407" t="s">
        <v>5931</v>
      </c>
      <c r="H1666" s="460" t="e">
        <v>#N/A</v>
      </c>
      <c r="I1666" s="460" t="e">
        <v>#N/A</v>
      </c>
      <c r="J1666" s="460" t="e">
        <v>#N/A</v>
      </c>
      <c r="K1666" s="460" t="e">
        <v>#N/A</v>
      </c>
      <c r="L1666" s="459" t="e">
        <v>#N/A</v>
      </c>
      <c r="O1666">
        <v>1.98</v>
      </c>
      <c r="P1666" t="s">
        <v>9963</v>
      </c>
    </row>
    <row r="1667" spans="1:16" ht="14.4" x14ac:dyDescent="0.3">
      <c r="A1667">
        <v>385004</v>
      </c>
      <c r="B1667" t="str">
        <f t="shared" si="50"/>
        <v/>
      </c>
      <c r="C1667" s="185" t="e">
        <f t="shared" si="51"/>
        <v>#N/A</v>
      </c>
      <c r="D1667" s="407" t="s">
        <v>1450</v>
      </c>
      <c r="E1667" s="407" t="s">
        <v>68</v>
      </c>
      <c r="F1667" s="407" t="s">
        <v>68</v>
      </c>
      <c r="G1667" s="407" t="s">
        <v>68</v>
      </c>
      <c r="H1667" s="460" t="e">
        <v>#N/A</v>
      </c>
      <c r="I1667" s="460" t="e">
        <v>#N/A</v>
      </c>
      <c r="J1667" s="460" t="e">
        <v>#N/A</v>
      </c>
      <c r="K1667" s="460" t="e">
        <v>#N/A</v>
      </c>
      <c r="L1667" s="459" t="e">
        <v>#N/A</v>
      </c>
      <c r="O1667">
        <v>0</v>
      </c>
      <c r="P1667" t="s">
        <v>9964</v>
      </c>
    </row>
    <row r="1668" spans="1:16" ht="14.4" x14ac:dyDescent="0.3">
      <c r="A1668">
        <v>385007</v>
      </c>
      <c r="B1668" t="str">
        <f t="shared" ref="B1668:B1731" si="52">IF($A$2=1,D1668,IF($A$2=2,F1668,IF($A$2=3,G1668,IF($A$2=4,E1668,IF($A$2&gt;4,P1668,"zadat jazyk")))))</f>
        <v/>
      </c>
      <c r="C1668" s="185" t="e">
        <f t="shared" ref="C1668:C1731" si="53">IF($A$2=1,H1668,IF($A$2=2,I1668,IF($A$2=3,J1668,IF($A$2=4,K1668,IF($A$2&gt;4,O1668,"zadat jazyk")))))</f>
        <v>#N/A</v>
      </c>
      <c r="D1668" s="407" t="s">
        <v>1451</v>
      </c>
      <c r="E1668" s="407" t="s">
        <v>68</v>
      </c>
      <c r="F1668" s="407" t="s">
        <v>68</v>
      </c>
      <c r="G1668" s="407" t="s">
        <v>68</v>
      </c>
      <c r="H1668" s="460" t="e">
        <v>#N/A</v>
      </c>
      <c r="I1668" s="460" t="e">
        <v>#N/A</v>
      </c>
      <c r="J1668" s="460" t="e">
        <v>#N/A</v>
      </c>
      <c r="K1668" s="460" t="e">
        <v>#N/A</v>
      </c>
      <c r="L1668" s="459" t="e">
        <v>#N/A</v>
      </c>
      <c r="O1668">
        <v>4.1580000000000004</v>
      </c>
      <c r="P1668" t="s">
        <v>8897</v>
      </c>
    </row>
    <row r="1669" spans="1:16" ht="14.4" x14ac:dyDescent="0.3">
      <c r="A1669">
        <v>385008</v>
      </c>
      <c r="B1669" t="str">
        <f t="shared" si="52"/>
        <v/>
      </c>
      <c r="C1669" s="185" t="e">
        <f t="shared" si="53"/>
        <v>#N/A</v>
      </c>
      <c r="D1669" s="407" t="s">
        <v>1294</v>
      </c>
      <c r="E1669" s="407" t="s">
        <v>1747</v>
      </c>
      <c r="F1669" s="407" t="s">
        <v>68</v>
      </c>
      <c r="G1669" s="407" t="s">
        <v>68</v>
      </c>
      <c r="H1669" s="460" t="e">
        <v>#N/A</v>
      </c>
      <c r="I1669" s="460" t="e">
        <v>#N/A</v>
      </c>
      <c r="J1669" s="460" t="e">
        <v>#N/A</v>
      </c>
      <c r="K1669" s="460" t="e">
        <v>#N/A</v>
      </c>
      <c r="L1669" s="459" t="e">
        <v>#N/A</v>
      </c>
      <c r="O1669">
        <v>0</v>
      </c>
      <c r="P1669" t="s">
        <v>9588</v>
      </c>
    </row>
    <row r="1670" spans="1:16" ht="14.4" x14ac:dyDescent="0.3">
      <c r="A1670">
        <v>298573</v>
      </c>
      <c r="B1670" t="str">
        <f t="shared" si="52"/>
        <v>IC-Profil maskujący dolny 3m alu</v>
      </c>
      <c r="C1670" s="185" t="e">
        <f t="shared" si="53"/>
        <v>#N/A</v>
      </c>
      <c r="D1670" s="407" t="s">
        <v>7915</v>
      </c>
      <c r="E1670" s="407" t="s">
        <v>7916</v>
      </c>
      <c r="F1670" s="407" t="s">
        <v>7917</v>
      </c>
      <c r="G1670" s="407" t="s">
        <v>7918</v>
      </c>
      <c r="H1670" s="460" t="e">
        <v>#N/A</v>
      </c>
      <c r="I1670" s="460" t="e">
        <v>#N/A</v>
      </c>
      <c r="J1670" s="460" t="e">
        <v>#N/A</v>
      </c>
      <c r="K1670" s="460" t="e">
        <v>#N/A</v>
      </c>
      <c r="L1670" s="459" t="e">
        <v>#N/A</v>
      </c>
      <c r="O1670">
        <v>0</v>
      </c>
      <c r="P1670" t="s">
        <v>9965</v>
      </c>
    </row>
    <row r="1671" spans="1:16" ht="14.4" x14ac:dyDescent="0.3">
      <c r="A1671">
        <v>298666</v>
      </c>
      <c r="B1671" t="str">
        <f t="shared" si="52"/>
        <v>S-S45 górny profil prowadzący 2m, srebrny</v>
      </c>
      <c r="C1671" s="185" t="e">
        <f t="shared" si="53"/>
        <v>#N/A</v>
      </c>
      <c r="D1671" s="407" t="s">
        <v>7919</v>
      </c>
      <c r="E1671" s="407" t="s">
        <v>7920</v>
      </c>
      <c r="F1671" s="407" t="s">
        <v>7921</v>
      </c>
      <c r="G1671" s="407" t="s">
        <v>7922</v>
      </c>
      <c r="H1671" s="460" t="e">
        <v>#N/A</v>
      </c>
      <c r="I1671" s="460" t="e">
        <v>#N/A</v>
      </c>
      <c r="J1671" s="460" t="e">
        <v>#N/A</v>
      </c>
      <c r="K1671" s="460" t="e">
        <v>#N/A</v>
      </c>
      <c r="L1671" s="459" t="e">
        <v>#N/A</v>
      </c>
      <c r="O1671">
        <v>0</v>
      </c>
      <c r="P1671" t="s">
        <v>9966</v>
      </c>
    </row>
    <row r="1672" spans="1:16" ht="14.4" x14ac:dyDescent="0.3">
      <c r="A1672">
        <v>346308</v>
      </c>
      <c r="B1672" t="str">
        <f t="shared" si="52"/>
        <v>S-S05 górny profil prowadzący 2m stal nierdzewna</v>
      </c>
      <c r="C1672" s="185" t="e">
        <f t="shared" si="53"/>
        <v>#N/A</v>
      </c>
      <c r="D1672" s="407" t="s">
        <v>7923</v>
      </c>
      <c r="E1672" s="407" t="s">
        <v>7924</v>
      </c>
      <c r="F1672" s="407" t="s">
        <v>7925</v>
      </c>
      <c r="G1672" s="407" t="s">
        <v>7926</v>
      </c>
      <c r="H1672" s="460" t="e">
        <v>#N/A</v>
      </c>
      <c r="I1672" s="460" t="e">
        <v>#N/A</v>
      </c>
      <c r="J1672" s="460" t="e">
        <v>#N/A</v>
      </c>
      <c r="K1672" s="460" t="e">
        <v>#N/A</v>
      </c>
      <c r="L1672" s="459" t="e">
        <v>#N/A</v>
      </c>
      <c r="O1672">
        <v>0</v>
      </c>
      <c r="P1672" t="s">
        <v>9967</v>
      </c>
    </row>
    <row r="1673" spans="1:16" ht="14.4" x14ac:dyDescent="0.3">
      <c r="A1673">
        <v>346310</v>
      </c>
      <c r="B1673" t="str">
        <f t="shared" si="52"/>
        <v>S-S06NN dolny profil 2m elox stal nierdzewna</v>
      </c>
      <c r="C1673" s="185" t="e">
        <f t="shared" si="53"/>
        <v>#N/A</v>
      </c>
      <c r="D1673" s="407" t="s">
        <v>7927</v>
      </c>
      <c r="E1673" s="407" t="s">
        <v>7928</v>
      </c>
      <c r="F1673" s="407" t="s">
        <v>7929</v>
      </c>
      <c r="G1673" s="407" t="s">
        <v>7930</v>
      </c>
      <c r="H1673" s="460" t="e">
        <v>#N/A</v>
      </c>
      <c r="I1673" s="460" t="e">
        <v>#N/A</v>
      </c>
      <c r="J1673" s="460" t="e">
        <v>#N/A</v>
      </c>
      <c r="K1673" s="460" t="e">
        <v>#N/A</v>
      </c>
      <c r="L1673" s="459" t="e">
        <v>#N/A</v>
      </c>
      <c r="O1673">
        <v>0</v>
      </c>
      <c r="P1673" t="s">
        <v>9968</v>
      </c>
    </row>
    <row r="1674" spans="1:16" ht="14.4" x14ac:dyDescent="0.3">
      <c r="A1674">
        <v>346311</v>
      </c>
      <c r="B1674" t="str">
        <f t="shared" si="52"/>
        <v>S-S06N profl maskujący alu 2m stal nierdzewna</v>
      </c>
      <c r="C1674" s="185" t="e">
        <f t="shared" si="53"/>
        <v>#N/A</v>
      </c>
      <c r="D1674" s="407" t="s">
        <v>7931</v>
      </c>
      <c r="E1674" s="407" t="s">
        <v>7932</v>
      </c>
      <c r="F1674" s="407" t="s">
        <v>7931</v>
      </c>
      <c r="G1674" s="407" t="s">
        <v>7933</v>
      </c>
      <c r="H1674" s="460" t="e">
        <v>#N/A</v>
      </c>
      <c r="I1674" s="460" t="e">
        <v>#N/A</v>
      </c>
      <c r="J1674" s="460" t="e">
        <v>#N/A</v>
      </c>
      <c r="K1674" s="460" t="e">
        <v>#N/A</v>
      </c>
      <c r="L1674" s="459" t="e">
        <v>#N/A</v>
      </c>
      <c r="O1674">
        <v>0</v>
      </c>
      <c r="P1674" t="s">
        <v>9969</v>
      </c>
    </row>
    <row r="1675" spans="1:16" ht="14.4" x14ac:dyDescent="0.3">
      <c r="A1675">
        <v>346617</v>
      </c>
      <c r="B1675" t="e">
        <f t="shared" si="52"/>
        <v>#N/A</v>
      </c>
      <c r="C1675" s="185" t="e">
        <f t="shared" si="53"/>
        <v>#N/A</v>
      </c>
      <c r="D1675" s="407" t="e">
        <v>#N/A</v>
      </c>
      <c r="E1675" s="407" t="e">
        <v>#N/A</v>
      </c>
      <c r="F1675" s="407" t="e">
        <v>#N/A</v>
      </c>
      <c r="G1675" s="407" t="e">
        <v>#N/A</v>
      </c>
      <c r="H1675" s="460" t="e">
        <v>#N/A</v>
      </c>
      <c r="I1675" s="460" t="e">
        <v>#N/A</v>
      </c>
      <c r="J1675" s="460" t="e">
        <v>#N/A</v>
      </c>
      <c r="K1675" s="460" t="e">
        <v>#N/A</v>
      </c>
      <c r="L1675" s="459" t="e">
        <v>#N/A</v>
      </c>
      <c r="O1675" t="e">
        <v>#N/A</v>
      </c>
      <c r="P1675" t="e">
        <v>#N/A</v>
      </c>
    </row>
    <row r="1676" spans="1:16" ht="14.4" x14ac:dyDescent="0.3">
      <c r="A1676">
        <v>346618</v>
      </c>
      <c r="B1676" t="e">
        <f t="shared" si="52"/>
        <v>#N/A</v>
      </c>
      <c r="C1676" s="185" t="e">
        <f t="shared" si="53"/>
        <v>#N/A</v>
      </c>
      <c r="D1676" s="407" t="e">
        <v>#N/A</v>
      </c>
      <c r="E1676" s="407" t="e">
        <v>#N/A</v>
      </c>
      <c r="F1676" s="407" t="e">
        <v>#N/A</v>
      </c>
      <c r="G1676" s="407" t="e">
        <v>#N/A</v>
      </c>
      <c r="H1676" s="460" t="e">
        <v>#N/A</v>
      </c>
      <c r="I1676" s="460" t="e">
        <v>#N/A</v>
      </c>
      <c r="J1676" s="460" t="e">
        <v>#N/A</v>
      </c>
      <c r="K1676" s="460" t="e">
        <v>#N/A</v>
      </c>
      <c r="L1676" s="459" t="e">
        <v>#N/A</v>
      </c>
      <c r="O1676" t="e">
        <v>#N/A</v>
      </c>
      <c r="P1676" t="e">
        <v>#N/A</v>
      </c>
    </row>
    <row r="1677" spans="1:16" ht="14.4" x14ac:dyDescent="0.3">
      <c r="A1677">
        <v>405364</v>
      </c>
      <c r="B1677" t="str">
        <f t="shared" si="52"/>
        <v>SEVROLL profil "U" do płyty laminowanej 18mm 3m czarny połysk</v>
      </c>
      <c r="C1677" s="185">
        <f t="shared" si="53"/>
        <v>27.009599999999999</v>
      </c>
      <c r="D1677" s="407" t="s">
        <v>1452</v>
      </c>
      <c r="E1677" s="407" t="s">
        <v>1882</v>
      </c>
      <c r="F1677" s="407" t="s">
        <v>5932</v>
      </c>
      <c r="G1677" s="407" t="s">
        <v>2420</v>
      </c>
      <c r="H1677" s="460">
        <v>172.25201999999999</v>
      </c>
      <c r="I1677" s="460">
        <v>6.1933800000000003</v>
      </c>
      <c r="J1677" s="460">
        <v>27.009599999999999</v>
      </c>
      <c r="K1677" s="460">
        <v>2383.7428100000002</v>
      </c>
      <c r="L1677" s="459" t="s">
        <v>539</v>
      </c>
      <c r="O1677">
        <v>6.5339999999999998</v>
      </c>
      <c r="P1677" t="s">
        <v>9970</v>
      </c>
    </row>
    <row r="1678" spans="1:16" ht="14.4" x14ac:dyDescent="0.3">
      <c r="A1678">
        <v>405365</v>
      </c>
      <c r="B1678" t="str">
        <f t="shared" si="52"/>
        <v>SEVROLL kątownik Mini 17x11 mm 1,7 m czarny połysk</v>
      </c>
      <c r="C1678" s="185">
        <f t="shared" si="53"/>
        <v>12.2094</v>
      </c>
      <c r="D1678" s="407" t="s">
        <v>5933</v>
      </c>
      <c r="E1678" s="407" t="s">
        <v>5934</v>
      </c>
      <c r="F1678" s="407" t="s">
        <v>5935</v>
      </c>
      <c r="G1678" s="407" t="s">
        <v>5936</v>
      </c>
      <c r="H1678" s="460">
        <v>88.297250000000005</v>
      </c>
      <c r="I1678" s="460">
        <v>3.17476</v>
      </c>
      <c r="J1678" s="460">
        <v>12.2094</v>
      </c>
      <c r="K1678" s="460">
        <v>1221.9187199999999</v>
      </c>
      <c r="L1678" s="459" t="s">
        <v>538</v>
      </c>
      <c r="O1678">
        <v>3.2559999999999998</v>
      </c>
      <c r="P1678" t="s">
        <v>9971</v>
      </c>
    </row>
    <row r="1679" spans="1:16" ht="14.4" x14ac:dyDescent="0.3">
      <c r="A1679">
        <v>405366</v>
      </c>
      <c r="B1679" t="str">
        <f t="shared" si="52"/>
        <v>SEVROLL kątownik Mini 17x11 mm 2,35 m czarny połysk</v>
      </c>
      <c r="C1679" s="185">
        <f t="shared" si="53"/>
        <v>16.901399999999999</v>
      </c>
      <c r="D1679" s="407" t="s">
        <v>5937</v>
      </c>
      <c r="E1679" s="407" t="s">
        <v>5938</v>
      </c>
      <c r="F1679" s="407" t="s">
        <v>5939</v>
      </c>
      <c r="G1679" s="407" t="s">
        <v>5940</v>
      </c>
      <c r="H1679" s="460">
        <v>122.31341</v>
      </c>
      <c r="I1679" s="460">
        <v>4.3978200000000003</v>
      </c>
      <c r="J1679" s="460">
        <v>16.901399999999999</v>
      </c>
      <c r="K1679" s="460">
        <v>1692.6579200000001</v>
      </c>
      <c r="L1679" s="459" t="s">
        <v>538</v>
      </c>
      <c r="O1679">
        <v>4.5540000000000003</v>
      </c>
      <c r="P1679" t="s">
        <v>9972</v>
      </c>
    </row>
    <row r="1680" spans="1:16" ht="14.4" x14ac:dyDescent="0.3">
      <c r="A1680">
        <v>405367</v>
      </c>
      <c r="B1680" t="str">
        <f t="shared" si="52"/>
        <v>SEVROLL kątownik Mini 17x11 mm 3 m czarny połysk</v>
      </c>
      <c r="C1680" s="185">
        <f t="shared" si="53"/>
        <v>21.583200000000001</v>
      </c>
      <c r="D1680" s="407" t="s">
        <v>5941</v>
      </c>
      <c r="E1680" s="407" t="s">
        <v>5942</v>
      </c>
      <c r="F1680" s="407" t="s">
        <v>5943</v>
      </c>
      <c r="G1680" s="407" t="s">
        <v>5944</v>
      </c>
      <c r="H1680" s="460">
        <v>156.32956999999999</v>
      </c>
      <c r="I1680" s="460">
        <v>5.6208799999999997</v>
      </c>
      <c r="J1680" s="460">
        <v>21.583200000000001</v>
      </c>
      <c r="K1680" s="460">
        <v>2163.3967400000001</v>
      </c>
      <c r="L1680" s="459" t="s">
        <v>538</v>
      </c>
      <c r="O1680">
        <v>5.7640000000000002</v>
      </c>
      <c r="P1680" t="s">
        <v>9973</v>
      </c>
    </row>
    <row r="1681" spans="1:16" ht="14.4" x14ac:dyDescent="0.3">
      <c r="A1681">
        <v>405369</v>
      </c>
      <c r="B1681" t="str">
        <f t="shared" si="52"/>
        <v>SEVROLL 05144 Gemini 10 maskownica dolna 1,7 m 10 mm czarny połysk</v>
      </c>
      <c r="C1681" s="185">
        <f t="shared" si="53"/>
        <v>70.369799999999998</v>
      </c>
      <c r="D1681" s="407" t="s">
        <v>3443</v>
      </c>
      <c r="E1681" s="407" t="s">
        <v>1883</v>
      </c>
      <c r="F1681" s="407" t="s">
        <v>5945</v>
      </c>
      <c r="G1681" s="407" t="s">
        <v>5946</v>
      </c>
      <c r="H1681" s="460">
        <v>529.78351999999995</v>
      </c>
      <c r="I1681" s="460">
        <v>19.048539999999999</v>
      </c>
      <c r="J1681" s="460">
        <v>70.369799999999998</v>
      </c>
      <c r="K1681" s="460">
        <v>7331.51181</v>
      </c>
      <c r="L1681" s="459" t="s">
        <v>538</v>
      </c>
      <c r="O1681">
        <v>18.282</v>
      </c>
      <c r="P1681" t="s">
        <v>9974</v>
      </c>
    </row>
    <row r="1682" spans="1:16" ht="14.4" x14ac:dyDescent="0.3">
      <c r="A1682">
        <v>405375</v>
      </c>
      <c r="B1682" t="str">
        <f t="shared" si="52"/>
        <v>SEVROLL 05145 Gemini 10 maskownica dolna 2,35 m 10 mm czarny połysk</v>
      </c>
      <c r="C1682" s="185">
        <f t="shared" si="53"/>
        <v>97.287599999999998</v>
      </c>
      <c r="D1682" s="407" t="s">
        <v>3444</v>
      </c>
      <c r="E1682" s="407" t="s">
        <v>1884</v>
      </c>
      <c r="F1682" s="407" t="s">
        <v>5947</v>
      </c>
      <c r="G1682" s="407" t="s">
        <v>5948</v>
      </c>
      <c r="H1682" s="460">
        <v>731.70920999999998</v>
      </c>
      <c r="I1682" s="460">
        <v>26.30885</v>
      </c>
      <c r="J1682" s="460">
        <v>97.287599999999998</v>
      </c>
      <c r="K1682" s="460">
        <v>10125.899240000001</v>
      </c>
      <c r="L1682" s="459" t="s">
        <v>539</v>
      </c>
      <c r="O1682">
        <v>25.3</v>
      </c>
      <c r="P1682" t="s">
        <v>9975</v>
      </c>
    </row>
    <row r="1683" spans="1:16" ht="14.4" x14ac:dyDescent="0.3">
      <c r="A1683">
        <v>405376</v>
      </c>
      <c r="B1683" t="str">
        <f t="shared" si="52"/>
        <v>SEVROLL 05183 Gemini 10 maskownica dolna 3 m 10 mm czarny połysk</v>
      </c>
      <c r="C1683" s="185">
        <f t="shared" si="53"/>
        <v>124.22580000000001</v>
      </c>
      <c r="D1683" s="407" t="s">
        <v>3445</v>
      </c>
      <c r="E1683" s="407" t="s">
        <v>1885</v>
      </c>
      <c r="F1683" s="407" t="s">
        <v>5949</v>
      </c>
      <c r="G1683" s="407" t="s">
        <v>5950</v>
      </c>
      <c r="H1683" s="460">
        <v>936.52988000000005</v>
      </c>
      <c r="I1683" s="460">
        <v>33.67324</v>
      </c>
      <c r="J1683" s="460">
        <v>124.22580000000001</v>
      </c>
      <c r="K1683" s="460">
        <v>12960.35014</v>
      </c>
      <c r="L1683" s="459" t="s">
        <v>538</v>
      </c>
      <c r="O1683">
        <v>32.317999999999998</v>
      </c>
      <c r="P1683" t="s">
        <v>9976</v>
      </c>
    </row>
    <row r="1684" spans="1:16" ht="14.4" x14ac:dyDescent="0.3">
      <c r="A1684">
        <v>405377</v>
      </c>
      <c r="B1684" t="str">
        <f t="shared" si="52"/>
        <v>SEVROLL listwa pozioma górna 1,7m czarny połysk</v>
      </c>
      <c r="C1684" s="185">
        <f t="shared" si="53"/>
        <v>59.986199999999997</v>
      </c>
      <c r="D1684" s="407" t="s">
        <v>1456</v>
      </c>
      <c r="E1684" s="407" t="s">
        <v>1886</v>
      </c>
      <c r="F1684" s="407" t="s">
        <v>5951</v>
      </c>
      <c r="G1684" s="407" t="s">
        <v>2421</v>
      </c>
      <c r="H1684" s="460">
        <v>291.67043000000001</v>
      </c>
      <c r="I1684" s="460">
        <v>10.487109999999999</v>
      </c>
      <c r="J1684" s="460">
        <v>59.986199999999997</v>
      </c>
      <c r="K1684" s="460">
        <v>4036.3376800000001</v>
      </c>
      <c r="L1684" s="459" t="s">
        <v>539</v>
      </c>
      <c r="O1684">
        <v>11.33</v>
      </c>
      <c r="P1684" t="s">
        <v>9977</v>
      </c>
    </row>
    <row r="1685" spans="1:16" ht="14.4" x14ac:dyDescent="0.3">
      <c r="A1685">
        <v>405379</v>
      </c>
      <c r="B1685" t="str">
        <f t="shared" si="52"/>
        <v>SEVROLL listwa pozioma górna 2,35m czarny połysk</v>
      </c>
      <c r="C1685" s="185">
        <f t="shared" si="53"/>
        <v>82.936199999999999</v>
      </c>
      <c r="D1685" s="407" t="s">
        <v>1457</v>
      </c>
      <c r="E1685" s="407" t="s">
        <v>1887</v>
      </c>
      <c r="F1685" s="407" t="s">
        <v>5952</v>
      </c>
      <c r="G1685" s="407" t="s">
        <v>2422</v>
      </c>
      <c r="H1685" s="460">
        <v>403.85138000000001</v>
      </c>
      <c r="I1685" s="460">
        <v>14.52061</v>
      </c>
      <c r="J1685" s="460">
        <v>82.936199999999999</v>
      </c>
      <c r="K1685" s="460">
        <v>5588.7752499999997</v>
      </c>
      <c r="L1685" s="459" t="s">
        <v>538</v>
      </c>
      <c r="O1685">
        <v>15.641999999999999</v>
      </c>
      <c r="P1685" t="s">
        <v>9978</v>
      </c>
    </row>
    <row r="1686" spans="1:16" ht="14.4" x14ac:dyDescent="0.3">
      <c r="A1686">
        <v>405382</v>
      </c>
      <c r="B1686" t="str">
        <f t="shared" si="52"/>
        <v>SEVROLL listwa pozioma górna 3m czarny połysk</v>
      </c>
      <c r="C1686" s="185">
        <f t="shared" si="53"/>
        <v>105.8454</v>
      </c>
      <c r="D1686" s="407" t="s">
        <v>1458</v>
      </c>
      <c r="E1686" s="407" t="s">
        <v>1888</v>
      </c>
      <c r="F1686" s="407" t="s">
        <v>5953</v>
      </c>
      <c r="G1686" s="407" t="s">
        <v>2423</v>
      </c>
      <c r="H1686" s="460">
        <v>515.30856000000006</v>
      </c>
      <c r="I1686" s="460">
        <v>18.528089999999999</v>
      </c>
      <c r="J1686" s="460">
        <v>105.8454</v>
      </c>
      <c r="K1686" s="460">
        <v>7131.1972999999998</v>
      </c>
      <c r="L1686" s="459" t="s">
        <v>538</v>
      </c>
      <c r="O1686">
        <v>19.931999999999999</v>
      </c>
      <c r="P1686" t="s">
        <v>9979</v>
      </c>
    </row>
    <row r="1687" spans="1:16" ht="14.4" x14ac:dyDescent="0.3">
      <c r="A1687">
        <v>405392</v>
      </c>
      <c r="B1687" t="str">
        <f t="shared" si="52"/>
        <v>SEVROLL listwa łącząca H18 3m czarny połysk</v>
      </c>
      <c r="C1687" s="185">
        <f t="shared" si="53"/>
        <v>62.464799999999997</v>
      </c>
      <c r="D1687" s="407" t="s">
        <v>1459</v>
      </c>
      <c r="E1687" s="407" t="s">
        <v>1889</v>
      </c>
      <c r="F1687" s="407" t="s">
        <v>5954</v>
      </c>
      <c r="G1687" s="407" t="s">
        <v>2424</v>
      </c>
      <c r="H1687" s="460">
        <v>433.52503999999999</v>
      </c>
      <c r="I1687" s="460">
        <v>15.587540000000001</v>
      </c>
      <c r="J1687" s="460">
        <v>62.464799999999997</v>
      </c>
      <c r="K1687" s="460">
        <v>5999.42029</v>
      </c>
      <c r="L1687" s="459" t="s">
        <v>538</v>
      </c>
      <c r="O1687">
        <v>16.5</v>
      </c>
      <c r="P1687" t="s">
        <v>9980</v>
      </c>
    </row>
    <row r="1688" spans="1:16" ht="14.4" x14ac:dyDescent="0.3">
      <c r="A1688">
        <v>405393</v>
      </c>
      <c r="B1688" t="str">
        <f t="shared" si="52"/>
        <v>SEVROLL Elegant II tor dolny 1,7 m czarny połysk</v>
      </c>
      <c r="C1688" s="185">
        <f t="shared" si="53"/>
        <v>40.698</v>
      </c>
      <c r="D1688" s="407" t="s">
        <v>1460</v>
      </c>
      <c r="E1688" s="407" t="s">
        <v>1890</v>
      </c>
      <c r="F1688" s="407" t="s">
        <v>5955</v>
      </c>
      <c r="G1688" s="407" t="s">
        <v>5956</v>
      </c>
      <c r="H1688" s="460">
        <v>301.80291999999997</v>
      </c>
      <c r="I1688" s="460">
        <v>10.851419999999999</v>
      </c>
      <c r="J1688" s="460">
        <v>40.698</v>
      </c>
      <c r="K1688" s="460">
        <v>4176.5579900000002</v>
      </c>
      <c r="L1688" s="459" t="s">
        <v>538</v>
      </c>
      <c r="O1688">
        <v>10.714</v>
      </c>
      <c r="P1688" t="s">
        <v>9981</v>
      </c>
    </row>
    <row r="1689" spans="1:16" ht="14.4" x14ac:dyDescent="0.3">
      <c r="A1689">
        <v>405403</v>
      </c>
      <c r="B1689" t="str">
        <f t="shared" si="52"/>
        <v>SEVROLL Elegant II tor dolny 3 m czarny połysk</v>
      </c>
      <c r="C1689" s="185">
        <f t="shared" si="53"/>
        <v>71.808000000000007</v>
      </c>
      <c r="D1689" s="407" t="s">
        <v>1461</v>
      </c>
      <c r="E1689" s="407" t="s">
        <v>1891</v>
      </c>
      <c r="F1689" s="407" t="s">
        <v>5957</v>
      </c>
      <c r="G1689" s="407" t="s">
        <v>5958</v>
      </c>
      <c r="H1689" s="460">
        <v>526.88854000000003</v>
      </c>
      <c r="I1689" s="460">
        <v>18.94445</v>
      </c>
      <c r="J1689" s="460">
        <v>71.808000000000007</v>
      </c>
      <c r="K1689" s="460">
        <v>7291.4487600000002</v>
      </c>
      <c r="L1689" s="459" t="s">
        <v>538</v>
      </c>
      <c r="O1689">
        <v>18.876000000000001</v>
      </c>
      <c r="P1689" t="s">
        <v>9982</v>
      </c>
    </row>
    <row r="1690" spans="1:16" ht="14.4" x14ac:dyDescent="0.3">
      <c r="A1690">
        <v>405404</v>
      </c>
      <c r="B1690" t="str">
        <f t="shared" si="52"/>
        <v>SEVROLL Elegant II tor dolny 4,05 m czarny połysk</v>
      </c>
      <c r="C1690" s="185">
        <f t="shared" si="53"/>
        <v>96.930599999999998</v>
      </c>
      <c r="D1690" s="407" t="s">
        <v>1462</v>
      </c>
      <c r="E1690" s="407" t="s">
        <v>1892</v>
      </c>
      <c r="F1690" s="407" t="s">
        <v>5959</v>
      </c>
      <c r="G1690" s="407" t="s">
        <v>5960</v>
      </c>
      <c r="H1690" s="460">
        <v>713.61551999999995</v>
      </c>
      <c r="I1690" s="460">
        <v>25.658280000000001</v>
      </c>
      <c r="J1690" s="460">
        <v>96.930599999999998</v>
      </c>
      <c r="K1690" s="460">
        <v>9875.5060699999995</v>
      </c>
      <c r="L1690" s="459" t="s">
        <v>538</v>
      </c>
      <c r="O1690">
        <v>25.564</v>
      </c>
      <c r="P1690" t="s">
        <v>9983</v>
      </c>
    </row>
    <row r="1691" spans="1:16" ht="14.4" x14ac:dyDescent="0.3">
      <c r="A1691">
        <v>405406</v>
      </c>
      <c r="B1691" t="str">
        <f t="shared" si="52"/>
        <v>SEVROLL Elegant II tor dolny 6m czarny połysk</v>
      </c>
      <c r="C1691" s="185">
        <f t="shared" si="53"/>
        <v>0</v>
      </c>
      <c r="D1691" s="407" t="s">
        <v>1463</v>
      </c>
      <c r="E1691" s="407" t="s">
        <v>1893</v>
      </c>
      <c r="F1691" s="407" t="s">
        <v>5961</v>
      </c>
      <c r="G1691" s="407" t="s">
        <v>2425</v>
      </c>
      <c r="H1691" s="460">
        <v>1054.50082</v>
      </c>
      <c r="I1691" s="460">
        <v>37.914929999999998</v>
      </c>
      <c r="J1691" s="460">
        <v>0</v>
      </c>
      <c r="K1691" s="460">
        <v>14592.91346</v>
      </c>
      <c r="L1691" s="459" t="s">
        <v>539</v>
      </c>
      <c r="O1691">
        <v>37.752000000000002</v>
      </c>
      <c r="P1691" t="s">
        <v>9984</v>
      </c>
    </row>
    <row r="1692" spans="1:16" ht="14.4" x14ac:dyDescent="0.3">
      <c r="A1692">
        <v>405407</v>
      </c>
      <c r="B1692" t="str">
        <f t="shared" si="52"/>
        <v>SEVROLL Gemini tor górny 1,7 m czarny połysk</v>
      </c>
      <c r="C1692" s="185">
        <f t="shared" si="53"/>
        <v>74.653800000000004</v>
      </c>
      <c r="D1692" s="407" t="s">
        <v>1464</v>
      </c>
      <c r="E1692" s="407" t="s">
        <v>1894</v>
      </c>
      <c r="F1692" s="407" t="s">
        <v>5962</v>
      </c>
      <c r="G1692" s="407" t="s">
        <v>5963</v>
      </c>
      <c r="H1692" s="460">
        <v>511.68982999999997</v>
      </c>
      <c r="I1692" s="460">
        <v>18.39798</v>
      </c>
      <c r="J1692" s="460">
        <v>74.653800000000004</v>
      </c>
      <c r="K1692" s="460">
        <v>7081.1186600000001</v>
      </c>
      <c r="L1692" s="459" t="s">
        <v>538</v>
      </c>
      <c r="O1692">
        <v>19.492000000000001</v>
      </c>
      <c r="P1692" t="s">
        <v>9985</v>
      </c>
    </row>
    <row r="1693" spans="1:16" ht="14.4" x14ac:dyDescent="0.3">
      <c r="A1693">
        <v>405423</v>
      </c>
      <c r="B1693" t="str">
        <f t="shared" si="52"/>
        <v>SEVROLL Gemini tor górny 3 m czarny połysk</v>
      </c>
      <c r="C1693" s="185">
        <f t="shared" si="53"/>
        <v>131.79419999999999</v>
      </c>
      <c r="D1693" s="407" t="s">
        <v>1465</v>
      </c>
      <c r="E1693" s="407" t="s">
        <v>1895</v>
      </c>
      <c r="F1693" s="407" t="s">
        <v>5964</v>
      </c>
      <c r="G1693" s="407" t="s">
        <v>5965</v>
      </c>
      <c r="H1693" s="460">
        <v>903.23748000000001</v>
      </c>
      <c r="I1693" s="460">
        <v>32.476199999999999</v>
      </c>
      <c r="J1693" s="460">
        <v>131.79419999999999</v>
      </c>
      <c r="K1693" s="460">
        <v>12499.626490000001</v>
      </c>
      <c r="L1693" s="459" t="s">
        <v>538</v>
      </c>
      <c r="O1693">
        <v>34.341999999999999</v>
      </c>
      <c r="P1693" t="s">
        <v>9986</v>
      </c>
    </row>
    <row r="1694" spans="1:16" ht="14.4" x14ac:dyDescent="0.3">
      <c r="A1694">
        <v>405425</v>
      </c>
      <c r="B1694" t="str">
        <f t="shared" si="52"/>
        <v>SEVROLL Gemini tor górny 4,05 m czarny połysk</v>
      </c>
      <c r="C1694" s="185">
        <f t="shared" si="53"/>
        <v>177.9186</v>
      </c>
      <c r="D1694" s="407" t="s">
        <v>1466</v>
      </c>
      <c r="E1694" s="407" t="s">
        <v>1896</v>
      </c>
      <c r="F1694" s="407" t="s">
        <v>5966</v>
      </c>
      <c r="G1694" s="407" t="s">
        <v>5967</v>
      </c>
      <c r="H1694" s="460">
        <v>1219.5153600000001</v>
      </c>
      <c r="I1694" s="460">
        <v>43.848080000000003</v>
      </c>
      <c r="J1694" s="460">
        <v>177.9186</v>
      </c>
      <c r="K1694" s="460">
        <v>16876.499019999999</v>
      </c>
      <c r="L1694" s="459" t="s">
        <v>539</v>
      </c>
      <c r="O1694">
        <v>46.353999999999999</v>
      </c>
      <c r="P1694" t="s">
        <v>9987</v>
      </c>
    </row>
    <row r="1695" spans="1:16" ht="14.4" x14ac:dyDescent="0.3">
      <c r="A1695">
        <v>405426</v>
      </c>
      <c r="B1695" t="str">
        <f t="shared" si="52"/>
        <v>SEVROLL Gemini tor górny 6m czarny połysk</v>
      </c>
      <c r="C1695" s="185">
        <f t="shared" si="53"/>
        <v>0</v>
      </c>
      <c r="D1695" s="407" t="s">
        <v>1467</v>
      </c>
      <c r="E1695" s="407" t="s">
        <v>1897</v>
      </c>
      <c r="F1695" s="407" t="s">
        <v>5968</v>
      </c>
      <c r="G1695" s="407" t="s">
        <v>2426</v>
      </c>
      <c r="H1695" s="460">
        <v>1806.47497</v>
      </c>
      <c r="I1695" s="460">
        <v>64.95241</v>
      </c>
      <c r="J1695" s="460">
        <v>0</v>
      </c>
      <c r="K1695" s="460">
        <v>24999.252980000001</v>
      </c>
      <c r="L1695" s="459" t="s">
        <v>539</v>
      </c>
      <c r="O1695">
        <v>68.706000000000003</v>
      </c>
      <c r="P1695" t="s">
        <v>9988</v>
      </c>
    </row>
    <row r="1696" spans="1:16" ht="14.4" x14ac:dyDescent="0.3">
      <c r="A1696">
        <v>405427</v>
      </c>
      <c r="B1696" t="str">
        <f t="shared" si="52"/>
        <v>SEVROLL zaślepka do toru Elegant II 1,7m czarny połysk</v>
      </c>
      <c r="C1696" s="185">
        <f t="shared" si="53"/>
        <v>12.199199999999999</v>
      </c>
      <c r="D1696" s="407" t="s">
        <v>1468</v>
      </c>
      <c r="E1696" s="407" t="s">
        <v>1898</v>
      </c>
      <c r="F1696" s="407" t="s">
        <v>5969</v>
      </c>
      <c r="G1696" s="407" t="s">
        <v>2427</v>
      </c>
      <c r="H1696" s="460">
        <v>92.639750000000006</v>
      </c>
      <c r="I1696" s="460">
        <v>3.3308900000000001</v>
      </c>
      <c r="J1696" s="460">
        <v>12.199199999999999</v>
      </c>
      <c r="K1696" s="460">
        <v>1282.0129099999999</v>
      </c>
      <c r="L1696" s="459" t="s">
        <v>538</v>
      </c>
      <c r="O1696">
        <v>3.278</v>
      </c>
      <c r="P1696" t="s">
        <v>9989</v>
      </c>
    </row>
    <row r="1697" spans="1:16" ht="14.4" x14ac:dyDescent="0.3">
      <c r="A1697">
        <v>405428</v>
      </c>
      <c r="B1697" t="str">
        <f t="shared" si="52"/>
        <v>SEVROLL zaślepka do toru Elegant II 3m czarny połysk</v>
      </c>
      <c r="C1697" s="185">
        <f t="shared" si="53"/>
        <v>21.542400000000001</v>
      </c>
      <c r="D1697" s="407" t="s">
        <v>1469</v>
      </c>
      <c r="E1697" s="407" t="s">
        <v>1899</v>
      </c>
      <c r="F1697" s="407" t="s">
        <v>5970</v>
      </c>
      <c r="G1697" s="407" t="s">
        <v>2428</v>
      </c>
      <c r="H1697" s="460">
        <v>163.56704999999999</v>
      </c>
      <c r="I1697" s="460">
        <v>5.8811099999999996</v>
      </c>
      <c r="J1697" s="460">
        <v>21.542400000000001</v>
      </c>
      <c r="K1697" s="460">
        <v>2263.5540099999998</v>
      </c>
      <c r="L1697" s="459" t="s">
        <v>538</v>
      </c>
      <c r="O1697">
        <v>5.7640000000000002</v>
      </c>
      <c r="P1697" t="s">
        <v>9990</v>
      </c>
    </row>
    <row r="1698" spans="1:16" ht="14.4" x14ac:dyDescent="0.3">
      <c r="A1698">
        <v>405429</v>
      </c>
      <c r="B1698" t="str">
        <f t="shared" si="52"/>
        <v>SEVROLL zaślepka do toru Elegant II 4,05m czarny połysk</v>
      </c>
      <c r="C1698" s="185">
        <f t="shared" si="53"/>
        <v>29.07</v>
      </c>
      <c r="D1698" s="407" t="s">
        <v>1470</v>
      </c>
      <c r="E1698" s="407" t="s">
        <v>1900</v>
      </c>
      <c r="F1698" s="407" t="s">
        <v>5971</v>
      </c>
      <c r="G1698" s="407" t="s">
        <v>2429</v>
      </c>
      <c r="H1698" s="460">
        <v>220.74315000000001</v>
      </c>
      <c r="I1698" s="460">
        <v>7.93689</v>
      </c>
      <c r="J1698" s="460">
        <v>29.07</v>
      </c>
      <c r="K1698" s="460">
        <v>3054.79655</v>
      </c>
      <c r="L1698" s="459" t="s">
        <v>538</v>
      </c>
      <c r="O1698">
        <v>7.7880000000000003</v>
      </c>
      <c r="P1698" t="s">
        <v>9991</v>
      </c>
    </row>
    <row r="1699" spans="1:16" ht="14.4" x14ac:dyDescent="0.3">
      <c r="A1699">
        <v>405430</v>
      </c>
      <c r="B1699" t="str">
        <f t="shared" si="52"/>
        <v>SEVROLL zaślepka do toru Elegant II 6m czarny połysk</v>
      </c>
      <c r="C1699" s="185">
        <f t="shared" si="53"/>
        <v>0</v>
      </c>
      <c r="D1699" s="407" t="s">
        <v>1471</v>
      </c>
      <c r="E1699" s="407" t="s">
        <v>1901</v>
      </c>
      <c r="F1699" s="407" t="s">
        <v>5972</v>
      </c>
      <c r="G1699" s="407" t="s">
        <v>2430</v>
      </c>
      <c r="H1699" s="460">
        <v>327.13407999999998</v>
      </c>
      <c r="I1699" s="460">
        <v>11.762219999999999</v>
      </c>
      <c r="J1699" s="460">
        <v>0</v>
      </c>
      <c r="K1699" s="460">
        <v>4527.1084300000002</v>
      </c>
      <c r="L1699" s="459" t="s">
        <v>539</v>
      </c>
      <c r="O1699">
        <v>11.528</v>
      </c>
      <c r="P1699" t="s">
        <v>9992</v>
      </c>
    </row>
    <row r="1700" spans="1:16" ht="14.4" x14ac:dyDescent="0.3">
      <c r="A1700">
        <v>88049</v>
      </c>
      <c r="B1700" t="str">
        <f t="shared" si="52"/>
        <v>S-S25 (H25SD) komplet okuć do drzwi składanych 25kg</v>
      </c>
      <c r="C1700" s="185" t="e">
        <f t="shared" si="53"/>
        <v>#N/A</v>
      </c>
      <c r="D1700" s="407" t="s">
        <v>7934</v>
      </c>
      <c r="E1700" s="407" t="s">
        <v>7935</v>
      </c>
      <c r="F1700" s="407" t="s">
        <v>7936</v>
      </c>
      <c r="G1700" s="407" t="s">
        <v>7937</v>
      </c>
      <c r="H1700" s="460" t="e">
        <v>#N/A</v>
      </c>
      <c r="I1700" s="460" t="e">
        <v>#N/A</v>
      </c>
      <c r="J1700" s="460" t="e">
        <v>#N/A</v>
      </c>
      <c r="K1700" s="460" t="e">
        <v>#N/A</v>
      </c>
      <c r="L1700" s="459" t="e">
        <v>#N/A</v>
      </c>
      <c r="O1700">
        <v>34.383130000000001</v>
      </c>
      <c r="P1700" t="s">
        <v>9993</v>
      </c>
    </row>
    <row r="1701" spans="1:16" ht="14.4" x14ac:dyDescent="0.3">
      <c r="A1701">
        <v>88083</v>
      </c>
      <c r="B1701" t="str">
        <f t="shared" si="52"/>
        <v>S-S25 (H25SD/DV) dolny profil 2m</v>
      </c>
      <c r="C1701" s="185" t="e">
        <f t="shared" si="53"/>
        <v>#N/A</v>
      </c>
      <c r="D1701" s="407" t="s">
        <v>7938</v>
      </c>
      <c r="E1701" s="407" t="s">
        <v>7939</v>
      </c>
      <c r="F1701" s="407" t="s">
        <v>7940</v>
      </c>
      <c r="G1701" s="407" t="s">
        <v>7941</v>
      </c>
      <c r="H1701" s="460" t="e">
        <v>#N/A</v>
      </c>
      <c r="I1701" s="460" t="e">
        <v>#N/A</v>
      </c>
      <c r="J1701" s="460" t="e">
        <v>#N/A</v>
      </c>
      <c r="K1701" s="460" t="e">
        <v>#N/A</v>
      </c>
      <c r="L1701" s="459" t="e">
        <v>#N/A</v>
      </c>
      <c r="O1701">
        <v>0</v>
      </c>
      <c r="P1701" t="s">
        <v>9994</v>
      </c>
    </row>
    <row r="1702" spans="1:16" ht="14.4" x14ac:dyDescent="0.3">
      <c r="A1702">
        <v>98063</v>
      </c>
      <c r="B1702" t="e">
        <f t="shared" si="52"/>
        <v>#N/A</v>
      </c>
      <c r="C1702" s="185" t="e">
        <f t="shared" si="53"/>
        <v>#N/A</v>
      </c>
      <c r="D1702" s="407" t="e">
        <v>#N/A</v>
      </c>
      <c r="E1702" s="407" t="e">
        <v>#N/A</v>
      </c>
      <c r="F1702" s="407" t="e">
        <v>#N/A</v>
      </c>
      <c r="G1702" s="407" t="e">
        <v>#N/A</v>
      </c>
      <c r="H1702" s="460" t="e">
        <v>#N/A</v>
      </c>
      <c r="I1702" s="460" t="e">
        <v>#N/A</v>
      </c>
      <c r="J1702" s="460" t="e">
        <v>#N/A</v>
      </c>
      <c r="K1702" s="460" t="e">
        <v>#N/A</v>
      </c>
      <c r="L1702" s="459" t="e">
        <v>#N/A</v>
      </c>
      <c r="O1702" t="e">
        <v>#N/A</v>
      </c>
      <c r="P1702" t="e">
        <v>#N/A</v>
      </c>
    </row>
    <row r="1703" spans="1:16" ht="14.4" x14ac:dyDescent="0.3">
      <c r="A1703">
        <v>364527</v>
      </c>
      <c r="B1703" t="e">
        <f t="shared" si="52"/>
        <v>#N/A</v>
      </c>
      <c r="C1703" s="185" t="e">
        <f t="shared" si="53"/>
        <v>#N/A</v>
      </c>
      <c r="D1703" s="407" t="e">
        <v>#N/A</v>
      </c>
      <c r="E1703" s="407" t="e">
        <v>#N/A</v>
      </c>
      <c r="F1703" s="407" t="e">
        <v>#N/A</v>
      </c>
      <c r="G1703" s="407" t="e">
        <v>#N/A</v>
      </c>
      <c r="H1703" s="460" t="e">
        <v>#N/A</v>
      </c>
      <c r="I1703" s="460" t="e">
        <v>#N/A</v>
      </c>
      <c r="J1703" s="460" t="e">
        <v>#N/A</v>
      </c>
      <c r="K1703" s="460" t="e">
        <v>#N/A</v>
      </c>
      <c r="L1703" s="459" t="e">
        <v>#N/A</v>
      </c>
      <c r="O1703" t="e">
        <v>#N/A</v>
      </c>
      <c r="P1703" t="e">
        <v>#N/A</v>
      </c>
    </row>
    <row r="1704" spans="1:16" ht="14.4" x14ac:dyDescent="0.3">
      <c r="A1704">
        <v>364633</v>
      </c>
      <c r="B1704" t="str">
        <f t="shared" si="52"/>
        <v>SEVROLL Single tor górny 6m jasny brąz</v>
      </c>
      <c r="C1704" s="185" t="e">
        <f t="shared" si="53"/>
        <v>#N/A</v>
      </c>
      <c r="D1704" s="407" t="s">
        <v>1472</v>
      </c>
      <c r="E1704" s="407" t="s">
        <v>1902</v>
      </c>
      <c r="F1704" s="407" t="s">
        <v>5973</v>
      </c>
      <c r="G1704" s="407" t="s">
        <v>2431</v>
      </c>
      <c r="H1704" s="460" t="e">
        <v>#N/A</v>
      </c>
      <c r="I1704" s="460" t="e">
        <v>#N/A</v>
      </c>
      <c r="J1704" s="460" t="e">
        <v>#N/A</v>
      </c>
      <c r="K1704" s="460" t="e">
        <v>#N/A</v>
      </c>
      <c r="L1704" s="459" t="e">
        <v>#N/A</v>
      </c>
      <c r="O1704">
        <v>54.384</v>
      </c>
      <c r="P1704" t="s">
        <v>9995</v>
      </c>
    </row>
    <row r="1705" spans="1:16" ht="14.4" x14ac:dyDescent="0.3">
      <c r="A1705">
        <v>365378</v>
      </c>
      <c r="B1705" t="str">
        <f t="shared" si="52"/>
        <v>SEVROLL wózek dolny WD10 V Duo 60kg (2 szt)</v>
      </c>
      <c r="C1705" s="185">
        <f t="shared" si="53"/>
        <v>65.147400000000005</v>
      </c>
      <c r="D1705" s="407" t="s">
        <v>1473</v>
      </c>
      <c r="E1705" s="407" t="s">
        <v>1903</v>
      </c>
      <c r="F1705" s="407" t="s">
        <v>5974</v>
      </c>
      <c r="G1705" s="407" t="s">
        <v>2432</v>
      </c>
      <c r="H1705" s="460">
        <v>549.89227000000005</v>
      </c>
      <c r="I1705" s="460">
        <v>18.632180000000002</v>
      </c>
      <c r="J1705" s="460">
        <v>65.147400000000005</v>
      </c>
      <c r="K1705" s="460">
        <v>7339.9954900000002</v>
      </c>
      <c r="L1705" s="459" t="s">
        <v>539</v>
      </c>
      <c r="O1705">
        <v>17.489999999999998</v>
      </c>
      <c r="P1705" t="s">
        <v>9996</v>
      </c>
    </row>
    <row r="1706" spans="1:16" ht="14.4" x14ac:dyDescent="0.3">
      <c r="A1706">
        <v>381264</v>
      </c>
      <c r="B1706" t="e">
        <f t="shared" si="52"/>
        <v>#N/A</v>
      </c>
      <c r="C1706" s="185" t="e">
        <f t="shared" si="53"/>
        <v>#N/A</v>
      </c>
      <c r="D1706" s="407" t="e">
        <v>#N/A</v>
      </c>
      <c r="E1706" s="407" t="e">
        <v>#N/A</v>
      </c>
      <c r="F1706" s="407" t="e">
        <v>#N/A</v>
      </c>
      <c r="G1706" s="407" t="e">
        <v>#N/A</v>
      </c>
      <c r="H1706" s="460" t="e">
        <v>#N/A</v>
      </c>
      <c r="I1706" s="460" t="e">
        <v>#N/A</v>
      </c>
      <c r="J1706" s="460" t="e">
        <v>#N/A</v>
      </c>
      <c r="K1706" s="460" t="e">
        <v>#N/A</v>
      </c>
      <c r="L1706" s="459" t="e">
        <v>#N/A</v>
      </c>
      <c r="O1706" t="e">
        <v>#N/A</v>
      </c>
      <c r="P1706" t="e">
        <v>#N/A</v>
      </c>
    </row>
    <row r="1707" spans="1:16" ht="14.4" x14ac:dyDescent="0.3">
      <c r="A1707">
        <v>310480</v>
      </c>
      <c r="B1707" t="e">
        <f t="shared" si="52"/>
        <v>#N/A</v>
      </c>
      <c r="C1707" s="185" t="e">
        <f t="shared" si="53"/>
        <v>#N/A</v>
      </c>
      <c r="D1707" s="407" t="e">
        <v>#N/A</v>
      </c>
      <c r="E1707" s="407" t="e">
        <v>#N/A</v>
      </c>
      <c r="F1707" s="407" t="e">
        <v>#N/A</v>
      </c>
      <c r="G1707" s="407" t="e">
        <v>#N/A</v>
      </c>
      <c r="H1707" s="460" t="e">
        <v>#N/A</v>
      </c>
      <c r="I1707" s="460" t="e">
        <v>#N/A</v>
      </c>
      <c r="J1707" s="460" t="e">
        <v>#N/A</v>
      </c>
      <c r="K1707" s="460" t="e">
        <v>#N/A</v>
      </c>
      <c r="L1707" s="459" t="e">
        <v>#N/A</v>
      </c>
      <c r="O1707" t="e">
        <v>#N/A</v>
      </c>
      <c r="P1707" t="e">
        <v>#N/A</v>
      </c>
    </row>
    <row r="1708" spans="1:16" ht="14.4" x14ac:dyDescent="0.3">
      <c r="A1708">
        <v>310515</v>
      </c>
      <c r="B1708" t="e">
        <f t="shared" si="52"/>
        <v>#N/A</v>
      </c>
      <c r="C1708" s="185" t="e">
        <f t="shared" si="53"/>
        <v>#N/A</v>
      </c>
      <c r="D1708" s="407" t="e">
        <v>#N/A</v>
      </c>
      <c r="E1708" s="407" t="e">
        <v>#N/A</v>
      </c>
      <c r="F1708" s="407" t="e">
        <v>#N/A</v>
      </c>
      <c r="G1708" s="407" t="e">
        <v>#N/A</v>
      </c>
      <c r="H1708" s="460" t="e">
        <v>#N/A</v>
      </c>
      <c r="I1708" s="460" t="e">
        <v>#N/A</v>
      </c>
      <c r="J1708" s="460" t="e">
        <v>#N/A</v>
      </c>
      <c r="K1708" s="460" t="e">
        <v>#N/A</v>
      </c>
      <c r="L1708" s="459" t="e">
        <v>#N/A</v>
      </c>
      <c r="O1708" t="e">
        <v>#N/A</v>
      </c>
      <c r="P1708" t="e">
        <v>#N/A</v>
      </c>
    </row>
    <row r="1709" spans="1:16" ht="14.4" x14ac:dyDescent="0.3">
      <c r="A1709">
        <v>310516</v>
      </c>
      <c r="B1709" t="str">
        <f t="shared" si="52"/>
        <v>WC Górny zacisk T 12 mm</v>
      </c>
      <c r="C1709" s="185">
        <f t="shared" si="53"/>
        <v>92.240480000000005</v>
      </c>
      <c r="D1709" s="407" t="s">
        <v>7942</v>
      </c>
      <c r="E1709" s="407" t="s">
        <v>7943</v>
      </c>
      <c r="F1709" s="407" t="s">
        <v>7944</v>
      </c>
      <c r="G1709" s="407" t="s">
        <v>7945</v>
      </c>
      <c r="H1709" s="460">
        <v>646.40639999999996</v>
      </c>
      <c r="I1709" s="460">
        <v>23.634450000000001</v>
      </c>
      <c r="J1709" s="460">
        <v>92.240480000000005</v>
      </c>
      <c r="K1709" s="460" t="e">
        <v>#N/A</v>
      </c>
      <c r="L1709" s="459" t="s">
        <v>538</v>
      </c>
      <c r="O1709">
        <v>21.12</v>
      </c>
      <c r="P1709" t="s">
        <v>9997</v>
      </c>
    </row>
    <row r="1710" spans="1:16" ht="14.4" x14ac:dyDescent="0.3">
      <c r="A1710">
        <v>310841</v>
      </c>
      <c r="B1710" t="str">
        <f t="shared" si="52"/>
        <v>WC Nóżka regulowana VS-U uniwersalna 12 mm</v>
      </c>
      <c r="C1710" s="185">
        <f t="shared" si="53"/>
        <v>91.638289999999998</v>
      </c>
      <c r="D1710" s="407" t="s">
        <v>7946</v>
      </c>
      <c r="E1710" s="407" t="s">
        <v>7947</v>
      </c>
      <c r="F1710" s="407" t="s">
        <v>7948</v>
      </c>
      <c r="G1710" s="407" t="s">
        <v>7949</v>
      </c>
      <c r="H1710" s="460">
        <v>637.46443999999997</v>
      </c>
      <c r="I1710" s="460">
        <v>24.796800000000001</v>
      </c>
      <c r="J1710" s="460">
        <v>91.638289999999998</v>
      </c>
      <c r="K1710" s="460" t="e">
        <v>#N/A</v>
      </c>
      <c r="L1710" s="459" t="s">
        <v>538</v>
      </c>
      <c r="O1710">
        <v>21.12</v>
      </c>
      <c r="P1710" t="s">
        <v>9998</v>
      </c>
    </row>
    <row r="1711" spans="1:16" ht="14.4" x14ac:dyDescent="0.3">
      <c r="A1711">
        <v>276774</v>
      </c>
      <c r="B1711" t="e">
        <f t="shared" si="52"/>
        <v>#N/A</v>
      </c>
      <c r="C1711" s="185" t="e">
        <f t="shared" si="53"/>
        <v>#N/A</v>
      </c>
      <c r="D1711" s="407" t="e">
        <v>#N/A</v>
      </c>
      <c r="E1711" s="407" t="e">
        <v>#N/A</v>
      </c>
      <c r="F1711" s="407" t="e">
        <v>#N/A</v>
      </c>
      <c r="G1711" s="407" t="e">
        <v>#N/A</v>
      </c>
      <c r="H1711" s="460" t="e">
        <v>#N/A</v>
      </c>
      <c r="I1711" s="460" t="e">
        <v>#N/A</v>
      </c>
      <c r="J1711" s="460" t="e">
        <v>#N/A</v>
      </c>
      <c r="K1711" s="460" t="e">
        <v>#N/A</v>
      </c>
      <c r="L1711" s="459" t="e">
        <v>#N/A</v>
      </c>
      <c r="O1711" t="e">
        <v>#N/A</v>
      </c>
      <c r="P1711" t="e">
        <v>#N/A</v>
      </c>
    </row>
    <row r="1712" spans="1:16" ht="14.4" x14ac:dyDescent="0.3">
      <c r="A1712">
        <v>276775</v>
      </c>
      <c r="B1712" t="e">
        <f t="shared" si="52"/>
        <v>#N/A</v>
      </c>
      <c r="C1712" s="185" t="e">
        <f t="shared" si="53"/>
        <v>#N/A</v>
      </c>
      <c r="D1712" s="407" t="e">
        <v>#N/A</v>
      </c>
      <c r="E1712" s="407" t="e">
        <v>#N/A</v>
      </c>
      <c r="F1712" s="407" t="e">
        <v>#N/A</v>
      </c>
      <c r="G1712" s="407" t="e">
        <v>#N/A</v>
      </c>
      <c r="H1712" s="460" t="e">
        <v>#N/A</v>
      </c>
      <c r="I1712" s="460" t="e">
        <v>#N/A</v>
      </c>
      <c r="J1712" s="460" t="e">
        <v>#N/A</v>
      </c>
      <c r="K1712" s="460" t="e">
        <v>#N/A</v>
      </c>
      <c r="L1712" s="459" t="e">
        <v>#N/A</v>
      </c>
      <c r="O1712" t="e">
        <v>#N/A</v>
      </c>
      <c r="P1712" t="e">
        <v>#N/A</v>
      </c>
    </row>
    <row r="1713" spans="1:16" ht="14.4" x14ac:dyDescent="0.3">
      <c r="A1713">
        <v>276880</v>
      </c>
      <c r="B1713" t="e">
        <f t="shared" si="52"/>
        <v>#N/A</v>
      </c>
      <c r="C1713" s="185" t="e">
        <f t="shared" si="53"/>
        <v>#N/A</v>
      </c>
      <c r="D1713" s="407" t="e">
        <v>#N/A</v>
      </c>
      <c r="E1713" s="407" t="e">
        <v>#N/A</v>
      </c>
      <c r="F1713" s="407" t="e">
        <v>#N/A</v>
      </c>
      <c r="G1713" s="407" t="e">
        <v>#N/A</v>
      </c>
      <c r="H1713" s="460" t="e">
        <v>#N/A</v>
      </c>
      <c r="I1713" s="460" t="e">
        <v>#N/A</v>
      </c>
      <c r="J1713" s="460" t="e">
        <v>#N/A</v>
      </c>
      <c r="K1713" s="460" t="e">
        <v>#N/A</v>
      </c>
      <c r="L1713" s="459" t="e">
        <v>#N/A</v>
      </c>
      <c r="O1713" t="e">
        <v>#N/A</v>
      </c>
      <c r="P1713" t="e">
        <v>#N/A</v>
      </c>
    </row>
    <row r="1714" spans="1:16" ht="14.4" x14ac:dyDescent="0.3">
      <c r="A1714">
        <v>276883</v>
      </c>
      <c r="B1714" t="e">
        <f t="shared" si="52"/>
        <v>#N/A</v>
      </c>
      <c r="C1714" s="185" t="e">
        <f t="shared" si="53"/>
        <v>#N/A</v>
      </c>
      <c r="D1714" s="407" t="e">
        <v>#N/A</v>
      </c>
      <c r="E1714" s="407" t="e">
        <v>#N/A</v>
      </c>
      <c r="F1714" s="407" t="e">
        <v>#N/A</v>
      </c>
      <c r="G1714" s="407" t="e">
        <v>#N/A</v>
      </c>
      <c r="H1714" s="460" t="e">
        <v>#N/A</v>
      </c>
      <c r="I1714" s="460" t="e">
        <v>#N/A</v>
      </c>
      <c r="J1714" s="460" t="e">
        <v>#N/A</v>
      </c>
      <c r="K1714" s="460" t="e">
        <v>#N/A</v>
      </c>
      <c r="L1714" s="459" t="e">
        <v>#N/A</v>
      </c>
      <c r="O1714" t="e">
        <v>#N/A</v>
      </c>
      <c r="P1714" t="e">
        <v>#N/A</v>
      </c>
    </row>
    <row r="1715" spans="1:16" ht="14.4" x14ac:dyDescent="0.3">
      <c r="A1715">
        <v>403727</v>
      </c>
      <c r="B1715" t="str">
        <f t="shared" si="52"/>
        <v>SEVROLL Top tor górny pojedyńczy 2,35m srebrny</v>
      </c>
      <c r="C1715" s="185">
        <f t="shared" si="53"/>
        <v>91.1982</v>
      </c>
      <c r="D1715" s="407" t="s">
        <v>1474</v>
      </c>
      <c r="E1715" s="407" t="s">
        <v>1904</v>
      </c>
      <c r="F1715" s="407" t="s">
        <v>2177</v>
      </c>
      <c r="G1715" s="407" t="s">
        <v>2433</v>
      </c>
      <c r="H1715" s="460">
        <v>726.64296000000002</v>
      </c>
      <c r="I1715" s="460">
        <v>26.12669</v>
      </c>
      <c r="J1715" s="460">
        <v>91.1982</v>
      </c>
      <c r="K1715" s="460">
        <v>10055.789489999999</v>
      </c>
      <c r="L1715" s="459" t="s">
        <v>539</v>
      </c>
      <c r="O1715">
        <v>24.486000000000001</v>
      </c>
      <c r="P1715" t="s">
        <v>9999</v>
      </c>
    </row>
    <row r="1716" spans="1:16" ht="14.4" x14ac:dyDescent="0.3">
      <c r="A1716">
        <v>404234</v>
      </c>
      <c r="B1716" t="str">
        <f t="shared" si="52"/>
        <v>S-S65 górny i środkowy profil 2m stal nierdzewna</v>
      </c>
      <c r="C1716" s="185" t="e">
        <f t="shared" si="53"/>
        <v>#N/A</v>
      </c>
      <c r="D1716" s="407" t="s">
        <v>7950</v>
      </c>
      <c r="E1716" s="407" t="s">
        <v>7951</v>
      </c>
      <c r="F1716" s="407" t="s">
        <v>7952</v>
      </c>
      <c r="G1716" s="407" t="s">
        <v>7953</v>
      </c>
      <c r="H1716" s="460" t="e">
        <v>#N/A</v>
      </c>
      <c r="I1716" s="460" t="e">
        <v>#N/A</v>
      </c>
      <c r="J1716" s="460" t="e">
        <v>#N/A</v>
      </c>
      <c r="K1716" s="460" t="e">
        <v>#N/A</v>
      </c>
      <c r="L1716" s="459" t="e">
        <v>#N/A</v>
      </c>
      <c r="O1716">
        <v>0</v>
      </c>
      <c r="P1716" t="s">
        <v>10000</v>
      </c>
    </row>
    <row r="1717" spans="1:16" ht="14.4" x14ac:dyDescent="0.3">
      <c r="A1717">
        <v>404235</v>
      </c>
      <c r="B1717" t="str">
        <f t="shared" si="52"/>
        <v>S-S65 dolny profil 4/18mm 2m stal nierdzewna</v>
      </c>
      <c r="C1717" s="185" t="e">
        <f t="shared" si="53"/>
        <v>#N/A</v>
      </c>
      <c r="D1717" s="407" t="s">
        <v>7954</v>
      </c>
      <c r="E1717" s="407" t="s">
        <v>7955</v>
      </c>
      <c r="F1717" s="407" t="s">
        <v>7956</v>
      </c>
      <c r="G1717" s="407" t="s">
        <v>7957</v>
      </c>
      <c r="H1717" s="460" t="e">
        <v>#N/A</v>
      </c>
      <c r="I1717" s="460" t="e">
        <v>#N/A</v>
      </c>
      <c r="J1717" s="460" t="e">
        <v>#N/A</v>
      </c>
      <c r="K1717" s="460" t="e">
        <v>#N/A</v>
      </c>
      <c r="L1717" s="459" t="e">
        <v>#N/A</v>
      </c>
      <c r="O1717">
        <v>0</v>
      </c>
      <c r="P1717" t="s">
        <v>10001</v>
      </c>
    </row>
    <row r="1718" spans="1:16" ht="14.4" x14ac:dyDescent="0.3">
      <c r="A1718">
        <v>404237</v>
      </c>
      <c r="B1718" t="str">
        <f t="shared" si="52"/>
        <v>S-szczotka odbojowa niska 13x5mm szary</v>
      </c>
      <c r="C1718" s="185" t="e">
        <f t="shared" si="53"/>
        <v>#N/A</v>
      </c>
      <c r="D1718" s="407" t="s">
        <v>7958</v>
      </c>
      <c r="E1718" s="407" t="s">
        <v>7959</v>
      </c>
      <c r="F1718" s="407" t="s">
        <v>68</v>
      </c>
      <c r="G1718" s="407" t="s">
        <v>7960</v>
      </c>
      <c r="H1718" s="460" t="e">
        <v>#N/A</v>
      </c>
      <c r="I1718" s="460" t="e">
        <v>#N/A</v>
      </c>
      <c r="J1718" s="460" t="e">
        <v>#N/A</v>
      </c>
      <c r="K1718" s="460" t="e">
        <v>#N/A</v>
      </c>
      <c r="L1718" s="459" t="e">
        <v>#N/A</v>
      </c>
      <c r="O1718">
        <v>0.43736999999999998</v>
      </c>
      <c r="P1718" t="s">
        <v>10002</v>
      </c>
    </row>
    <row r="1719" spans="1:16" ht="14.4" x14ac:dyDescent="0.3">
      <c r="A1719">
        <v>404307</v>
      </c>
      <c r="B1719" t="str">
        <f t="shared" si="52"/>
        <v>K-SEVROLL zestaw okuć do drzwi wewnętrznych Simple 18 Galaxy 50kg</v>
      </c>
      <c r="C1719" s="185">
        <f t="shared" si="53"/>
        <v>0</v>
      </c>
      <c r="D1719" s="407" t="s">
        <v>1475</v>
      </c>
      <c r="E1719" s="407" t="s">
        <v>1905</v>
      </c>
      <c r="F1719" s="407" t="s">
        <v>5975</v>
      </c>
      <c r="G1719" s="407" t="s">
        <v>5976</v>
      </c>
      <c r="H1719" s="460">
        <v>0</v>
      </c>
      <c r="I1719" s="460">
        <v>0</v>
      </c>
      <c r="J1719" s="460">
        <v>0</v>
      </c>
      <c r="K1719" s="460">
        <v>0</v>
      </c>
      <c r="L1719" s="459" t="s">
        <v>538</v>
      </c>
      <c r="O1719">
        <v>0</v>
      </c>
      <c r="P1719" t="s">
        <v>10003</v>
      </c>
    </row>
    <row r="1720" spans="1:16" ht="14.4" x14ac:dyDescent="0.3">
      <c r="A1720">
        <v>404308</v>
      </c>
      <c r="B1720" t="str">
        <f t="shared" si="52"/>
        <v>K-SEVROLL zestaw okuć do drzwi wewnętrznych Simple 18 Galaxy 50kg 2xtłumienie</v>
      </c>
      <c r="C1720" s="185">
        <f t="shared" si="53"/>
        <v>0</v>
      </c>
      <c r="D1720" s="407" t="s">
        <v>1476</v>
      </c>
      <c r="E1720" s="407" t="s">
        <v>1906</v>
      </c>
      <c r="F1720" s="407" t="s">
        <v>5977</v>
      </c>
      <c r="G1720" s="407" t="s">
        <v>5978</v>
      </c>
      <c r="H1720" s="460">
        <v>0</v>
      </c>
      <c r="I1720" s="460">
        <v>0</v>
      </c>
      <c r="J1720" s="460">
        <v>0</v>
      </c>
      <c r="K1720" s="460">
        <v>0</v>
      </c>
      <c r="L1720" s="459" t="s">
        <v>538</v>
      </c>
      <c r="O1720">
        <v>0</v>
      </c>
      <c r="P1720" t="s">
        <v>10004</v>
      </c>
    </row>
    <row r="1721" spans="1:16" ht="14.4" x14ac:dyDescent="0.3">
      <c r="A1721">
        <v>158870</v>
      </c>
      <c r="B1721" t="str">
        <f t="shared" si="52"/>
        <v>IC-tor górny 5m szampański</v>
      </c>
      <c r="C1721" s="185" t="e">
        <f t="shared" si="53"/>
        <v>#N/A</v>
      </c>
      <c r="D1721" s="407" t="s">
        <v>7961</v>
      </c>
      <c r="E1721" s="407" t="s">
        <v>7962</v>
      </c>
      <c r="F1721" s="407" t="s">
        <v>7963</v>
      </c>
      <c r="G1721" s="407" t="s">
        <v>7964</v>
      </c>
      <c r="H1721" s="460" t="e">
        <v>#N/A</v>
      </c>
      <c r="I1721" s="460" t="e">
        <v>#N/A</v>
      </c>
      <c r="J1721" s="460" t="e">
        <v>#N/A</v>
      </c>
      <c r="K1721" s="460" t="e">
        <v>#N/A</v>
      </c>
      <c r="L1721" s="459" t="e">
        <v>#N/A</v>
      </c>
      <c r="O1721">
        <v>0</v>
      </c>
      <c r="P1721" t="s">
        <v>10005</v>
      </c>
    </row>
    <row r="1722" spans="1:16" ht="14.4" x14ac:dyDescent="0.3">
      <c r="A1722">
        <v>158873</v>
      </c>
      <c r="B1722" t="str">
        <f t="shared" si="52"/>
        <v>IC-tor dolny 5m szampański</v>
      </c>
      <c r="C1722" s="185" t="e">
        <f t="shared" si="53"/>
        <v>#N/A</v>
      </c>
      <c r="D1722" s="407" t="s">
        <v>7965</v>
      </c>
      <c r="E1722" s="407" t="s">
        <v>7966</v>
      </c>
      <c r="F1722" s="407" t="s">
        <v>7967</v>
      </c>
      <c r="G1722" s="407" t="s">
        <v>7968</v>
      </c>
      <c r="H1722" s="460" t="e">
        <v>#N/A</v>
      </c>
      <c r="I1722" s="460" t="e">
        <v>#N/A</v>
      </c>
      <c r="J1722" s="460" t="e">
        <v>#N/A</v>
      </c>
      <c r="K1722" s="460" t="e">
        <v>#N/A</v>
      </c>
      <c r="L1722" s="459" t="e">
        <v>#N/A</v>
      </c>
      <c r="O1722">
        <v>0</v>
      </c>
      <c r="P1722" t="s">
        <v>10006</v>
      </c>
    </row>
    <row r="1723" spans="1:16" ht="14.4" x14ac:dyDescent="0.3">
      <c r="A1723">
        <v>157905</v>
      </c>
      <c r="B1723" t="str">
        <f t="shared" si="52"/>
        <v>IC-tor górny 2m srebrny</v>
      </c>
      <c r="C1723" s="185" t="e">
        <f t="shared" si="53"/>
        <v>#N/A</v>
      </c>
      <c r="D1723" s="407" t="s">
        <v>7969</v>
      </c>
      <c r="E1723" s="407" t="s">
        <v>7970</v>
      </c>
      <c r="F1723" s="407" t="s">
        <v>7971</v>
      </c>
      <c r="G1723" s="407" t="s">
        <v>7972</v>
      </c>
      <c r="H1723" s="460" t="e">
        <v>#N/A</v>
      </c>
      <c r="I1723" s="460" t="e">
        <v>#N/A</v>
      </c>
      <c r="J1723" s="460" t="e">
        <v>#N/A</v>
      </c>
      <c r="K1723" s="460" t="e">
        <v>#N/A</v>
      </c>
      <c r="L1723" s="459" t="e">
        <v>#N/A</v>
      </c>
      <c r="O1723">
        <v>0</v>
      </c>
      <c r="P1723" t="s">
        <v>10007</v>
      </c>
    </row>
    <row r="1724" spans="1:16" ht="14.4" x14ac:dyDescent="0.3">
      <c r="A1724">
        <v>157906</v>
      </c>
      <c r="B1724" t="str">
        <f t="shared" si="52"/>
        <v>IC-tor górny 3m srebrny</v>
      </c>
      <c r="C1724" s="185" t="e">
        <f t="shared" si="53"/>
        <v>#N/A</v>
      </c>
      <c r="D1724" s="407" t="s">
        <v>7973</v>
      </c>
      <c r="E1724" s="407" t="s">
        <v>7974</v>
      </c>
      <c r="F1724" s="407" t="s">
        <v>7975</v>
      </c>
      <c r="G1724" s="407" t="s">
        <v>7976</v>
      </c>
      <c r="H1724" s="460" t="e">
        <v>#N/A</v>
      </c>
      <c r="I1724" s="460" t="e">
        <v>#N/A</v>
      </c>
      <c r="J1724" s="460" t="e">
        <v>#N/A</v>
      </c>
      <c r="K1724" s="460" t="e">
        <v>#N/A</v>
      </c>
      <c r="L1724" s="459" t="e">
        <v>#N/A</v>
      </c>
      <c r="O1724">
        <v>0</v>
      </c>
      <c r="P1724" t="s">
        <v>10008</v>
      </c>
    </row>
    <row r="1725" spans="1:16" ht="14.4" x14ac:dyDescent="0.3">
      <c r="A1725">
        <v>157907</v>
      </c>
      <c r="B1725" t="str">
        <f t="shared" si="52"/>
        <v>IC-tor górny 5m srebrny</v>
      </c>
      <c r="C1725" s="185" t="e">
        <f t="shared" si="53"/>
        <v>#N/A</v>
      </c>
      <c r="D1725" s="407" t="s">
        <v>7977</v>
      </c>
      <c r="E1725" s="407" t="s">
        <v>7978</v>
      </c>
      <c r="F1725" s="407" t="s">
        <v>7979</v>
      </c>
      <c r="G1725" s="407" t="s">
        <v>7980</v>
      </c>
      <c r="H1725" s="460" t="e">
        <v>#N/A</v>
      </c>
      <c r="I1725" s="460" t="e">
        <v>#N/A</v>
      </c>
      <c r="J1725" s="460" t="e">
        <v>#N/A</v>
      </c>
      <c r="K1725" s="460" t="e">
        <v>#N/A</v>
      </c>
      <c r="L1725" s="459" t="e">
        <v>#N/A</v>
      </c>
      <c r="O1725">
        <v>0</v>
      </c>
      <c r="P1725" t="s">
        <v>10009</v>
      </c>
    </row>
    <row r="1726" spans="1:16" ht="14.4" x14ac:dyDescent="0.3">
      <c r="A1726">
        <v>157908</v>
      </c>
      <c r="B1726" t="str">
        <f t="shared" si="52"/>
        <v>IC-tor dolny 2m srebrny</v>
      </c>
      <c r="C1726" s="185" t="e">
        <f t="shared" si="53"/>
        <v>#N/A</v>
      </c>
      <c r="D1726" s="407" t="s">
        <v>7981</v>
      </c>
      <c r="E1726" s="407" t="s">
        <v>7982</v>
      </c>
      <c r="F1726" s="407" t="s">
        <v>7983</v>
      </c>
      <c r="G1726" s="407" t="s">
        <v>7984</v>
      </c>
      <c r="H1726" s="460" t="e">
        <v>#N/A</v>
      </c>
      <c r="I1726" s="460" t="e">
        <v>#N/A</v>
      </c>
      <c r="J1726" s="460" t="e">
        <v>#N/A</v>
      </c>
      <c r="K1726" s="460" t="e">
        <v>#N/A</v>
      </c>
      <c r="L1726" s="459" t="e">
        <v>#N/A</v>
      </c>
      <c r="O1726">
        <v>0</v>
      </c>
      <c r="P1726" t="s">
        <v>10010</v>
      </c>
    </row>
    <row r="1727" spans="1:16" ht="14.4" x14ac:dyDescent="0.3">
      <c r="A1727">
        <v>157909</v>
      </c>
      <c r="B1727" t="str">
        <f t="shared" si="52"/>
        <v>IC-tor dolny 3m srebrny</v>
      </c>
      <c r="C1727" s="185" t="e">
        <f t="shared" si="53"/>
        <v>#N/A</v>
      </c>
      <c r="D1727" s="407" t="s">
        <v>7985</v>
      </c>
      <c r="E1727" s="407" t="s">
        <v>7986</v>
      </c>
      <c r="F1727" s="407" t="s">
        <v>7987</v>
      </c>
      <c r="G1727" s="407" t="s">
        <v>7988</v>
      </c>
      <c r="H1727" s="460" t="e">
        <v>#N/A</v>
      </c>
      <c r="I1727" s="460" t="e">
        <v>#N/A</v>
      </c>
      <c r="J1727" s="460" t="e">
        <v>#N/A</v>
      </c>
      <c r="K1727" s="460" t="e">
        <v>#N/A</v>
      </c>
      <c r="L1727" s="459" t="e">
        <v>#N/A</v>
      </c>
      <c r="O1727">
        <v>0</v>
      </c>
      <c r="P1727" t="s">
        <v>10011</v>
      </c>
    </row>
    <row r="1728" spans="1:16" ht="14.4" x14ac:dyDescent="0.3">
      <c r="A1728">
        <v>157910</v>
      </c>
      <c r="B1728" t="str">
        <f t="shared" si="52"/>
        <v>IC-tor dolny 5m srebrny</v>
      </c>
      <c r="C1728" s="185" t="e">
        <f t="shared" si="53"/>
        <v>#N/A</v>
      </c>
      <c r="D1728" s="407" t="s">
        <v>7989</v>
      </c>
      <c r="E1728" s="407" t="s">
        <v>7990</v>
      </c>
      <c r="F1728" s="407" t="s">
        <v>7991</v>
      </c>
      <c r="G1728" s="407" t="s">
        <v>7992</v>
      </c>
      <c r="H1728" s="460" t="e">
        <v>#N/A</v>
      </c>
      <c r="I1728" s="460" t="e">
        <v>#N/A</v>
      </c>
      <c r="J1728" s="460" t="e">
        <v>#N/A</v>
      </c>
      <c r="K1728" s="460" t="e">
        <v>#N/A</v>
      </c>
      <c r="L1728" s="459" t="e">
        <v>#N/A</v>
      </c>
      <c r="O1728">
        <v>0</v>
      </c>
      <c r="P1728" t="s">
        <v>10012</v>
      </c>
    </row>
    <row r="1729" spans="1:16" ht="14.4" x14ac:dyDescent="0.3">
      <c r="A1729">
        <v>157923</v>
      </c>
      <c r="B1729" t="str">
        <f t="shared" si="52"/>
        <v>IC-komplet wózków Comfort 1 skrzydło</v>
      </c>
      <c r="C1729" s="185" t="e">
        <f t="shared" si="53"/>
        <v>#N/A</v>
      </c>
      <c r="D1729" s="407" t="s">
        <v>7993</v>
      </c>
      <c r="E1729" s="407" t="s">
        <v>7994</v>
      </c>
      <c r="F1729" s="407" t="s">
        <v>7995</v>
      </c>
      <c r="G1729" s="407" t="s">
        <v>7996</v>
      </c>
      <c r="H1729" s="460" t="e">
        <v>#N/A</v>
      </c>
      <c r="I1729" s="460" t="e">
        <v>#N/A</v>
      </c>
      <c r="J1729" s="460" t="e">
        <v>#N/A</v>
      </c>
      <c r="K1729" s="460" t="e">
        <v>#N/A</v>
      </c>
      <c r="L1729" s="459" t="e">
        <v>#N/A</v>
      </c>
      <c r="O1729">
        <v>0</v>
      </c>
      <c r="P1729" t="s">
        <v>10013</v>
      </c>
    </row>
    <row r="1730" spans="1:16" ht="14.4" x14ac:dyDescent="0.3">
      <c r="A1730">
        <v>157924</v>
      </c>
      <c r="B1730" t="str">
        <f t="shared" si="52"/>
        <v>IC-komplet wózków symetrycznych 1 skrzydło</v>
      </c>
      <c r="C1730" s="185" t="e">
        <f t="shared" si="53"/>
        <v>#N/A</v>
      </c>
      <c r="D1730" s="407" t="s">
        <v>7997</v>
      </c>
      <c r="E1730" s="407" t="s">
        <v>7998</v>
      </c>
      <c r="F1730" s="407" t="s">
        <v>7999</v>
      </c>
      <c r="G1730" s="407" t="s">
        <v>8000</v>
      </c>
      <c r="H1730" s="460" t="e">
        <v>#N/A</v>
      </c>
      <c r="I1730" s="460" t="e">
        <v>#N/A</v>
      </c>
      <c r="J1730" s="460" t="e">
        <v>#N/A</v>
      </c>
      <c r="K1730" s="460" t="e">
        <v>#N/A</v>
      </c>
      <c r="L1730" s="459" t="e">
        <v>#N/A</v>
      </c>
      <c r="O1730">
        <v>0</v>
      </c>
      <c r="P1730" t="s">
        <v>10014</v>
      </c>
    </row>
    <row r="1731" spans="1:16" ht="14.4" x14ac:dyDescent="0.3">
      <c r="A1731">
        <v>157925</v>
      </c>
      <c r="B1731" t="str">
        <f t="shared" si="52"/>
        <v>IC-pozycjoner</v>
      </c>
      <c r="C1731" s="185" t="e">
        <f t="shared" si="53"/>
        <v>#N/A</v>
      </c>
      <c r="D1731" s="407" t="s">
        <v>8001</v>
      </c>
      <c r="E1731" s="407" t="s">
        <v>8002</v>
      </c>
      <c r="F1731" s="407" t="s">
        <v>8001</v>
      </c>
      <c r="G1731" s="407" t="s">
        <v>8003</v>
      </c>
      <c r="H1731" s="460" t="e">
        <v>#N/A</v>
      </c>
      <c r="I1731" s="460" t="e">
        <v>#N/A</v>
      </c>
      <c r="J1731" s="460" t="e">
        <v>#N/A</v>
      </c>
      <c r="K1731" s="460" t="e">
        <v>#N/A</v>
      </c>
      <c r="L1731" s="459" t="e">
        <v>#N/A</v>
      </c>
      <c r="O1731">
        <v>0</v>
      </c>
      <c r="P1731" t="s">
        <v>10015</v>
      </c>
    </row>
    <row r="1732" spans="1:16" ht="14.4" x14ac:dyDescent="0.3">
      <c r="A1732">
        <v>157926</v>
      </c>
      <c r="B1732" t="str">
        <f t="shared" ref="B1732:B1795" si="54">IF($A$2=1,D1732,IF($A$2=2,F1732,IF($A$2=3,G1732,IF($A$2=4,E1732,IF($A$2&gt;4,P1732,"zadat jazyk")))))</f>
        <v>IC-złącze do szczotki odbojowej</v>
      </c>
      <c r="C1732" s="185">
        <f t="shared" ref="C1732:C1795" si="55">IF($A$2=1,H1732,IF($A$2=2,I1732,IF($A$2=3,J1732,IF($A$2=4,K1732,IF($A$2&gt;4,O1732,"zadat jazyk")))))</f>
        <v>0.63849999999999996</v>
      </c>
      <c r="D1732" s="407" t="s">
        <v>8004</v>
      </c>
      <c r="E1732" s="407" t="s">
        <v>8005</v>
      </c>
      <c r="F1732" s="407" t="s">
        <v>8006</v>
      </c>
      <c r="G1732" s="407" t="s">
        <v>8007</v>
      </c>
      <c r="H1732" s="460">
        <v>5.95</v>
      </c>
      <c r="I1732" s="460">
        <v>0.11414000000000001</v>
      </c>
      <c r="J1732" s="460">
        <v>0.63849999999999996</v>
      </c>
      <c r="K1732" s="460" t="e">
        <v>#N/A</v>
      </c>
      <c r="L1732" s="459" t="s">
        <v>539</v>
      </c>
      <c r="O1732">
        <v>0.12842000000000001</v>
      </c>
      <c r="P1732" t="s">
        <v>10016</v>
      </c>
    </row>
    <row r="1733" spans="1:16" ht="14.4" x14ac:dyDescent="0.3">
      <c r="A1733">
        <v>157928</v>
      </c>
      <c r="B1733" t="str">
        <f t="shared" si="54"/>
        <v>IC-tłumienie prawe</v>
      </c>
      <c r="C1733" s="185" t="e">
        <f t="shared" si="55"/>
        <v>#N/A</v>
      </c>
      <c r="D1733" s="407" t="s">
        <v>8008</v>
      </c>
      <c r="E1733" s="407" t="s">
        <v>8009</v>
      </c>
      <c r="F1733" s="407" t="s">
        <v>8010</v>
      </c>
      <c r="G1733" s="407" t="s">
        <v>8011</v>
      </c>
      <c r="H1733" s="460" t="e">
        <v>#N/A</v>
      </c>
      <c r="I1733" s="460" t="e">
        <v>#N/A</v>
      </c>
      <c r="J1733" s="460" t="e">
        <v>#N/A</v>
      </c>
      <c r="K1733" s="460" t="e">
        <v>#N/A</v>
      </c>
      <c r="L1733" s="459" t="e">
        <v>#N/A</v>
      </c>
      <c r="O1733">
        <v>14.03149</v>
      </c>
      <c r="P1733" t="s">
        <v>10017</v>
      </c>
    </row>
    <row r="1734" spans="1:16" ht="14.4" x14ac:dyDescent="0.3">
      <c r="A1734">
        <v>157929</v>
      </c>
      <c r="B1734" t="str">
        <f t="shared" si="54"/>
        <v>IC-tłumienie lewe</v>
      </c>
      <c r="C1734" s="185" t="e">
        <f t="shared" si="55"/>
        <v>#N/A</v>
      </c>
      <c r="D1734" s="407" t="s">
        <v>8012</v>
      </c>
      <c r="E1734" s="407" t="s">
        <v>8013</v>
      </c>
      <c r="F1734" s="407" t="s">
        <v>8014</v>
      </c>
      <c r="G1734" s="407" t="s">
        <v>8015</v>
      </c>
      <c r="H1734" s="460" t="e">
        <v>#N/A</v>
      </c>
      <c r="I1734" s="460" t="e">
        <v>#N/A</v>
      </c>
      <c r="J1734" s="460" t="e">
        <v>#N/A</v>
      </c>
      <c r="K1734" s="460" t="e">
        <v>#N/A</v>
      </c>
      <c r="L1734" s="459" t="e">
        <v>#N/A</v>
      </c>
      <c r="O1734">
        <v>0</v>
      </c>
      <c r="P1734" t="s">
        <v>10018</v>
      </c>
    </row>
    <row r="1735" spans="1:16" ht="14.4" x14ac:dyDescent="0.3">
      <c r="A1735">
        <v>157967</v>
      </c>
      <c r="B1735" t="str">
        <f t="shared" si="54"/>
        <v>IC-uszczelka do szkła 12/6,4mm</v>
      </c>
      <c r="C1735" s="185" t="e">
        <f t="shared" si="55"/>
        <v>#N/A</v>
      </c>
      <c r="D1735" s="407" t="s">
        <v>8016</v>
      </c>
      <c r="E1735" s="407" t="s">
        <v>8017</v>
      </c>
      <c r="F1735" s="407" t="s">
        <v>8018</v>
      </c>
      <c r="G1735" s="407" t="s">
        <v>8019</v>
      </c>
      <c r="H1735" s="460" t="e">
        <v>#N/A</v>
      </c>
      <c r="I1735" s="460" t="e">
        <v>#N/A</v>
      </c>
      <c r="J1735" s="460" t="e">
        <v>#N/A</v>
      </c>
      <c r="K1735" s="460" t="e">
        <v>#N/A</v>
      </c>
      <c r="L1735" s="459" t="e">
        <v>#N/A</v>
      </c>
      <c r="O1735">
        <v>0</v>
      </c>
      <c r="P1735" t="s">
        <v>10019</v>
      </c>
    </row>
    <row r="1736" spans="1:16" ht="14.4" x14ac:dyDescent="0.3">
      <c r="A1736">
        <v>158010</v>
      </c>
      <c r="B1736" t="str">
        <f t="shared" si="54"/>
        <v>SEVROLL Herkules plus tor górny 1,2m</v>
      </c>
      <c r="C1736" s="185" t="e">
        <f t="shared" si="55"/>
        <v>#N/A</v>
      </c>
      <c r="D1736" s="407" t="s">
        <v>1477</v>
      </c>
      <c r="E1736" s="407" t="s">
        <v>1907</v>
      </c>
      <c r="F1736" s="407" t="s">
        <v>5979</v>
      </c>
      <c r="G1736" s="407" t="s">
        <v>2434</v>
      </c>
      <c r="H1736" s="460" t="e">
        <v>#N/A</v>
      </c>
      <c r="I1736" s="460" t="e">
        <v>#N/A</v>
      </c>
      <c r="J1736" s="460" t="e">
        <v>#N/A</v>
      </c>
      <c r="K1736" s="460" t="e">
        <v>#N/A</v>
      </c>
      <c r="L1736" s="459" t="e">
        <v>#N/A</v>
      </c>
      <c r="O1736" t="e">
        <v>#N/A</v>
      </c>
      <c r="P1736" t="e">
        <v>#N/A</v>
      </c>
    </row>
    <row r="1737" spans="1:16" ht="14.4" x14ac:dyDescent="0.3">
      <c r="A1737">
        <v>158012</v>
      </c>
      <c r="B1737" t="str">
        <f t="shared" si="54"/>
        <v>SEVROLL wózek HP40 Herkules plus</v>
      </c>
      <c r="C1737" s="185" t="e">
        <f t="shared" si="55"/>
        <v>#N/A</v>
      </c>
      <c r="D1737" s="407" t="s">
        <v>1478</v>
      </c>
      <c r="E1737" s="407" t="s">
        <v>1908</v>
      </c>
      <c r="F1737" s="407" t="s">
        <v>1478</v>
      </c>
      <c r="G1737" s="407" t="s">
        <v>2435</v>
      </c>
      <c r="H1737" s="460" t="e">
        <v>#N/A</v>
      </c>
      <c r="I1737" s="460" t="e">
        <v>#N/A</v>
      </c>
      <c r="J1737" s="460" t="e">
        <v>#N/A</v>
      </c>
      <c r="K1737" s="460" t="e">
        <v>#N/A</v>
      </c>
      <c r="L1737" s="459" t="e">
        <v>#N/A</v>
      </c>
      <c r="O1737" t="e">
        <v>#N/A</v>
      </c>
      <c r="P1737" t="e">
        <v>#N/A</v>
      </c>
    </row>
    <row r="1738" spans="1:16" ht="14.4" x14ac:dyDescent="0.3">
      <c r="A1738">
        <v>158014</v>
      </c>
      <c r="B1738" t="str">
        <f t="shared" si="54"/>
        <v>SEVROLL zawias 25kg</v>
      </c>
      <c r="C1738" s="185">
        <f t="shared" si="55"/>
        <v>9.2333099999999995</v>
      </c>
      <c r="D1738" s="407" t="s">
        <v>1479</v>
      </c>
      <c r="E1738" s="407" t="s">
        <v>1909</v>
      </c>
      <c r="F1738" s="407" t="s">
        <v>5980</v>
      </c>
      <c r="G1738" s="407" t="s">
        <v>2436</v>
      </c>
      <c r="H1738" s="460">
        <v>71.749970000000005</v>
      </c>
      <c r="I1738" s="460">
        <v>2.70635</v>
      </c>
      <c r="J1738" s="460">
        <v>9.2333099999999995</v>
      </c>
      <c r="K1738" s="460">
        <v>1021.2114800000001</v>
      </c>
      <c r="L1738" s="459" t="s">
        <v>539</v>
      </c>
      <c r="O1738">
        <v>2.2879999999999998</v>
      </c>
      <c r="P1738" t="s">
        <v>10020</v>
      </c>
    </row>
    <row r="1739" spans="1:16" ht="14.4" x14ac:dyDescent="0.3">
      <c r="A1739">
        <v>158755</v>
      </c>
      <c r="B1739" t="str">
        <f t="shared" si="54"/>
        <v>S-komplet okuć S25</v>
      </c>
      <c r="C1739" s="185" t="e">
        <f t="shared" si="55"/>
        <v>#N/A</v>
      </c>
      <c r="D1739" s="407" t="s">
        <v>8020</v>
      </c>
      <c r="E1739" s="407" t="s">
        <v>8021</v>
      </c>
      <c r="F1739" s="407" t="s">
        <v>8022</v>
      </c>
      <c r="G1739" s="407" t="s">
        <v>8023</v>
      </c>
      <c r="H1739" s="460" t="e">
        <v>#N/A</v>
      </c>
      <c r="I1739" s="460" t="e">
        <v>#N/A</v>
      </c>
      <c r="J1739" s="460" t="e">
        <v>#N/A</v>
      </c>
      <c r="K1739" s="460" t="e">
        <v>#N/A</v>
      </c>
      <c r="L1739" s="459" t="e">
        <v>#N/A</v>
      </c>
      <c r="O1739">
        <v>34.383130000000001</v>
      </c>
      <c r="P1739" t="s">
        <v>10021</v>
      </c>
    </row>
    <row r="1740" spans="1:16" ht="14.4" x14ac:dyDescent="0.3">
      <c r="A1740">
        <v>158756</v>
      </c>
      <c r="B1740" t="str">
        <f t="shared" si="54"/>
        <v>S-górna listwa S25 1m</v>
      </c>
      <c r="C1740" s="185" t="e">
        <f t="shared" si="55"/>
        <v>#N/A</v>
      </c>
      <c r="D1740" s="407" t="s">
        <v>8024</v>
      </c>
      <c r="E1740" s="407" t="s">
        <v>8025</v>
      </c>
      <c r="F1740" s="407" t="s">
        <v>8026</v>
      </c>
      <c r="G1740" s="407" t="s">
        <v>8027</v>
      </c>
      <c r="H1740" s="460" t="e">
        <v>#N/A</v>
      </c>
      <c r="I1740" s="460" t="e">
        <v>#N/A</v>
      </c>
      <c r="J1740" s="460" t="e">
        <v>#N/A</v>
      </c>
      <c r="K1740" s="460" t="e">
        <v>#N/A</v>
      </c>
      <c r="L1740" s="459" t="e">
        <v>#N/A</v>
      </c>
      <c r="O1740">
        <v>0</v>
      </c>
      <c r="P1740" t="s">
        <v>10022</v>
      </c>
    </row>
    <row r="1741" spans="1:16" ht="14.4" x14ac:dyDescent="0.3">
      <c r="A1741">
        <v>158757</v>
      </c>
      <c r="B1741" t="str">
        <f t="shared" si="54"/>
        <v>S-dolna listwa S25 1m</v>
      </c>
      <c r="C1741" s="185" t="e">
        <f t="shared" si="55"/>
        <v>#N/A</v>
      </c>
      <c r="D1741" s="407" t="s">
        <v>8028</v>
      </c>
      <c r="E1741" s="407" t="s">
        <v>8029</v>
      </c>
      <c r="F1741" s="407" t="s">
        <v>8030</v>
      </c>
      <c r="G1741" s="407" t="s">
        <v>8031</v>
      </c>
      <c r="H1741" s="460" t="e">
        <v>#N/A</v>
      </c>
      <c r="I1741" s="460" t="e">
        <v>#N/A</v>
      </c>
      <c r="J1741" s="460" t="e">
        <v>#N/A</v>
      </c>
      <c r="K1741" s="460" t="e">
        <v>#N/A</v>
      </c>
      <c r="L1741" s="459" t="e">
        <v>#N/A</v>
      </c>
      <c r="O1741">
        <v>0</v>
      </c>
      <c r="P1741" t="s">
        <v>10023</v>
      </c>
    </row>
    <row r="1742" spans="1:16" ht="14.4" x14ac:dyDescent="0.3">
      <c r="A1742">
        <v>158883</v>
      </c>
      <c r="B1742" t="str">
        <f t="shared" si="54"/>
        <v>IC-Profil maskujący naklejany 3m szampan</v>
      </c>
      <c r="C1742" s="185" t="e">
        <f t="shared" si="55"/>
        <v>#N/A</v>
      </c>
      <c r="D1742" s="407" t="s">
        <v>8032</v>
      </c>
      <c r="E1742" s="407" t="s">
        <v>8033</v>
      </c>
      <c r="F1742" s="407" t="s">
        <v>8034</v>
      </c>
      <c r="G1742" s="407" t="s">
        <v>8035</v>
      </c>
      <c r="H1742" s="460" t="e">
        <v>#N/A</v>
      </c>
      <c r="I1742" s="460" t="e">
        <v>#N/A</v>
      </c>
      <c r="J1742" s="460" t="e">
        <v>#N/A</v>
      </c>
      <c r="K1742" s="460" t="e">
        <v>#N/A</v>
      </c>
      <c r="L1742" s="459" t="e">
        <v>#N/A</v>
      </c>
      <c r="O1742">
        <v>0</v>
      </c>
      <c r="P1742" t="s">
        <v>10024</v>
      </c>
    </row>
    <row r="1743" spans="1:16" ht="14.4" x14ac:dyDescent="0.3">
      <c r="A1743">
        <v>158884</v>
      </c>
      <c r="B1743" t="str">
        <f t="shared" si="54"/>
        <v>IC-dwustronna taśma klejąca przezroczysta 14mm/50m</v>
      </c>
      <c r="C1743" s="185" t="e">
        <f t="shared" si="55"/>
        <v>#N/A</v>
      </c>
      <c r="D1743" s="407" t="s">
        <v>8036</v>
      </c>
      <c r="E1743" s="407" t="s">
        <v>8037</v>
      </c>
      <c r="F1743" s="407" t="s">
        <v>8038</v>
      </c>
      <c r="G1743" s="407" t="s">
        <v>8039</v>
      </c>
      <c r="H1743" s="460" t="e">
        <v>#N/A</v>
      </c>
      <c r="I1743" s="460" t="e">
        <v>#N/A</v>
      </c>
      <c r="J1743" s="460" t="e">
        <v>#N/A</v>
      </c>
      <c r="K1743" s="460" t="e">
        <v>#N/A</v>
      </c>
      <c r="L1743" s="459" t="e">
        <v>#N/A</v>
      </c>
      <c r="O1743">
        <v>0</v>
      </c>
      <c r="P1743" t="s">
        <v>10025</v>
      </c>
    </row>
    <row r="1744" spans="1:16" ht="14.4" x14ac:dyDescent="0.3">
      <c r="A1744">
        <v>213341</v>
      </c>
      <c r="B1744" t="e">
        <f t="shared" si="54"/>
        <v>#N/A</v>
      </c>
      <c r="C1744" s="185" t="e">
        <f t="shared" si="55"/>
        <v>#N/A</v>
      </c>
      <c r="D1744" s="407" t="e">
        <v>#N/A</v>
      </c>
      <c r="E1744" s="407" t="e">
        <v>#N/A</v>
      </c>
      <c r="F1744" s="407" t="e">
        <v>#N/A</v>
      </c>
      <c r="G1744" s="407" t="e">
        <v>#N/A</v>
      </c>
      <c r="H1744" s="460" t="e">
        <v>#N/A</v>
      </c>
      <c r="I1744" s="460" t="e">
        <v>#N/A</v>
      </c>
      <c r="J1744" s="460" t="e">
        <v>#N/A</v>
      </c>
      <c r="K1744" s="460" t="e">
        <v>#N/A</v>
      </c>
      <c r="L1744" s="459" t="e">
        <v>#N/A</v>
      </c>
      <c r="O1744" t="e">
        <v>#N/A</v>
      </c>
      <c r="P1744" t="e">
        <v>#N/A</v>
      </c>
    </row>
    <row r="1745" spans="1:16" ht="14.4" x14ac:dyDescent="0.3">
      <c r="A1745">
        <v>214077</v>
      </c>
      <c r="B1745" t="e">
        <f t="shared" si="54"/>
        <v>#N/A</v>
      </c>
      <c r="C1745" s="185" t="e">
        <f t="shared" si="55"/>
        <v>#N/A</v>
      </c>
      <c r="D1745" s="407" t="e">
        <v>#N/A</v>
      </c>
      <c r="E1745" s="407" t="e">
        <v>#N/A</v>
      </c>
      <c r="F1745" s="407" t="e">
        <v>#N/A</v>
      </c>
      <c r="G1745" s="407" t="e">
        <v>#N/A</v>
      </c>
      <c r="H1745" s="460" t="e">
        <v>#N/A</v>
      </c>
      <c r="I1745" s="460" t="e">
        <v>#N/A</v>
      </c>
      <c r="J1745" s="460" t="e">
        <v>#N/A</v>
      </c>
      <c r="K1745" s="460" t="e">
        <v>#N/A</v>
      </c>
      <c r="L1745" s="459" t="e">
        <v>#N/A</v>
      </c>
      <c r="O1745" t="e">
        <v>#N/A</v>
      </c>
      <c r="P1745" t="e">
        <v>#N/A</v>
      </c>
    </row>
    <row r="1746" spans="1:16" ht="14.4" x14ac:dyDescent="0.3">
      <c r="A1746">
        <v>215527</v>
      </c>
      <c r="B1746" t="str">
        <f t="shared" si="54"/>
        <v>S-uchwyt S70a 2,7m (profil H09)</v>
      </c>
      <c r="C1746" s="185" t="e">
        <f t="shared" si="55"/>
        <v>#N/A</v>
      </c>
      <c r="D1746" s="407" t="s">
        <v>8040</v>
      </c>
      <c r="E1746" s="407" t="s">
        <v>8041</v>
      </c>
      <c r="F1746" s="407" t="s">
        <v>8042</v>
      </c>
      <c r="G1746" s="407" t="s">
        <v>8043</v>
      </c>
      <c r="H1746" s="460" t="e">
        <v>#N/A</v>
      </c>
      <c r="I1746" s="460" t="e">
        <v>#N/A</v>
      </c>
      <c r="J1746" s="460" t="e">
        <v>#N/A</v>
      </c>
      <c r="K1746" s="460" t="e">
        <v>#N/A</v>
      </c>
      <c r="L1746" s="459" t="e">
        <v>#N/A</v>
      </c>
      <c r="O1746">
        <v>0</v>
      </c>
      <c r="P1746" t="s">
        <v>10026</v>
      </c>
    </row>
    <row r="1747" spans="1:16" ht="14.4" x14ac:dyDescent="0.3">
      <c r="A1747">
        <v>215528</v>
      </c>
      <c r="B1747" t="str">
        <f t="shared" si="54"/>
        <v>S-uchwyt S70c 2,7m (profil H11)</v>
      </c>
      <c r="C1747" s="185" t="e">
        <f t="shared" si="55"/>
        <v>#N/A</v>
      </c>
      <c r="D1747" s="407" t="s">
        <v>8044</v>
      </c>
      <c r="E1747" s="407" t="s">
        <v>8045</v>
      </c>
      <c r="F1747" s="407" t="s">
        <v>8046</v>
      </c>
      <c r="G1747" s="407" t="s">
        <v>8047</v>
      </c>
      <c r="H1747" s="460" t="e">
        <v>#N/A</v>
      </c>
      <c r="I1747" s="460" t="e">
        <v>#N/A</v>
      </c>
      <c r="J1747" s="460" t="e">
        <v>#N/A</v>
      </c>
      <c r="K1747" s="460" t="e">
        <v>#N/A</v>
      </c>
      <c r="L1747" s="459" t="e">
        <v>#N/A</v>
      </c>
      <c r="O1747">
        <v>0</v>
      </c>
      <c r="P1747" t="s">
        <v>10027</v>
      </c>
    </row>
    <row r="1748" spans="1:16" ht="14.4" x14ac:dyDescent="0.3">
      <c r="A1748">
        <v>216385</v>
      </c>
      <c r="B1748" t="str">
        <f t="shared" si="54"/>
        <v>S-hamulec S35</v>
      </c>
      <c r="C1748" s="185">
        <f t="shared" si="55"/>
        <v>6.08927</v>
      </c>
      <c r="D1748" s="407" t="s">
        <v>8048</v>
      </c>
      <c r="E1748" s="407" t="s">
        <v>8049</v>
      </c>
      <c r="F1748" s="407" t="s">
        <v>8048</v>
      </c>
      <c r="G1748" s="407" t="s">
        <v>8050</v>
      </c>
      <c r="H1748" s="460">
        <v>32.340000000000003</v>
      </c>
      <c r="I1748" s="460">
        <v>1.3802700000000001</v>
      </c>
      <c r="J1748" s="460">
        <v>6.08927</v>
      </c>
      <c r="K1748" s="460" t="e">
        <v>#N/A</v>
      </c>
      <c r="L1748" s="459" t="s">
        <v>537</v>
      </c>
      <c r="O1748">
        <v>1.1633199999999999</v>
      </c>
      <c r="P1748" t="s">
        <v>10028</v>
      </c>
    </row>
    <row r="1749" spans="1:16" ht="14.4" x14ac:dyDescent="0.3">
      <c r="A1749">
        <v>216618</v>
      </c>
      <c r="B1749" t="e">
        <f t="shared" si="54"/>
        <v>#N/A</v>
      </c>
      <c r="C1749" s="185" t="e">
        <f t="shared" si="55"/>
        <v>#N/A</v>
      </c>
      <c r="D1749" s="407" t="e">
        <v>#N/A</v>
      </c>
      <c r="E1749" s="407" t="e">
        <v>#N/A</v>
      </c>
      <c r="F1749" s="407" t="e">
        <v>#N/A</v>
      </c>
      <c r="G1749" s="407" t="e">
        <v>#N/A</v>
      </c>
      <c r="H1749" s="460" t="e">
        <v>#N/A</v>
      </c>
      <c r="I1749" s="460" t="e">
        <v>#N/A</v>
      </c>
      <c r="J1749" s="460" t="e">
        <v>#N/A</v>
      </c>
      <c r="K1749" s="460" t="e">
        <v>#N/A</v>
      </c>
      <c r="L1749" s="459" t="e">
        <v>#N/A</v>
      </c>
      <c r="O1749" t="e">
        <v>#N/A</v>
      </c>
      <c r="P1749" t="e">
        <v>#N/A</v>
      </c>
    </row>
    <row r="1750" spans="1:16" ht="14.4" x14ac:dyDescent="0.3">
      <c r="A1750">
        <v>216852</v>
      </c>
      <c r="B1750" t="str">
        <f t="shared" si="54"/>
        <v>S-Softclose S65 (Slidix T40) tłumienie</v>
      </c>
      <c r="C1750" s="185">
        <f t="shared" si="55"/>
        <v>106.76866</v>
      </c>
      <c r="D1750" s="407" t="s">
        <v>8051</v>
      </c>
      <c r="E1750" s="407" t="s">
        <v>8052</v>
      </c>
      <c r="F1750" s="407" t="s">
        <v>8053</v>
      </c>
      <c r="G1750" s="407" t="s">
        <v>8054</v>
      </c>
      <c r="H1750" s="460">
        <v>567.04618000000005</v>
      </c>
      <c r="I1750" s="460">
        <v>24.201370000000001</v>
      </c>
      <c r="J1750" s="460">
        <v>106.76866</v>
      </c>
      <c r="K1750" s="460" t="e">
        <v>#N/A</v>
      </c>
      <c r="L1750" s="459" t="s">
        <v>540</v>
      </c>
      <c r="O1750">
        <v>20.39734</v>
      </c>
      <c r="P1750" t="s">
        <v>10029</v>
      </c>
    </row>
    <row r="1751" spans="1:16" ht="14.4" x14ac:dyDescent="0.3">
      <c r="A1751">
        <v>217068</v>
      </c>
      <c r="B1751" t="str">
        <f t="shared" si="54"/>
        <v>S-profil SALU 09 srebrny anodowany 2,7 m</v>
      </c>
      <c r="C1751" s="185" t="e">
        <f t="shared" si="55"/>
        <v>#N/A</v>
      </c>
      <c r="D1751" s="407" t="s">
        <v>8055</v>
      </c>
      <c r="E1751" s="407" t="s">
        <v>8056</v>
      </c>
      <c r="F1751" s="407" t="s">
        <v>8057</v>
      </c>
      <c r="G1751" s="407" t="s">
        <v>8058</v>
      </c>
      <c r="H1751" s="460" t="e">
        <v>#N/A</v>
      </c>
      <c r="I1751" s="460" t="e">
        <v>#N/A</v>
      </c>
      <c r="J1751" s="460" t="e">
        <v>#N/A</v>
      </c>
      <c r="K1751" s="460" t="e">
        <v>#N/A</v>
      </c>
      <c r="L1751" s="459" t="e">
        <v>#N/A</v>
      </c>
      <c r="O1751">
        <v>0</v>
      </c>
      <c r="P1751" t="s">
        <v>10030</v>
      </c>
    </row>
    <row r="1752" spans="1:16" ht="14.4" x14ac:dyDescent="0.3">
      <c r="A1752">
        <v>275323</v>
      </c>
      <c r="B1752" t="e">
        <f t="shared" si="54"/>
        <v>#N/A</v>
      </c>
      <c r="C1752" s="185" t="e">
        <f t="shared" si="55"/>
        <v>#N/A</v>
      </c>
      <c r="D1752" s="407" t="e">
        <v>#N/A</v>
      </c>
      <c r="E1752" s="407" t="e">
        <v>#N/A</v>
      </c>
      <c r="F1752" s="407" t="e">
        <v>#N/A</v>
      </c>
      <c r="G1752" s="407" t="e">
        <v>#N/A</v>
      </c>
      <c r="H1752" s="460" t="e">
        <v>#N/A</v>
      </c>
      <c r="I1752" s="460" t="e">
        <v>#N/A</v>
      </c>
      <c r="J1752" s="460" t="e">
        <v>#N/A</v>
      </c>
      <c r="K1752" s="460" t="e">
        <v>#N/A</v>
      </c>
      <c r="L1752" s="459" t="e">
        <v>#N/A</v>
      </c>
      <c r="O1752" t="e">
        <v>#N/A</v>
      </c>
      <c r="P1752" t="e">
        <v>#N/A</v>
      </c>
    </row>
    <row r="1753" spans="1:16" ht="14.4" x14ac:dyDescent="0.3">
      <c r="A1753">
        <v>275733</v>
      </c>
      <c r="B1753" t="str">
        <f t="shared" si="54"/>
        <v>S-profil S40/80 4m. Metal</v>
      </c>
      <c r="C1753" s="185" t="e">
        <f t="shared" si="55"/>
        <v>#N/A</v>
      </c>
      <c r="D1753" s="407" t="s">
        <v>8059</v>
      </c>
      <c r="E1753" s="407" t="s">
        <v>8060</v>
      </c>
      <c r="F1753" s="407" t="s">
        <v>8061</v>
      </c>
      <c r="G1753" s="407" t="s">
        <v>8062</v>
      </c>
      <c r="H1753" s="460" t="e">
        <v>#N/A</v>
      </c>
      <c r="I1753" s="460" t="e">
        <v>#N/A</v>
      </c>
      <c r="J1753" s="460" t="e">
        <v>#N/A</v>
      </c>
      <c r="K1753" s="460" t="e">
        <v>#N/A</v>
      </c>
      <c r="L1753" s="459" t="e">
        <v>#N/A</v>
      </c>
      <c r="O1753">
        <v>0</v>
      </c>
      <c r="P1753" t="s">
        <v>10031</v>
      </c>
    </row>
    <row r="1754" spans="1:16" ht="14.4" x14ac:dyDescent="0.3">
      <c r="A1754">
        <v>276410</v>
      </c>
      <c r="B1754" t="e">
        <f t="shared" si="54"/>
        <v>#N/A</v>
      </c>
      <c r="C1754" s="185" t="e">
        <f t="shared" si="55"/>
        <v>#N/A</v>
      </c>
      <c r="D1754" s="407" t="e">
        <v>#N/A</v>
      </c>
      <c r="E1754" s="407" t="e">
        <v>#N/A</v>
      </c>
      <c r="F1754" s="407" t="e">
        <v>#N/A</v>
      </c>
      <c r="G1754" s="407" t="e">
        <v>#N/A</v>
      </c>
      <c r="H1754" s="460" t="e">
        <v>#N/A</v>
      </c>
      <c r="I1754" s="460" t="e">
        <v>#N/A</v>
      </c>
      <c r="J1754" s="460" t="e">
        <v>#N/A</v>
      </c>
      <c r="K1754" s="460" t="e">
        <v>#N/A</v>
      </c>
      <c r="L1754" s="459" t="e">
        <v>#N/A</v>
      </c>
      <c r="O1754" t="e">
        <v>#N/A</v>
      </c>
      <c r="P1754" t="e">
        <v>#N/A</v>
      </c>
    </row>
    <row r="1755" spans="1:16" ht="14.4" x14ac:dyDescent="0.3">
      <c r="A1755">
        <v>276411</v>
      </c>
      <c r="B1755" t="e">
        <f t="shared" si="54"/>
        <v>#N/A</v>
      </c>
      <c r="C1755" s="185" t="e">
        <f t="shared" si="55"/>
        <v>#N/A</v>
      </c>
      <c r="D1755" s="407" t="e">
        <v>#N/A</v>
      </c>
      <c r="E1755" s="407" t="e">
        <v>#N/A</v>
      </c>
      <c r="F1755" s="407" t="e">
        <v>#N/A</v>
      </c>
      <c r="G1755" s="407" t="e">
        <v>#N/A</v>
      </c>
      <c r="H1755" s="460" t="e">
        <v>#N/A</v>
      </c>
      <c r="I1755" s="460" t="e">
        <v>#N/A</v>
      </c>
      <c r="J1755" s="460" t="e">
        <v>#N/A</v>
      </c>
      <c r="K1755" s="460" t="e">
        <v>#N/A</v>
      </c>
      <c r="L1755" s="459" t="e">
        <v>#N/A</v>
      </c>
      <c r="O1755" t="e">
        <v>#N/A</v>
      </c>
      <c r="P1755" t="e">
        <v>#N/A</v>
      </c>
    </row>
    <row r="1756" spans="1:16" ht="14.4" x14ac:dyDescent="0.3">
      <c r="A1756">
        <v>276423</v>
      </c>
      <c r="B1756" t="e">
        <f t="shared" si="54"/>
        <v>#N/A</v>
      </c>
      <c r="C1756" s="185" t="e">
        <f t="shared" si="55"/>
        <v>#N/A</v>
      </c>
      <c r="D1756" s="407" t="e">
        <v>#N/A</v>
      </c>
      <c r="E1756" s="407" t="e">
        <v>#N/A</v>
      </c>
      <c r="F1756" s="407" t="e">
        <v>#N/A</v>
      </c>
      <c r="G1756" s="407" t="e">
        <v>#N/A</v>
      </c>
      <c r="H1756" s="460" t="e">
        <v>#N/A</v>
      </c>
      <c r="I1756" s="460" t="e">
        <v>#N/A</v>
      </c>
      <c r="J1756" s="460" t="e">
        <v>#N/A</v>
      </c>
      <c r="K1756" s="460" t="e">
        <v>#N/A</v>
      </c>
      <c r="L1756" s="459" t="e">
        <v>#N/A</v>
      </c>
      <c r="O1756" t="e">
        <v>#N/A</v>
      </c>
      <c r="P1756" t="e">
        <v>#N/A</v>
      </c>
    </row>
    <row r="1757" spans="1:16" ht="14.4" x14ac:dyDescent="0.3">
      <c r="A1757">
        <v>276425</v>
      </c>
      <c r="B1757" t="e">
        <f t="shared" si="54"/>
        <v>#N/A</v>
      </c>
      <c r="C1757" s="185" t="e">
        <f t="shared" si="55"/>
        <v>#N/A</v>
      </c>
      <c r="D1757" s="407" t="e">
        <v>#N/A</v>
      </c>
      <c r="E1757" s="407" t="e">
        <v>#N/A</v>
      </c>
      <c r="F1757" s="407" t="e">
        <v>#N/A</v>
      </c>
      <c r="G1757" s="407" t="e">
        <v>#N/A</v>
      </c>
      <c r="H1757" s="460" t="e">
        <v>#N/A</v>
      </c>
      <c r="I1757" s="460" t="e">
        <v>#N/A</v>
      </c>
      <c r="J1757" s="460" t="e">
        <v>#N/A</v>
      </c>
      <c r="K1757" s="460" t="e">
        <v>#N/A</v>
      </c>
      <c r="L1757" s="459" t="e">
        <v>#N/A</v>
      </c>
      <c r="O1757" t="e">
        <v>#N/A</v>
      </c>
      <c r="P1757" t="e">
        <v>#N/A</v>
      </c>
    </row>
    <row r="1758" spans="1:16" ht="14.4" x14ac:dyDescent="0.3">
      <c r="A1758">
        <v>276433</v>
      </c>
      <c r="B1758" t="e">
        <f t="shared" si="54"/>
        <v>#N/A</v>
      </c>
      <c r="C1758" s="185" t="e">
        <f t="shared" si="55"/>
        <v>#N/A</v>
      </c>
      <c r="D1758" s="407" t="e">
        <v>#N/A</v>
      </c>
      <c r="E1758" s="407" t="e">
        <v>#N/A</v>
      </c>
      <c r="F1758" s="407" t="e">
        <v>#N/A</v>
      </c>
      <c r="G1758" s="407" t="e">
        <v>#N/A</v>
      </c>
      <c r="H1758" s="460" t="e">
        <v>#N/A</v>
      </c>
      <c r="I1758" s="460" t="e">
        <v>#N/A</v>
      </c>
      <c r="J1758" s="460" t="e">
        <v>#N/A</v>
      </c>
      <c r="K1758" s="460" t="e">
        <v>#N/A</v>
      </c>
      <c r="L1758" s="459" t="e">
        <v>#N/A</v>
      </c>
      <c r="O1758" t="e">
        <v>#N/A</v>
      </c>
      <c r="P1758" t="e">
        <v>#N/A</v>
      </c>
    </row>
    <row r="1759" spans="1:16" ht="14.4" x14ac:dyDescent="0.3">
      <c r="A1759">
        <v>380524</v>
      </c>
      <c r="B1759" t="e">
        <f t="shared" si="54"/>
        <v>#N/A</v>
      </c>
      <c r="C1759" s="185" t="e">
        <f t="shared" si="55"/>
        <v>#N/A</v>
      </c>
      <c r="D1759" s="407" t="e">
        <v>#N/A</v>
      </c>
      <c r="E1759" s="407" t="e">
        <v>#N/A</v>
      </c>
      <c r="F1759" s="407" t="e">
        <v>#N/A</v>
      </c>
      <c r="G1759" s="407" t="e">
        <v>#N/A</v>
      </c>
      <c r="H1759" s="460" t="e">
        <v>#N/A</v>
      </c>
      <c r="I1759" s="460" t="e">
        <v>#N/A</v>
      </c>
      <c r="J1759" s="460" t="e">
        <v>#N/A</v>
      </c>
      <c r="K1759" s="460" t="e">
        <v>#N/A</v>
      </c>
      <c r="L1759" s="459" t="e">
        <v>#N/A</v>
      </c>
      <c r="O1759" t="e">
        <v>#N/A</v>
      </c>
      <c r="P1759" t="e">
        <v>#N/A</v>
      </c>
    </row>
    <row r="1760" spans="1:16" ht="14.4" x14ac:dyDescent="0.3">
      <c r="A1760">
        <v>309906</v>
      </c>
      <c r="B1760" t="str">
        <f t="shared" si="54"/>
        <v>IC-tor górny EU 6m szampański</v>
      </c>
      <c r="C1760" s="185" t="e">
        <f t="shared" si="55"/>
        <v>#N/A</v>
      </c>
      <c r="D1760" s="407" t="s">
        <v>8063</v>
      </c>
      <c r="E1760" s="407" t="s">
        <v>8064</v>
      </c>
      <c r="F1760" s="407" t="s">
        <v>8065</v>
      </c>
      <c r="G1760" s="407" t="s">
        <v>8066</v>
      </c>
      <c r="H1760" s="460" t="e">
        <v>#N/A</v>
      </c>
      <c r="I1760" s="460" t="e">
        <v>#N/A</v>
      </c>
      <c r="J1760" s="460" t="e">
        <v>#N/A</v>
      </c>
      <c r="K1760" s="460" t="e">
        <v>#N/A</v>
      </c>
      <c r="L1760" s="459" t="e">
        <v>#N/A</v>
      </c>
      <c r="O1760">
        <v>0</v>
      </c>
      <c r="P1760" t="s">
        <v>10032</v>
      </c>
    </row>
    <row r="1761" spans="1:16" ht="14.4" x14ac:dyDescent="0.3">
      <c r="A1761">
        <v>309908</v>
      </c>
      <c r="B1761" t="str">
        <f t="shared" si="54"/>
        <v>IC-tor dolny EU 6m szampański</v>
      </c>
      <c r="C1761" s="185" t="e">
        <f t="shared" si="55"/>
        <v>#N/A</v>
      </c>
      <c r="D1761" s="407" t="s">
        <v>8067</v>
      </c>
      <c r="E1761" s="407" t="s">
        <v>8068</v>
      </c>
      <c r="F1761" s="407" t="s">
        <v>8069</v>
      </c>
      <c r="G1761" s="407" t="s">
        <v>8070</v>
      </c>
      <c r="H1761" s="460" t="e">
        <v>#N/A</v>
      </c>
      <c r="I1761" s="460" t="e">
        <v>#N/A</v>
      </c>
      <c r="J1761" s="460" t="e">
        <v>#N/A</v>
      </c>
      <c r="K1761" s="460" t="e">
        <v>#N/A</v>
      </c>
      <c r="L1761" s="459" t="e">
        <v>#N/A</v>
      </c>
      <c r="O1761">
        <v>0</v>
      </c>
      <c r="P1761" t="s">
        <v>10033</v>
      </c>
    </row>
    <row r="1762" spans="1:16" ht="14.4" x14ac:dyDescent="0.3">
      <c r="A1762">
        <v>309909</v>
      </c>
      <c r="B1762" t="str">
        <f t="shared" si="54"/>
        <v>IC-Górna listwa torowa    EU 10mm 6m szampan</v>
      </c>
      <c r="C1762" s="185" t="e">
        <f t="shared" si="55"/>
        <v>#N/A</v>
      </c>
      <c r="D1762" s="407" t="s">
        <v>8071</v>
      </c>
      <c r="E1762" s="407" t="s">
        <v>8072</v>
      </c>
      <c r="F1762" s="407" t="s">
        <v>8073</v>
      </c>
      <c r="G1762" s="407" t="s">
        <v>8074</v>
      </c>
      <c r="H1762" s="460" t="e">
        <v>#N/A</v>
      </c>
      <c r="I1762" s="460" t="e">
        <v>#N/A</v>
      </c>
      <c r="J1762" s="460" t="e">
        <v>#N/A</v>
      </c>
      <c r="K1762" s="460" t="e">
        <v>#N/A</v>
      </c>
      <c r="L1762" s="459" t="e">
        <v>#N/A</v>
      </c>
      <c r="O1762">
        <v>0</v>
      </c>
      <c r="P1762" t="s">
        <v>10034</v>
      </c>
    </row>
    <row r="1763" spans="1:16" ht="14.4" x14ac:dyDescent="0.3">
      <c r="A1763">
        <v>309910</v>
      </c>
      <c r="B1763" t="str">
        <f t="shared" si="54"/>
        <v>IC-Dolna listwa maskująca  EU 10mm 6m szampan</v>
      </c>
      <c r="C1763" s="185" t="e">
        <f t="shared" si="55"/>
        <v>#N/A</v>
      </c>
      <c r="D1763" s="407" t="s">
        <v>8075</v>
      </c>
      <c r="E1763" s="407" t="s">
        <v>8076</v>
      </c>
      <c r="F1763" s="407" t="s">
        <v>8077</v>
      </c>
      <c r="G1763" s="407" t="s">
        <v>8078</v>
      </c>
      <c r="H1763" s="460" t="e">
        <v>#N/A</v>
      </c>
      <c r="I1763" s="460" t="e">
        <v>#N/A</v>
      </c>
      <c r="J1763" s="460" t="e">
        <v>#N/A</v>
      </c>
      <c r="K1763" s="460" t="e">
        <v>#N/A</v>
      </c>
      <c r="L1763" s="459" t="e">
        <v>#N/A</v>
      </c>
      <c r="O1763">
        <v>0</v>
      </c>
      <c r="P1763" t="s">
        <v>10035</v>
      </c>
    </row>
    <row r="1764" spans="1:16" ht="14.4" x14ac:dyDescent="0.3">
      <c r="A1764">
        <v>403116</v>
      </c>
      <c r="B1764" t="str">
        <f t="shared" si="54"/>
        <v>HAWA 057.3133.072 Eku Porta przesuwny zestaw zabudowy wewnętrznej okucia do 60kg</v>
      </c>
      <c r="C1764" s="185">
        <f t="shared" si="55"/>
        <v>558.19456000000002</v>
      </c>
      <c r="D1764" s="407" t="s">
        <v>8079</v>
      </c>
      <c r="E1764" s="407" t="s">
        <v>8080</v>
      </c>
      <c r="F1764" s="407" t="s">
        <v>8081</v>
      </c>
      <c r="G1764" s="407" t="s">
        <v>8082</v>
      </c>
      <c r="H1764" s="460">
        <v>3719.3849700000001</v>
      </c>
      <c r="I1764" s="460">
        <v>140.84192999999999</v>
      </c>
      <c r="J1764" s="460">
        <v>558.19456000000002</v>
      </c>
      <c r="K1764" s="460" t="e">
        <v>#N/A</v>
      </c>
      <c r="L1764" s="459" t="s">
        <v>539</v>
      </c>
      <c r="O1764">
        <v>133.71233000000001</v>
      </c>
      <c r="P1764" t="s">
        <v>10036</v>
      </c>
    </row>
    <row r="1765" spans="1:16" ht="14.4" x14ac:dyDescent="0.3">
      <c r="A1765">
        <v>403118</v>
      </c>
      <c r="B1765" t="str">
        <f t="shared" si="54"/>
        <v>HAWA 057.3016.201 Porta 60 okucia wewnętrzne przesuwne 100kg tor górny 2m elox</v>
      </c>
      <c r="C1765" s="185" t="e">
        <f t="shared" si="55"/>
        <v>#N/A</v>
      </c>
      <c r="D1765" s="407" t="s">
        <v>8083</v>
      </c>
      <c r="E1765" s="407" t="s">
        <v>8084</v>
      </c>
      <c r="F1765" s="407" t="s">
        <v>8085</v>
      </c>
      <c r="G1765" s="407" t="s">
        <v>8086</v>
      </c>
      <c r="H1765" s="460" t="e">
        <v>#N/A</v>
      </c>
      <c r="I1765" s="460" t="e">
        <v>#N/A</v>
      </c>
      <c r="J1765" s="460" t="e">
        <v>#N/A</v>
      </c>
      <c r="K1765" s="460" t="e">
        <v>#N/A</v>
      </c>
      <c r="L1765" s="459" t="e">
        <v>#N/A</v>
      </c>
      <c r="O1765">
        <v>39.068210000000001</v>
      </c>
      <c r="P1765" t="s">
        <v>10037</v>
      </c>
    </row>
    <row r="1766" spans="1:16" ht="14.4" x14ac:dyDescent="0.3">
      <c r="A1766">
        <v>403121</v>
      </c>
      <c r="B1766" t="str">
        <f t="shared" si="54"/>
        <v>HAWA 042.3102.072 Eku Porta 60 amortyzator do 60 kg</v>
      </c>
      <c r="C1766" s="185">
        <f t="shared" si="55"/>
        <v>618.20856000000003</v>
      </c>
      <c r="D1766" s="407" t="s">
        <v>8087</v>
      </c>
      <c r="E1766" s="407" t="s">
        <v>8088</v>
      </c>
      <c r="F1766" s="407" t="s">
        <v>8088</v>
      </c>
      <c r="G1766" s="407" t="s">
        <v>8089</v>
      </c>
      <c r="H1766" s="460">
        <v>4119.2725899999996</v>
      </c>
      <c r="I1766" s="460">
        <v>156.05096</v>
      </c>
      <c r="J1766" s="460">
        <v>618.20856000000003</v>
      </c>
      <c r="K1766" s="460" t="e">
        <v>#N/A</v>
      </c>
      <c r="L1766" s="459" t="s">
        <v>539</v>
      </c>
      <c r="O1766">
        <v>148.01898</v>
      </c>
      <c r="P1766" t="s">
        <v>10038</v>
      </c>
    </row>
    <row r="1767" spans="1:16" ht="14.4" x14ac:dyDescent="0.3">
      <c r="A1767">
        <v>231818</v>
      </c>
      <c r="B1767" t="str">
        <f t="shared" si="54"/>
        <v>S-S20/30 alu elox listwa podwójna 3,5m</v>
      </c>
      <c r="C1767" s="185" t="e">
        <f t="shared" si="55"/>
        <v>#N/A</v>
      </c>
      <c r="D1767" s="407" t="s">
        <v>8090</v>
      </c>
      <c r="E1767" s="407" t="s">
        <v>8091</v>
      </c>
      <c r="F1767" s="407" t="s">
        <v>8090</v>
      </c>
      <c r="G1767" s="407" t="s">
        <v>8092</v>
      </c>
      <c r="H1767" s="460" t="e">
        <v>#N/A</v>
      </c>
      <c r="I1767" s="460" t="e">
        <v>#N/A</v>
      </c>
      <c r="J1767" s="460" t="e">
        <v>#N/A</v>
      </c>
      <c r="K1767" s="460" t="e">
        <v>#N/A</v>
      </c>
      <c r="L1767" s="459" t="e">
        <v>#N/A</v>
      </c>
      <c r="O1767">
        <v>0</v>
      </c>
      <c r="P1767" t="s">
        <v>10039</v>
      </c>
    </row>
    <row r="1768" spans="1:16" ht="14.4" x14ac:dyDescent="0.3">
      <c r="A1768">
        <v>231877</v>
      </c>
      <c r="B1768" t="e">
        <f t="shared" si="54"/>
        <v>#N/A</v>
      </c>
      <c r="C1768" s="185" t="e">
        <f t="shared" si="55"/>
        <v>#N/A</v>
      </c>
      <c r="D1768" s="407" t="e">
        <v>#N/A</v>
      </c>
      <c r="E1768" s="407" t="e">
        <v>#N/A</v>
      </c>
      <c r="F1768" s="407" t="e">
        <v>#N/A</v>
      </c>
      <c r="G1768" s="407" t="e">
        <v>#N/A</v>
      </c>
      <c r="H1768" s="460" t="e">
        <v>#N/A</v>
      </c>
      <c r="I1768" s="460" t="e">
        <v>#N/A</v>
      </c>
      <c r="J1768" s="460" t="e">
        <v>#N/A</v>
      </c>
      <c r="K1768" s="460" t="e">
        <v>#N/A</v>
      </c>
      <c r="L1768" s="459" t="e">
        <v>#N/A</v>
      </c>
      <c r="O1768" t="e">
        <v>#N/A</v>
      </c>
      <c r="P1768" t="e">
        <v>#N/A</v>
      </c>
    </row>
    <row r="1769" spans="1:16" ht="14.4" x14ac:dyDescent="0.3">
      <c r="A1769">
        <v>231879</v>
      </c>
      <c r="B1769" t="e">
        <f t="shared" si="54"/>
        <v>#N/A</v>
      </c>
      <c r="C1769" s="185" t="e">
        <f t="shared" si="55"/>
        <v>#N/A</v>
      </c>
      <c r="D1769" s="407" t="e">
        <v>#N/A</v>
      </c>
      <c r="E1769" s="407" t="e">
        <v>#N/A</v>
      </c>
      <c r="F1769" s="407" t="e">
        <v>#N/A</v>
      </c>
      <c r="G1769" s="407" t="e">
        <v>#N/A</v>
      </c>
      <c r="H1769" s="460" t="e">
        <v>#N/A</v>
      </c>
      <c r="I1769" s="460" t="e">
        <v>#N/A</v>
      </c>
      <c r="J1769" s="460" t="e">
        <v>#N/A</v>
      </c>
      <c r="K1769" s="460" t="e">
        <v>#N/A</v>
      </c>
      <c r="L1769" s="459" t="e">
        <v>#N/A</v>
      </c>
      <c r="O1769" t="e">
        <v>#N/A</v>
      </c>
      <c r="P1769" t="e">
        <v>#N/A</v>
      </c>
    </row>
    <row r="1770" spans="1:16" ht="14.4" x14ac:dyDescent="0.3">
      <c r="A1770">
        <v>231880</v>
      </c>
      <c r="B1770" t="e">
        <f t="shared" si="54"/>
        <v>#N/A</v>
      </c>
      <c r="C1770" s="185" t="e">
        <f t="shared" si="55"/>
        <v>#N/A</v>
      </c>
      <c r="D1770" s="407" t="e">
        <v>#N/A</v>
      </c>
      <c r="E1770" s="407" t="e">
        <v>#N/A</v>
      </c>
      <c r="F1770" s="407" t="e">
        <v>#N/A</v>
      </c>
      <c r="G1770" s="407" t="e">
        <v>#N/A</v>
      </c>
      <c r="H1770" s="460" t="e">
        <v>#N/A</v>
      </c>
      <c r="I1770" s="460" t="e">
        <v>#N/A</v>
      </c>
      <c r="J1770" s="460" t="e">
        <v>#N/A</v>
      </c>
      <c r="K1770" s="460" t="e">
        <v>#N/A</v>
      </c>
      <c r="L1770" s="459" t="e">
        <v>#N/A</v>
      </c>
      <c r="O1770" t="e">
        <v>#N/A</v>
      </c>
      <c r="P1770" t="e">
        <v>#N/A</v>
      </c>
    </row>
    <row r="1771" spans="1:16" ht="14.4" x14ac:dyDescent="0.3">
      <c r="A1771">
        <v>231888</v>
      </c>
      <c r="B1771" t="e">
        <f t="shared" si="54"/>
        <v>#N/A</v>
      </c>
      <c r="C1771" s="185" t="e">
        <f t="shared" si="55"/>
        <v>#N/A</v>
      </c>
      <c r="D1771" s="407" t="e">
        <v>#N/A</v>
      </c>
      <c r="E1771" s="407" t="e">
        <v>#N/A</v>
      </c>
      <c r="F1771" s="407" t="e">
        <v>#N/A</v>
      </c>
      <c r="G1771" s="407" t="e">
        <v>#N/A</v>
      </c>
      <c r="H1771" s="460" t="e">
        <v>#N/A</v>
      </c>
      <c r="I1771" s="460" t="e">
        <v>#N/A</v>
      </c>
      <c r="J1771" s="460" t="e">
        <v>#N/A</v>
      </c>
      <c r="K1771" s="460" t="e">
        <v>#N/A</v>
      </c>
      <c r="L1771" s="459" t="e">
        <v>#N/A</v>
      </c>
      <c r="O1771" t="e">
        <v>#N/A</v>
      </c>
      <c r="P1771" t="e">
        <v>#N/A</v>
      </c>
    </row>
    <row r="1772" spans="1:16" ht="14.4" x14ac:dyDescent="0.3">
      <c r="A1772">
        <v>231889</v>
      </c>
      <c r="B1772" t="e">
        <f t="shared" si="54"/>
        <v>#N/A</v>
      </c>
      <c r="C1772" s="185" t="e">
        <f t="shared" si="55"/>
        <v>#N/A</v>
      </c>
      <c r="D1772" s="407" t="e">
        <v>#N/A</v>
      </c>
      <c r="E1772" s="407" t="e">
        <v>#N/A</v>
      </c>
      <c r="F1772" s="407" t="e">
        <v>#N/A</v>
      </c>
      <c r="G1772" s="407" t="e">
        <v>#N/A</v>
      </c>
      <c r="H1772" s="460" t="e">
        <v>#N/A</v>
      </c>
      <c r="I1772" s="460" t="e">
        <v>#N/A</v>
      </c>
      <c r="J1772" s="460" t="e">
        <v>#N/A</v>
      </c>
      <c r="K1772" s="460" t="e">
        <v>#N/A</v>
      </c>
      <c r="L1772" s="459" t="e">
        <v>#N/A</v>
      </c>
      <c r="O1772" t="e">
        <v>#N/A</v>
      </c>
      <c r="P1772" t="e">
        <v>#N/A</v>
      </c>
    </row>
    <row r="1773" spans="1:16" ht="14.4" x14ac:dyDescent="0.3">
      <c r="A1773">
        <v>231890</v>
      </c>
      <c r="B1773" t="e">
        <f t="shared" si="54"/>
        <v>#N/A</v>
      </c>
      <c r="C1773" s="185" t="e">
        <f t="shared" si="55"/>
        <v>#N/A</v>
      </c>
      <c r="D1773" s="407" t="e">
        <v>#N/A</v>
      </c>
      <c r="E1773" s="407" t="e">
        <v>#N/A</v>
      </c>
      <c r="F1773" s="407" t="e">
        <v>#N/A</v>
      </c>
      <c r="G1773" s="407" t="e">
        <v>#N/A</v>
      </c>
      <c r="H1773" s="460" t="e">
        <v>#N/A</v>
      </c>
      <c r="I1773" s="460" t="e">
        <v>#N/A</v>
      </c>
      <c r="J1773" s="460" t="e">
        <v>#N/A</v>
      </c>
      <c r="K1773" s="460" t="e">
        <v>#N/A</v>
      </c>
      <c r="L1773" s="459" t="e">
        <v>#N/A</v>
      </c>
      <c r="O1773" t="e">
        <v>#N/A</v>
      </c>
      <c r="P1773" t="e">
        <v>#N/A</v>
      </c>
    </row>
    <row r="1774" spans="1:16" ht="14.4" x14ac:dyDescent="0.3">
      <c r="A1774">
        <v>231891</v>
      </c>
      <c r="B1774" t="e">
        <f t="shared" si="54"/>
        <v>#N/A</v>
      </c>
      <c r="C1774" s="185" t="e">
        <f t="shared" si="55"/>
        <v>#N/A</v>
      </c>
      <c r="D1774" s="407" t="e">
        <v>#N/A</v>
      </c>
      <c r="E1774" s="407" t="e">
        <v>#N/A</v>
      </c>
      <c r="F1774" s="407" t="e">
        <v>#N/A</v>
      </c>
      <c r="G1774" s="407" t="e">
        <v>#N/A</v>
      </c>
      <c r="H1774" s="460" t="e">
        <v>#N/A</v>
      </c>
      <c r="I1774" s="460" t="e">
        <v>#N/A</v>
      </c>
      <c r="J1774" s="460" t="e">
        <v>#N/A</v>
      </c>
      <c r="K1774" s="460" t="e">
        <v>#N/A</v>
      </c>
      <c r="L1774" s="459" t="e">
        <v>#N/A</v>
      </c>
      <c r="O1774" t="e">
        <v>#N/A</v>
      </c>
      <c r="P1774" t="e">
        <v>#N/A</v>
      </c>
    </row>
    <row r="1775" spans="1:16" ht="14.4" x14ac:dyDescent="0.3">
      <c r="A1775">
        <v>231892</v>
      </c>
      <c r="B1775" t="e">
        <f t="shared" si="54"/>
        <v>#N/A</v>
      </c>
      <c r="C1775" s="185" t="e">
        <f t="shared" si="55"/>
        <v>#N/A</v>
      </c>
      <c r="D1775" s="407" t="e">
        <v>#N/A</v>
      </c>
      <c r="E1775" s="407" t="e">
        <v>#N/A</v>
      </c>
      <c r="F1775" s="407" t="e">
        <v>#N/A</v>
      </c>
      <c r="G1775" s="407" t="e">
        <v>#N/A</v>
      </c>
      <c r="H1775" s="460" t="e">
        <v>#N/A</v>
      </c>
      <c r="I1775" s="460" t="e">
        <v>#N/A</v>
      </c>
      <c r="J1775" s="460" t="e">
        <v>#N/A</v>
      </c>
      <c r="K1775" s="460" t="e">
        <v>#N/A</v>
      </c>
      <c r="L1775" s="459" t="e">
        <v>#N/A</v>
      </c>
      <c r="O1775" t="e">
        <v>#N/A</v>
      </c>
      <c r="P1775" t="e">
        <v>#N/A</v>
      </c>
    </row>
    <row r="1776" spans="1:16" ht="14.4" x14ac:dyDescent="0.3">
      <c r="A1776">
        <v>231893</v>
      </c>
      <c r="B1776" t="e">
        <f t="shared" si="54"/>
        <v>#N/A</v>
      </c>
      <c r="C1776" s="185" t="e">
        <f t="shared" si="55"/>
        <v>#N/A</v>
      </c>
      <c r="D1776" s="407" t="e">
        <v>#N/A</v>
      </c>
      <c r="E1776" s="407" t="e">
        <v>#N/A</v>
      </c>
      <c r="F1776" s="407" t="e">
        <v>#N/A</v>
      </c>
      <c r="G1776" s="407" t="e">
        <v>#N/A</v>
      </c>
      <c r="H1776" s="460" t="e">
        <v>#N/A</v>
      </c>
      <c r="I1776" s="460" t="e">
        <v>#N/A</v>
      </c>
      <c r="J1776" s="460" t="e">
        <v>#N/A</v>
      </c>
      <c r="K1776" s="460" t="e">
        <v>#N/A</v>
      </c>
      <c r="L1776" s="459" t="e">
        <v>#N/A</v>
      </c>
      <c r="O1776" t="e">
        <v>#N/A</v>
      </c>
      <c r="P1776" t="e">
        <v>#N/A</v>
      </c>
    </row>
    <row r="1777" spans="1:16" ht="14.4" x14ac:dyDescent="0.3">
      <c r="A1777">
        <v>231947</v>
      </c>
      <c r="B1777" t="e">
        <f t="shared" si="54"/>
        <v>#N/A</v>
      </c>
      <c r="C1777" s="185" t="e">
        <f t="shared" si="55"/>
        <v>#N/A</v>
      </c>
      <c r="D1777" s="407" t="e">
        <v>#N/A</v>
      </c>
      <c r="E1777" s="407" t="e">
        <v>#N/A</v>
      </c>
      <c r="F1777" s="407" t="e">
        <v>#N/A</v>
      </c>
      <c r="G1777" s="407" t="e">
        <v>#N/A</v>
      </c>
      <c r="H1777" s="460" t="e">
        <v>#N/A</v>
      </c>
      <c r="I1777" s="460" t="e">
        <v>#N/A</v>
      </c>
      <c r="J1777" s="460" t="e">
        <v>#N/A</v>
      </c>
      <c r="K1777" s="460" t="e">
        <v>#N/A</v>
      </c>
      <c r="L1777" s="459" t="e">
        <v>#N/A</v>
      </c>
      <c r="O1777" t="e">
        <v>#N/A</v>
      </c>
      <c r="P1777" t="e">
        <v>#N/A</v>
      </c>
    </row>
    <row r="1778" spans="1:16" ht="14.4" x14ac:dyDescent="0.3">
      <c r="A1778">
        <v>231949</v>
      </c>
      <c r="B1778" t="e">
        <f t="shared" si="54"/>
        <v>#N/A</v>
      </c>
      <c r="C1778" s="185" t="e">
        <f t="shared" si="55"/>
        <v>#N/A</v>
      </c>
      <c r="D1778" s="407" t="e">
        <v>#N/A</v>
      </c>
      <c r="E1778" s="407" t="e">
        <v>#N/A</v>
      </c>
      <c r="F1778" s="407" t="e">
        <v>#N/A</v>
      </c>
      <c r="G1778" s="407" t="e">
        <v>#N/A</v>
      </c>
      <c r="H1778" s="460" t="e">
        <v>#N/A</v>
      </c>
      <c r="I1778" s="460" t="e">
        <v>#N/A</v>
      </c>
      <c r="J1778" s="460" t="e">
        <v>#N/A</v>
      </c>
      <c r="K1778" s="460" t="e">
        <v>#N/A</v>
      </c>
      <c r="L1778" s="459" t="e">
        <v>#N/A</v>
      </c>
      <c r="O1778" t="e">
        <v>#N/A</v>
      </c>
      <c r="P1778" t="e">
        <v>#N/A</v>
      </c>
    </row>
    <row r="1779" spans="1:16" ht="14.4" x14ac:dyDescent="0.3">
      <c r="A1779">
        <v>231950</v>
      </c>
      <c r="B1779" t="e">
        <f t="shared" si="54"/>
        <v>#N/A</v>
      </c>
      <c r="C1779" s="185" t="e">
        <f t="shared" si="55"/>
        <v>#N/A</v>
      </c>
      <c r="D1779" s="407" t="e">
        <v>#N/A</v>
      </c>
      <c r="E1779" s="407" t="e">
        <v>#N/A</v>
      </c>
      <c r="F1779" s="407" t="e">
        <v>#N/A</v>
      </c>
      <c r="G1779" s="407" t="e">
        <v>#N/A</v>
      </c>
      <c r="H1779" s="460" t="e">
        <v>#N/A</v>
      </c>
      <c r="I1779" s="460" t="e">
        <v>#N/A</v>
      </c>
      <c r="J1779" s="460" t="e">
        <v>#N/A</v>
      </c>
      <c r="K1779" s="460" t="e">
        <v>#N/A</v>
      </c>
      <c r="L1779" s="459" t="e">
        <v>#N/A</v>
      </c>
      <c r="O1779" t="e">
        <v>#N/A</v>
      </c>
      <c r="P1779" t="e">
        <v>#N/A</v>
      </c>
    </row>
    <row r="1780" spans="1:16" ht="14.4" x14ac:dyDescent="0.3">
      <c r="A1780">
        <v>231954</v>
      </c>
      <c r="B1780" t="e">
        <f t="shared" si="54"/>
        <v>#N/A</v>
      </c>
      <c r="C1780" s="185" t="e">
        <f t="shared" si="55"/>
        <v>#N/A</v>
      </c>
      <c r="D1780" s="407" t="e">
        <v>#N/A</v>
      </c>
      <c r="E1780" s="407" t="e">
        <v>#N/A</v>
      </c>
      <c r="F1780" s="407" t="e">
        <v>#N/A</v>
      </c>
      <c r="G1780" s="407" t="e">
        <v>#N/A</v>
      </c>
      <c r="H1780" s="460" t="e">
        <v>#N/A</v>
      </c>
      <c r="I1780" s="460" t="e">
        <v>#N/A</v>
      </c>
      <c r="J1780" s="460" t="e">
        <v>#N/A</v>
      </c>
      <c r="K1780" s="460" t="e">
        <v>#N/A</v>
      </c>
      <c r="L1780" s="459" t="e">
        <v>#N/A</v>
      </c>
      <c r="O1780" t="e">
        <v>#N/A</v>
      </c>
      <c r="P1780" t="e">
        <v>#N/A</v>
      </c>
    </row>
    <row r="1781" spans="1:16" ht="14.4" x14ac:dyDescent="0.3">
      <c r="A1781">
        <v>231968</v>
      </c>
      <c r="B1781" t="e">
        <f t="shared" si="54"/>
        <v>#N/A</v>
      </c>
      <c r="C1781" s="185" t="e">
        <f t="shared" si="55"/>
        <v>#N/A</v>
      </c>
      <c r="D1781" s="407" t="e">
        <v>#N/A</v>
      </c>
      <c r="E1781" s="407" t="e">
        <v>#N/A</v>
      </c>
      <c r="F1781" s="407" t="e">
        <v>#N/A</v>
      </c>
      <c r="G1781" s="407" t="e">
        <v>#N/A</v>
      </c>
      <c r="H1781" s="460" t="e">
        <v>#N/A</v>
      </c>
      <c r="I1781" s="460" t="e">
        <v>#N/A</v>
      </c>
      <c r="J1781" s="460" t="e">
        <v>#N/A</v>
      </c>
      <c r="K1781" s="460" t="e">
        <v>#N/A</v>
      </c>
      <c r="L1781" s="459" t="e">
        <v>#N/A</v>
      </c>
      <c r="O1781" t="e">
        <v>#N/A</v>
      </c>
      <c r="P1781" t="e">
        <v>#N/A</v>
      </c>
    </row>
    <row r="1782" spans="1:16" ht="14.4" x14ac:dyDescent="0.3">
      <c r="A1782">
        <v>231991</v>
      </c>
      <c r="B1782" t="e">
        <f t="shared" si="54"/>
        <v>#N/A</v>
      </c>
      <c r="C1782" s="185" t="e">
        <f t="shared" si="55"/>
        <v>#N/A</v>
      </c>
      <c r="D1782" s="407" t="e">
        <v>#N/A</v>
      </c>
      <c r="E1782" s="407" t="e">
        <v>#N/A</v>
      </c>
      <c r="F1782" s="407" t="e">
        <v>#N/A</v>
      </c>
      <c r="G1782" s="407" t="e">
        <v>#N/A</v>
      </c>
      <c r="H1782" s="460" t="e">
        <v>#N/A</v>
      </c>
      <c r="I1782" s="460" t="e">
        <v>#N/A</v>
      </c>
      <c r="J1782" s="460" t="e">
        <v>#N/A</v>
      </c>
      <c r="K1782" s="460" t="e">
        <v>#N/A</v>
      </c>
      <c r="L1782" s="459" t="e">
        <v>#N/A</v>
      </c>
      <c r="O1782" t="e">
        <v>#N/A</v>
      </c>
      <c r="P1782" t="e">
        <v>#N/A</v>
      </c>
    </row>
    <row r="1783" spans="1:16" ht="14.4" x14ac:dyDescent="0.3">
      <c r="A1783">
        <v>232699</v>
      </c>
      <c r="B1783" t="str">
        <f t="shared" si="54"/>
        <v>S-S06NN tor dolny 2 m srebrny</v>
      </c>
      <c r="C1783" s="185" t="e">
        <f t="shared" si="55"/>
        <v>#N/A</v>
      </c>
      <c r="D1783" s="407" t="s">
        <v>8093</v>
      </c>
      <c r="E1783" s="407" t="s">
        <v>8094</v>
      </c>
      <c r="F1783" s="407" t="s">
        <v>8095</v>
      </c>
      <c r="G1783" s="407" t="s">
        <v>8096</v>
      </c>
      <c r="H1783" s="460" t="e">
        <v>#N/A</v>
      </c>
      <c r="I1783" s="460" t="e">
        <v>#N/A</v>
      </c>
      <c r="J1783" s="460" t="e">
        <v>#N/A</v>
      </c>
      <c r="K1783" s="460" t="e">
        <v>#N/A</v>
      </c>
      <c r="L1783" s="459" t="e">
        <v>#N/A</v>
      </c>
      <c r="O1783">
        <v>0</v>
      </c>
      <c r="P1783" t="s">
        <v>10040</v>
      </c>
    </row>
    <row r="1784" spans="1:16" ht="14.4" x14ac:dyDescent="0.3">
      <c r="A1784">
        <v>232700</v>
      </c>
      <c r="B1784" t="str">
        <f t="shared" si="54"/>
        <v>S-S06N profl maskujący (maskownica) 2m srebrny</v>
      </c>
      <c r="C1784" s="185" t="e">
        <f t="shared" si="55"/>
        <v>#N/A</v>
      </c>
      <c r="D1784" s="407" t="s">
        <v>8097</v>
      </c>
      <c r="E1784" s="407" t="s">
        <v>8098</v>
      </c>
      <c r="F1784" s="407" t="s">
        <v>8099</v>
      </c>
      <c r="G1784" s="407" t="s">
        <v>8100</v>
      </c>
      <c r="H1784" s="460" t="e">
        <v>#N/A</v>
      </c>
      <c r="I1784" s="460" t="e">
        <v>#N/A</v>
      </c>
      <c r="J1784" s="460" t="e">
        <v>#N/A</v>
      </c>
      <c r="K1784" s="460" t="e">
        <v>#N/A</v>
      </c>
      <c r="L1784" s="459" t="e">
        <v>#N/A</v>
      </c>
      <c r="O1784">
        <v>0</v>
      </c>
      <c r="P1784" t="s">
        <v>10041</v>
      </c>
    </row>
    <row r="1785" spans="1:16" ht="14.4" x14ac:dyDescent="0.3">
      <c r="A1785">
        <v>232702</v>
      </c>
      <c r="B1785" t="str">
        <f t="shared" si="54"/>
        <v>S-S06N profl maskujący 3,5m srebrny elox</v>
      </c>
      <c r="C1785" s="185" t="e">
        <f t="shared" si="55"/>
        <v>#N/A</v>
      </c>
      <c r="D1785" s="407" t="s">
        <v>8101</v>
      </c>
      <c r="E1785" s="407" t="s">
        <v>8102</v>
      </c>
      <c r="F1785" s="407" t="s">
        <v>8103</v>
      </c>
      <c r="G1785" s="407" t="s">
        <v>8104</v>
      </c>
      <c r="H1785" s="460" t="e">
        <v>#N/A</v>
      </c>
      <c r="I1785" s="460" t="e">
        <v>#N/A</v>
      </c>
      <c r="J1785" s="460" t="e">
        <v>#N/A</v>
      </c>
      <c r="K1785" s="460" t="e">
        <v>#N/A</v>
      </c>
      <c r="L1785" s="459" t="e">
        <v>#N/A</v>
      </c>
      <c r="O1785">
        <v>0</v>
      </c>
      <c r="P1785" t="s">
        <v>10042</v>
      </c>
    </row>
    <row r="1786" spans="1:16" ht="14.4" x14ac:dyDescent="0.3">
      <c r="A1786">
        <v>233016</v>
      </c>
      <c r="B1786" t="str">
        <f t="shared" si="54"/>
        <v>SEVROLL Tor górny Gemini 3 m, biały matowy</v>
      </c>
      <c r="C1786" s="185">
        <f t="shared" si="55"/>
        <v>131.79419999999999</v>
      </c>
      <c r="D1786" s="407" t="s">
        <v>1480</v>
      </c>
      <c r="E1786" s="407" t="s">
        <v>1910</v>
      </c>
      <c r="F1786" s="407" t="s">
        <v>5981</v>
      </c>
      <c r="G1786" s="407" t="s">
        <v>5982</v>
      </c>
      <c r="H1786" s="460">
        <v>903.23748000000001</v>
      </c>
      <c r="I1786" s="460">
        <v>32.476199999999999</v>
      </c>
      <c r="J1786" s="460">
        <v>131.79419999999999</v>
      </c>
      <c r="K1786" s="460">
        <v>12499.626490000001</v>
      </c>
      <c r="L1786" s="459" t="s">
        <v>538</v>
      </c>
      <c r="O1786">
        <v>34.341999999999999</v>
      </c>
      <c r="P1786" t="s">
        <v>10043</v>
      </c>
    </row>
    <row r="1787" spans="1:16" ht="14.4" x14ac:dyDescent="0.3">
      <c r="A1787">
        <v>233020</v>
      </c>
      <c r="B1787" t="e">
        <f t="shared" si="54"/>
        <v>#N/A</v>
      </c>
      <c r="C1787" s="185" t="e">
        <f t="shared" si="55"/>
        <v>#N/A</v>
      </c>
      <c r="D1787" s="407" t="e">
        <v>#N/A</v>
      </c>
      <c r="E1787" s="407" t="e">
        <v>#N/A</v>
      </c>
      <c r="F1787" s="407" t="e">
        <v>#N/A</v>
      </c>
      <c r="G1787" s="407" t="e">
        <v>#N/A</v>
      </c>
      <c r="H1787" s="460" t="e">
        <v>#N/A</v>
      </c>
      <c r="I1787" s="460" t="e">
        <v>#N/A</v>
      </c>
      <c r="J1787" s="460" t="e">
        <v>#N/A</v>
      </c>
      <c r="K1787" s="460" t="e">
        <v>#N/A</v>
      </c>
      <c r="L1787" s="459" t="e">
        <v>#N/A</v>
      </c>
      <c r="O1787" t="e">
        <v>#N/A</v>
      </c>
      <c r="P1787" t="e">
        <v>#N/A</v>
      </c>
    </row>
    <row r="1788" spans="1:16" ht="14.4" x14ac:dyDescent="0.3">
      <c r="A1788">
        <v>233021</v>
      </c>
      <c r="B1788" t="e">
        <f t="shared" si="54"/>
        <v>#N/A</v>
      </c>
      <c r="C1788" s="185" t="e">
        <f t="shared" si="55"/>
        <v>#N/A</v>
      </c>
      <c r="D1788" s="407" t="e">
        <v>#N/A</v>
      </c>
      <c r="E1788" s="407" t="e">
        <v>#N/A</v>
      </c>
      <c r="F1788" s="407" t="e">
        <v>#N/A</v>
      </c>
      <c r="G1788" s="407" t="e">
        <v>#N/A</v>
      </c>
      <c r="H1788" s="460" t="e">
        <v>#N/A</v>
      </c>
      <c r="I1788" s="460" t="e">
        <v>#N/A</v>
      </c>
      <c r="J1788" s="460" t="e">
        <v>#N/A</v>
      </c>
      <c r="K1788" s="460" t="e">
        <v>#N/A</v>
      </c>
      <c r="L1788" s="459" t="e">
        <v>#N/A</v>
      </c>
      <c r="O1788" t="e">
        <v>#N/A</v>
      </c>
      <c r="P1788" t="e">
        <v>#N/A</v>
      </c>
    </row>
    <row r="1789" spans="1:16" ht="14.4" x14ac:dyDescent="0.3">
      <c r="A1789">
        <v>233022</v>
      </c>
      <c r="B1789" t="e">
        <f t="shared" si="54"/>
        <v>#N/A</v>
      </c>
      <c r="C1789" s="185" t="e">
        <f t="shared" si="55"/>
        <v>#N/A</v>
      </c>
      <c r="D1789" s="407" t="e">
        <v>#N/A</v>
      </c>
      <c r="E1789" s="407" t="e">
        <v>#N/A</v>
      </c>
      <c r="F1789" s="407" t="e">
        <v>#N/A</v>
      </c>
      <c r="G1789" s="407" t="e">
        <v>#N/A</v>
      </c>
      <c r="H1789" s="460" t="e">
        <v>#N/A</v>
      </c>
      <c r="I1789" s="460" t="e">
        <v>#N/A</v>
      </c>
      <c r="J1789" s="460" t="e">
        <v>#N/A</v>
      </c>
      <c r="K1789" s="460" t="e">
        <v>#N/A</v>
      </c>
      <c r="L1789" s="459" t="e">
        <v>#N/A</v>
      </c>
      <c r="O1789" t="e">
        <v>#N/A</v>
      </c>
      <c r="P1789" t="e">
        <v>#N/A</v>
      </c>
    </row>
    <row r="1790" spans="1:16" ht="14.4" x14ac:dyDescent="0.3">
      <c r="A1790">
        <v>233502</v>
      </c>
      <c r="B1790" t="str">
        <f t="shared" si="54"/>
        <v>S-komplet okuć S55B</v>
      </c>
      <c r="C1790" s="185">
        <f t="shared" si="55"/>
        <v>56.740940000000002</v>
      </c>
      <c r="D1790" s="407" t="s">
        <v>8105</v>
      </c>
      <c r="E1790" s="407" t="s">
        <v>8106</v>
      </c>
      <c r="F1790" s="407" t="s">
        <v>8107</v>
      </c>
      <c r="G1790" s="407" t="s">
        <v>8108</v>
      </c>
      <c r="H1790" s="460">
        <v>301.35000000000002</v>
      </c>
      <c r="I1790" s="460">
        <v>12.86153</v>
      </c>
      <c r="J1790" s="460">
        <v>56.740940000000002</v>
      </c>
      <c r="K1790" s="460" t="e">
        <v>#N/A</v>
      </c>
      <c r="L1790" s="459" t="s">
        <v>537</v>
      </c>
      <c r="O1790">
        <v>10.83942</v>
      </c>
      <c r="P1790" t="s">
        <v>10044</v>
      </c>
    </row>
    <row r="1791" spans="1:16" ht="14.4" x14ac:dyDescent="0.3">
      <c r="A1791">
        <v>234164</v>
      </c>
      <c r="B1791" t="str">
        <f t="shared" si="54"/>
        <v>IC-uszczelka do szkła 10/6mm</v>
      </c>
      <c r="C1791" s="185" t="e">
        <f t="shared" si="55"/>
        <v>#N/A</v>
      </c>
      <c r="D1791" s="407" t="s">
        <v>8109</v>
      </c>
      <c r="E1791" s="407" t="s">
        <v>8110</v>
      </c>
      <c r="F1791" s="407" t="s">
        <v>8111</v>
      </c>
      <c r="G1791" s="407" t="s">
        <v>8112</v>
      </c>
      <c r="H1791" s="460" t="e">
        <v>#N/A</v>
      </c>
      <c r="I1791" s="460" t="e">
        <v>#N/A</v>
      </c>
      <c r="J1791" s="460" t="e">
        <v>#N/A</v>
      </c>
      <c r="K1791" s="460" t="e">
        <v>#N/A</v>
      </c>
      <c r="L1791" s="459" t="e">
        <v>#N/A</v>
      </c>
      <c r="O1791">
        <v>0</v>
      </c>
      <c r="P1791" t="s">
        <v>10045</v>
      </c>
    </row>
    <row r="1792" spans="1:16" ht="14.4" x14ac:dyDescent="0.3">
      <c r="A1792">
        <v>234222</v>
      </c>
      <c r="B1792" t="str">
        <f t="shared" si="54"/>
        <v>IC-tor górny prosty 2m szampański</v>
      </c>
      <c r="C1792" s="185" t="e">
        <f t="shared" si="55"/>
        <v>#N/A</v>
      </c>
      <c r="D1792" s="407" t="s">
        <v>8113</v>
      </c>
      <c r="E1792" s="407" t="s">
        <v>8114</v>
      </c>
      <c r="F1792" s="407" t="s">
        <v>8115</v>
      </c>
      <c r="G1792" s="407" t="s">
        <v>8116</v>
      </c>
      <c r="H1792" s="460" t="e">
        <v>#N/A</v>
      </c>
      <c r="I1792" s="460" t="e">
        <v>#N/A</v>
      </c>
      <c r="J1792" s="460" t="e">
        <v>#N/A</v>
      </c>
      <c r="K1792" s="460" t="e">
        <v>#N/A</v>
      </c>
      <c r="L1792" s="459" t="e">
        <v>#N/A</v>
      </c>
      <c r="O1792">
        <v>0</v>
      </c>
      <c r="P1792" t="s">
        <v>10046</v>
      </c>
    </row>
    <row r="1793" spans="1:16" ht="14.4" x14ac:dyDescent="0.3">
      <c r="A1793">
        <v>234223</v>
      </c>
      <c r="B1793" t="str">
        <f t="shared" si="54"/>
        <v>IC-tor górny prosty 3m szampański</v>
      </c>
      <c r="C1793" s="185" t="e">
        <f t="shared" si="55"/>
        <v>#N/A</v>
      </c>
      <c r="D1793" s="407" t="s">
        <v>8117</v>
      </c>
      <c r="E1793" s="407" t="s">
        <v>8118</v>
      </c>
      <c r="F1793" s="407" t="s">
        <v>8119</v>
      </c>
      <c r="G1793" s="407" t="s">
        <v>8120</v>
      </c>
      <c r="H1793" s="460" t="e">
        <v>#N/A</v>
      </c>
      <c r="I1793" s="460" t="e">
        <v>#N/A</v>
      </c>
      <c r="J1793" s="460" t="e">
        <v>#N/A</v>
      </c>
      <c r="K1793" s="460" t="e">
        <v>#N/A</v>
      </c>
      <c r="L1793" s="459" t="e">
        <v>#N/A</v>
      </c>
      <c r="O1793">
        <v>0</v>
      </c>
      <c r="P1793" t="s">
        <v>10047</v>
      </c>
    </row>
    <row r="1794" spans="1:16" ht="14.4" x14ac:dyDescent="0.3">
      <c r="A1794">
        <v>234224</v>
      </c>
      <c r="B1794" t="str">
        <f t="shared" si="54"/>
        <v>IC-tor górny prosty 5m szampański</v>
      </c>
      <c r="C1794" s="185" t="e">
        <f t="shared" si="55"/>
        <v>#N/A</v>
      </c>
      <c r="D1794" s="407" t="s">
        <v>8121</v>
      </c>
      <c r="E1794" s="407" t="s">
        <v>8122</v>
      </c>
      <c r="F1794" s="407" t="s">
        <v>8123</v>
      </c>
      <c r="G1794" s="407" t="s">
        <v>8124</v>
      </c>
      <c r="H1794" s="460" t="e">
        <v>#N/A</v>
      </c>
      <c r="I1794" s="460" t="e">
        <v>#N/A</v>
      </c>
      <c r="J1794" s="460" t="e">
        <v>#N/A</v>
      </c>
      <c r="K1794" s="460" t="e">
        <v>#N/A</v>
      </c>
      <c r="L1794" s="459" t="e">
        <v>#N/A</v>
      </c>
      <c r="O1794">
        <v>0</v>
      </c>
      <c r="P1794" t="s">
        <v>10048</v>
      </c>
    </row>
    <row r="1795" spans="1:16" ht="14.4" x14ac:dyDescent="0.3">
      <c r="A1795">
        <v>234227</v>
      </c>
      <c r="B1795" t="str">
        <f t="shared" si="54"/>
        <v>IC-tor dolny prosty 2m szampański</v>
      </c>
      <c r="C1795" s="185" t="e">
        <f t="shared" si="55"/>
        <v>#N/A</v>
      </c>
      <c r="D1795" s="407" t="s">
        <v>8125</v>
      </c>
      <c r="E1795" s="407" t="s">
        <v>8126</v>
      </c>
      <c r="F1795" s="407" t="s">
        <v>8127</v>
      </c>
      <c r="G1795" s="407" t="s">
        <v>8128</v>
      </c>
      <c r="H1795" s="460" t="e">
        <v>#N/A</v>
      </c>
      <c r="I1795" s="460" t="e">
        <v>#N/A</v>
      </c>
      <c r="J1795" s="460" t="e">
        <v>#N/A</v>
      </c>
      <c r="K1795" s="460" t="e">
        <v>#N/A</v>
      </c>
      <c r="L1795" s="459" t="e">
        <v>#N/A</v>
      </c>
      <c r="O1795">
        <v>0</v>
      </c>
      <c r="P1795" t="s">
        <v>10049</v>
      </c>
    </row>
    <row r="1796" spans="1:16" ht="14.4" x14ac:dyDescent="0.3">
      <c r="A1796">
        <v>234228</v>
      </c>
      <c r="B1796" t="str">
        <f t="shared" ref="B1796:B1859" si="56">IF($A$2=1,D1796,IF($A$2=2,F1796,IF($A$2=3,G1796,IF($A$2=4,E1796,IF($A$2&gt;4,P1796,"zadat jazyk")))))</f>
        <v>IC-tor dolny prosty 3m szampański</v>
      </c>
      <c r="C1796" s="185" t="e">
        <f t="shared" ref="C1796:C1859" si="57">IF($A$2=1,H1796,IF($A$2=2,I1796,IF($A$2=3,J1796,IF($A$2=4,K1796,IF($A$2&gt;4,O1796,"zadat jazyk")))))</f>
        <v>#N/A</v>
      </c>
      <c r="D1796" s="407" t="s">
        <v>8129</v>
      </c>
      <c r="E1796" s="407" t="s">
        <v>8130</v>
      </c>
      <c r="F1796" s="407" t="s">
        <v>8131</v>
      </c>
      <c r="G1796" s="407" t="s">
        <v>8132</v>
      </c>
      <c r="H1796" s="460" t="e">
        <v>#N/A</v>
      </c>
      <c r="I1796" s="460" t="e">
        <v>#N/A</v>
      </c>
      <c r="J1796" s="460" t="e">
        <v>#N/A</v>
      </c>
      <c r="K1796" s="460" t="e">
        <v>#N/A</v>
      </c>
      <c r="L1796" s="459" t="e">
        <v>#N/A</v>
      </c>
      <c r="O1796">
        <v>0</v>
      </c>
      <c r="P1796" t="s">
        <v>10050</v>
      </c>
    </row>
    <row r="1797" spans="1:16" ht="14.4" x14ac:dyDescent="0.3">
      <c r="A1797">
        <v>234229</v>
      </c>
      <c r="B1797" t="str">
        <f t="shared" si="56"/>
        <v>IC-tor dolny prosty 5m szampański</v>
      </c>
      <c r="C1797" s="185" t="e">
        <f t="shared" si="57"/>
        <v>#N/A</v>
      </c>
      <c r="D1797" s="407" t="s">
        <v>8133</v>
      </c>
      <c r="E1797" s="407" t="s">
        <v>8134</v>
      </c>
      <c r="F1797" s="407" t="s">
        <v>8135</v>
      </c>
      <c r="G1797" s="407" t="s">
        <v>8136</v>
      </c>
      <c r="H1797" s="460" t="e">
        <v>#N/A</v>
      </c>
      <c r="I1797" s="460" t="e">
        <v>#N/A</v>
      </c>
      <c r="J1797" s="460" t="e">
        <v>#N/A</v>
      </c>
      <c r="K1797" s="460" t="e">
        <v>#N/A</v>
      </c>
      <c r="L1797" s="459" t="e">
        <v>#N/A</v>
      </c>
      <c r="O1797">
        <v>0</v>
      </c>
      <c r="P1797" t="s">
        <v>10051</v>
      </c>
    </row>
    <row r="1798" spans="1:16" ht="14.4" x14ac:dyDescent="0.3">
      <c r="A1798">
        <v>234233</v>
      </c>
      <c r="B1798" t="str">
        <f t="shared" si="56"/>
        <v>IC-rączka Comfort 12mm 2,6m  szampan</v>
      </c>
      <c r="C1798" s="185" t="e">
        <f t="shared" si="57"/>
        <v>#N/A</v>
      </c>
      <c r="D1798" s="407" t="s">
        <v>8137</v>
      </c>
      <c r="E1798" s="407" t="s">
        <v>8138</v>
      </c>
      <c r="F1798" s="407" t="s">
        <v>8139</v>
      </c>
      <c r="G1798" s="407" t="s">
        <v>8140</v>
      </c>
      <c r="H1798" s="460" t="e">
        <v>#N/A</v>
      </c>
      <c r="I1798" s="460" t="e">
        <v>#N/A</v>
      </c>
      <c r="J1798" s="460" t="e">
        <v>#N/A</v>
      </c>
      <c r="K1798" s="460" t="e">
        <v>#N/A</v>
      </c>
      <c r="L1798" s="459" t="e">
        <v>#N/A</v>
      </c>
      <c r="O1798">
        <v>0</v>
      </c>
      <c r="P1798" t="s">
        <v>10052</v>
      </c>
    </row>
    <row r="1799" spans="1:16" ht="14.4" x14ac:dyDescent="0.3">
      <c r="A1799">
        <v>234263</v>
      </c>
      <c r="B1799" t="e">
        <f t="shared" si="56"/>
        <v>#N/A</v>
      </c>
      <c r="C1799" s="185" t="e">
        <f t="shared" si="57"/>
        <v>#N/A</v>
      </c>
      <c r="D1799" s="407" t="e">
        <v>#N/A</v>
      </c>
      <c r="E1799" s="407" t="e">
        <v>#N/A</v>
      </c>
      <c r="F1799" s="407" t="e">
        <v>#N/A</v>
      </c>
      <c r="G1799" s="407" t="e">
        <v>#N/A</v>
      </c>
      <c r="H1799" s="460" t="e">
        <v>#N/A</v>
      </c>
      <c r="I1799" s="460" t="e">
        <v>#N/A</v>
      </c>
      <c r="J1799" s="460" t="e">
        <v>#N/A</v>
      </c>
      <c r="K1799" s="460" t="e">
        <v>#N/A</v>
      </c>
      <c r="L1799" s="459" t="e">
        <v>#N/A</v>
      </c>
      <c r="O1799" t="e">
        <v>#N/A</v>
      </c>
      <c r="P1799" t="e">
        <v>#N/A</v>
      </c>
    </row>
    <row r="1800" spans="1:16" ht="14.4" x14ac:dyDescent="0.3">
      <c r="A1800">
        <v>234285</v>
      </c>
      <c r="B1800" t="e">
        <f t="shared" si="56"/>
        <v>#N/A</v>
      </c>
      <c r="C1800" s="185" t="e">
        <f t="shared" si="57"/>
        <v>#N/A</v>
      </c>
      <c r="D1800" s="407" t="e">
        <v>#N/A</v>
      </c>
      <c r="E1800" s="407" t="e">
        <v>#N/A</v>
      </c>
      <c r="F1800" s="407" t="e">
        <v>#N/A</v>
      </c>
      <c r="G1800" s="407" t="e">
        <v>#N/A</v>
      </c>
      <c r="H1800" s="460" t="e">
        <v>#N/A</v>
      </c>
      <c r="I1800" s="460" t="e">
        <v>#N/A</v>
      </c>
      <c r="J1800" s="460" t="e">
        <v>#N/A</v>
      </c>
      <c r="K1800" s="460" t="e">
        <v>#N/A</v>
      </c>
      <c r="L1800" s="459" t="e">
        <v>#N/A</v>
      </c>
      <c r="O1800" t="e">
        <v>#N/A</v>
      </c>
      <c r="P1800" t="e">
        <v>#N/A</v>
      </c>
    </row>
    <row r="1801" spans="1:16" ht="14.4" x14ac:dyDescent="0.3">
      <c r="A1801">
        <v>234286</v>
      </c>
      <c r="B1801" t="e">
        <f t="shared" si="56"/>
        <v>#N/A</v>
      </c>
      <c r="C1801" s="185" t="e">
        <f t="shared" si="57"/>
        <v>#N/A</v>
      </c>
      <c r="D1801" s="407" t="e">
        <v>#N/A</v>
      </c>
      <c r="E1801" s="407" t="e">
        <v>#N/A</v>
      </c>
      <c r="F1801" s="407" t="e">
        <v>#N/A</v>
      </c>
      <c r="G1801" s="407" t="e">
        <v>#N/A</v>
      </c>
      <c r="H1801" s="460" t="e">
        <v>#N/A</v>
      </c>
      <c r="I1801" s="460" t="e">
        <v>#N/A</v>
      </c>
      <c r="J1801" s="460" t="e">
        <v>#N/A</v>
      </c>
      <c r="K1801" s="460" t="e">
        <v>#N/A</v>
      </c>
      <c r="L1801" s="459" t="e">
        <v>#N/A</v>
      </c>
      <c r="O1801" t="e">
        <v>#N/A</v>
      </c>
      <c r="P1801" t="e">
        <v>#N/A</v>
      </c>
    </row>
    <row r="1802" spans="1:16" ht="14.4" x14ac:dyDescent="0.3">
      <c r="A1802">
        <v>234287</v>
      </c>
      <c r="B1802" t="e">
        <f t="shared" si="56"/>
        <v>#N/A</v>
      </c>
      <c r="C1802" s="185" t="e">
        <f t="shared" si="57"/>
        <v>#N/A</v>
      </c>
      <c r="D1802" s="407" t="e">
        <v>#N/A</v>
      </c>
      <c r="E1802" s="407" t="e">
        <v>#N/A</v>
      </c>
      <c r="F1802" s="407" t="e">
        <v>#N/A</v>
      </c>
      <c r="G1802" s="407" t="e">
        <v>#N/A</v>
      </c>
      <c r="H1802" s="460" t="e">
        <v>#N/A</v>
      </c>
      <c r="I1802" s="460" t="e">
        <v>#N/A</v>
      </c>
      <c r="J1802" s="460" t="e">
        <v>#N/A</v>
      </c>
      <c r="K1802" s="460" t="e">
        <v>#N/A</v>
      </c>
      <c r="L1802" s="459" t="e">
        <v>#N/A</v>
      </c>
      <c r="O1802" t="e">
        <v>#N/A</v>
      </c>
      <c r="P1802" t="e">
        <v>#N/A</v>
      </c>
    </row>
    <row r="1803" spans="1:16" ht="14.4" x14ac:dyDescent="0.3">
      <c r="A1803">
        <v>234288</v>
      </c>
      <c r="B1803" t="e">
        <f t="shared" si="56"/>
        <v>#N/A</v>
      </c>
      <c r="C1803" s="185" t="e">
        <f t="shared" si="57"/>
        <v>#N/A</v>
      </c>
      <c r="D1803" s="407" t="e">
        <v>#N/A</v>
      </c>
      <c r="E1803" s="407" t="e">
        <v>#N/A</v>
      </c>
      <c r="F1803" s="407" t="e">
        <v>#N/A</v>
      </c>
      <c r="G1803" s="407" t="e">
        <v>#N/A</v>
      </c>
      <c r="H1803" s="460" t="e">
        <v>#N/A</v>
      </c>
      <c r="I1803" s="460" t="e">
        <v>#N/A</v>
      </c>
      <c r="J1803" s="460" t="e">
        <v>#N/A</v>
      </c>
      <c r="K1803" s="460" t="e">
        <v>#N/A</v>
      </c>
      <c r="L1803" s="459" t="e">
        <v>#N/A</v>
      </c>
      <c r="O1803" t="e">
        <v>#N/A</v>
      </c>
      <c r="P1803" t="e">
        <v>#N/A</v>
      </c>
    </row>
    <row r="1804" spans="1:16" ht="14.4" x14ac:dyDescent="0.3">
      <c r="A1804">
        <v>234289</v>
      </c>
      <c r="B1804" t="e">
        <f t="shared" si="56"/>
        <v>#N/A</v>
      </c>
      <c r="C1804" s="185" t="e">
        <f t="shared" si="57"/>
        <v>#N/A</v>
      </c>
      <c r="D1804" s="407" t="e">
        <v>#N/A</v>
      </c>
      <c r="E1804" s="407" t="e">
        <v>#N/A</v>
      </c>
      <c r="F1804" s="407" t="e">
        <v>#N/A</v>
      </c>
      <c r="G1804" s="407" t="e">
        <v>#N/A</v>
      </c>
      <c r="H1804" s="460" t="e">
        <v>#N/A</v>
      </c>
      <c r="I1804" s="460" t="e">
        <v>#N/A</v>
      </c>
      <c r="J1804" s="460" t="e">
        <v>#N/A</v>
      </c>
      <c r="K1804" s="460" t="e">
        <v>#N/A</v>
      </c>
      <c r="L1804" s="459" t="e">
        <v>#N/A</v>
      </c>
      <c r="O1804" t="e">
        <v>#N/A</v>
      </c>
      <c r="P1804" t="e">
        <v>#N/A</v>
      </c>
    </row>
    <row r="1805" spans="1:16" ht="14.4" x14ac:dyDescent="0.3">
      <c r="A1805">
        <v>234643</v>
      </c>
      <c r="B1805" t="str">
        <f t="shared" si="56"/>
        <v>S-Softclose S65 (Slidix T60) tłumienie</v>
      </c>
      <c r="C1805" s="185" t="e">
        <f t="shared" si="57"/>
        <v>#N/A</v>
      </c>
      <c r="D1805" s="407" t="s">
        <v>8141</v>
      </c>
      <c r="E1805" s="407" t="s">
        <v>8142</v>
      </c>
      <c r="F1805" s="407" t="s">
        <v>8143</v>
      </c>
      <c r="G1805" s="407" t="s">
        <v>8144</v>
      </c>
      <c r="H1805" s="460" t="e">
        <v>#N/A</v>
      </c>
      <c r="I1805" s="460" t="e">
        <v>#N/A</v>
      </c>
      <c r="J1805" s="460" t="e">
        <v>#N/A</v>
      </c>
      <c r="K1805" s="460" t="e">
        <v>#N/A</v>
      </c>
      <c r="L1805" s="459" t="e">
        <v>#N/A</v>
      </c>
      <c r="O1805">
        <v>0</v>
      </c>
      <c r="P1805" t="s">
        <v>10053</v>
      </c>
    </row>
    <row r="1806" spans="1:16" ht="14.4" x14ac:dyDescent="0.3">
      <c r="A1806">
        <v>234758</v>
      </c>
      <c r="B1806" t="e">
        <f t="shared" si="56"/>
        <v>#N/A</v>
      </c>
      <c r="C1806" s="185" t="e">
        <f t="shared" si="57"/>
        <v>#N/A</v>
      </c>
      <c r="D1806" s="407" t="e">
        <v>#N/A</v>
      </c>
      <c r="E1806" s="407" t="e">
        <v>#N/A</v>
      </c>
      <c r="F1806" s="407" t="e">
        <v>#N/A</v>
      </c>
      <c r="G1806" s="407" t="e">
        <v>#N/A</v>
      </c>
      <c r="H1806" s="460" t="e">
        <v>#N/A</v>
      </c>
      <c r="I1806" s="460" t="e">
        <v>#N/A</v>
      </c>
      <c r="J1806" s="460" t="e">
        <v>#N/A</v>
      </c>
      <c r="K1806" s="460" t="e">
        <v>#N/A</v>
      </c>
      <c r="L1806" s="459" t="e">
        <v>#N/A</v>
      </c>
      <c r="O1806" t="e">
        <v>#N/A</v>
      </c>
      <c r="P1806" t="e">
        <v>#N/A</v>
      </c>
    </row>
    <row r="1807" spans="1:16" ht="14.4" x14ac:dyDescent="0.3">
      <c r="A1807">
        <v>234759</v>
      </c>
      <c r="B1807" t="e">
        <f t="shared" si="56"/>
        <v>#N/A</v>
      </c>
      <c r="C1807" s="185" t="e">
        <f t="shared" si="57"/>
        <v>#N/A</v>
      </c>
      <c r="D1807" s="407" t="e">
        <v>#N/A</v>
      </c>
      <c r="E1807" s="407" t="e">
        <v>#N/A</v>
      </c>
      <c r="F1807" s="407" t="e">
        <v>#N/A</v>
      </c>
      <c r="G1807" s="407" t="e">
        <v>#N/A</v>
      </c>
      <c r="H1807" s="460" t="e">
        <v>#N/A</v>
      </c>
      <c r="I1807" s="460" t="e">
        <v>#N/A</v>
      </c>
      <c r="J1807" s="460" t="e">
        <v>#N/A</v>
      </c>
      <c r="K1807" s="460" t="e">
        <v>#N/A</v>
      </c>
      <c r="L1807" s="459" t="e">
        <v>#N/A</v>
      </c>
      <c r="O1807" t="e">
        <v>#N/A</v>
      </c>
      <c r="P1807" t="e">
        <v>#N/A</v>
      </c>
    </row>
    <row r="1808" spans="1:16" ht="14.4" x14ac:dyDescent="0.3">
      <c r="A1808">
        <v>234763</v>
      </c>
      <c r="B1808" t="e">
        <f t="shared" si="56"/>
        <v>#N/A</v>
      </c>
      <c r="C1808" s="185" t="e">
        <f t="shared" si="57"/>
        <v>#N/A</v>
      </c>
      <c r="D1808" s="407" t="e">
        <v>#N/A</v>
      </c>
      <c r="E1808" s="407" t="e">
        <v>#N/A</v>
      </c>
      <c r="F1808" s="407" t="e">
        <v>#N/A</v>
      </c>
      <c r="G1808" s="407" t="e">
        <v>#N/A</v>
      </c>
      <c r="H1808" s="460" t="e">
        <v>#N/A</v>
      </c>
      <c r="I1808" s="460" t="e">
        <v>#N/A</v>
      </c>
      <c r="J1808" s="460" t="e">
        <v>#N/A</v>
      </c>
      <c r="K1808" s="460" t="e">
        <v>#N/A</v>
      </c>
      <c r="L1808" s="459" t="e">
        <v>#N/A</v>
      </c>
      <c r="O1808" t="e">
        <v>#N/A</v>
      </c>
      <c r="P1808" t="e">
        <v>#N/A</v>
      </c>
    </row>
    <row r="1809" spans="1:16" ht="14.4" x14ac:dyDescent="0.3">
      <c r="A1809">
        <v>234764</v>
      </c>
      <c r="B1809" t="e">
        <f t="shared" si="56"/>
        <v>#N/A</v>
      </c>
      <c r="C1809" s="185" t="e">
        <f t="shared" si="57"/>
        <v>#N/A</v>
      </c>
      <c r="D1809" s="407" t="e">
        <v>#N/A</v>
      </c>
      <c r="E1809" s="407" t="e">
        <v>#N/A</v>
      </c>
      <c r="F1809" s="407" t="e">
        <v>#N/A</v>
      </c>
      <c r="G1809" s="407" t="e">
        <v>#N/A</v>
      </c>
      <c r="H1809" s="460" t="e">
        <v>#N/A</v>
      </c>
      <c r="I1809" s="460" t="e">
        <v>#N/A</v>
      </c>
      <c r="J1809" s="460" t="e">
        <v>#N/A</v>
      </c>
      <c r="K1809" s="460" t="e">
        <v>#N/A</v>
      </c>
      <c r="L1809" s="459" t="e">
        <v>#N/A</v>
      </c>
      <c r="O1809" t="e">
        <v>#N/A</v>
      </c>
      <c r="P1809" t="e">
        <v>#N/A</v>
      </c>
    </row>
    <row r="1810" spans="1:16" ht="14.4" x14ac:dyDescent="0.3">
      <c r="A1810">
        <v>234870</v>
      </c>
      <c r="B1810" t="e">
        <f t="shared" si="56"/>
        <v>#N/A</v>
      </c>
      <c r="C1810" s="185" t="e">
        <f t="shared" si="57"/>
        <v>#N/A</v>
      </c>
      <c r="D1810" s="407" t="e">
        <v>#N/A</v>
      </c>
      <c r="E1810" s="407" t="e">
        <v>#N/A</v>
      </c>
      <c r="F1810" s="407" t="e">
        <v>#N/A</v>
      </c>
      <c r="G1810" s="407" t="e">
        <v>#N/A</v>
      </c>
      <c r="H1810" s="460" t="e">
        <v>#N/A</v>
      </c>
      <c r="I1810" s="460" t="e">
        <v>#N/A</v>
      </c>
      <c r="J1810" s="460" t="e">
        <v>#N/A</v>
      </c>
      <c r="K1810" s="460" t="e">
        <v>#N/A</v>
      </c>
      <c r="L1810" s="459" t="e">
        <v>#N/A</v>
      </c>
      <c r="O1810" t="e">
        <v>#N/A</v>
      </c>
      <c r="P1810" t="e">
        <v>#N/A</v>
      </c>
    </row>
    <row r="1811" spans="1:16" ht="14.4" x14ac:dyDescent="0.3">
      <c r="A1811">
        <v>361223</v>
      </c>
      <c r="B1811" t="str">
        <f t="shared" si="56"/>
        <v>S-profil S04N srebrny elox 2,7m</v>
      </c>
      <c r="C1811" s="185">
        <f t="shared" si="57"/>
        <v>115.69617</v>
      </c>
      <c r="D1811" s="407" t="s">
        <v>8145</v>
      </c>
      <c r="E1811" s="407" t="s">
        <v>8146</v>
      </c>
      <c r="F1811" s="407" t="s">
        <v>8147</v>
      </c>
      <c r="G1811" s="407" t="s">
        <v>8148</v>
      </c>
      <c r="H1811" s="460">
        <v>614.46</v>
      </c>
      <c r="I1811" s="460">
        <v>26.22495</v>
      </c>
      <c r="J1811" s="460">
        <v>115.69617</v>
      </c>
      <c r="K1811" s="460" t="e">
        <v>#N/A</v>
      </c>
      <c r="L1811" s="459" t="s">
        <v>537</v>
      </c>
      <c r="O1811">
        <v>19.095469999999999</v>
      </c>
      <c r="P1811" t="s">
        <v>10054</v>
      </c>
    </row>
    <row r="1812" spans="1:16" ht="14.4" x14ac:dyDescent="0.3">
      <c r="A1812">
        <v>361224</v>
      </c>
      <c r="B1812" t="str">
        <f t="shared" si="56"/>
        <v>S-S03 profil prowadzący alu elox 1,2m</v>
      </c>
      <c r="C1812" s="185" t="e">
        <f t="shared" si="57"/>
        <v>#N/A</v>
      </c>
      <c r="D1812" s="407" t="s">
        <v>8149</v>
      </c>
      <c r="E1812" s="407" t="s">
        <v>8150</v>
      </c>
      <c r="F1812" s="407" t="s">
        <v>8151</v>
      </c>
      <c r="G1812" s="407" t="s">
        <v>8152</v>
      </c>
      <c r="H1812" s="460" t="e">
        <v>#N/A</v>
      </c>
      <c r="I1812" s="460" t="e">
        <v>#N/A</v>
      </c>
      <c r="J1812" s="460" t="e">
        <v>#N/A</v>
      </c>
      <c r="K1812" s="460" t="e">
        <v>#N/A</v>
      </c>
      <c r="L1812" s="459" t="e">
        <v>#N/A</v>
      </c>
      <c r="O1812">
        <v>4.9916600000000004</v>
      </c>
      <c r="P1812" t="s">
        <v>10055</v>
      </c>
    </row>
    <row r="1813" spans="1:16" ht="14.4" x14ac:dyDescent="0.3">
      <c r="A1813">
        <v>361361</v>
      </c>
      <c r="B1813" t="str">
        <f t="shared" si="56"/>
        <v>S-S55 dolny poprzeczka 3m srebrny</v>
      </c>
      <c r="C1813" s="185" t="e">
        <f t="shared" si="57"/>
        <v>#N/A</v>
      </c>
      <c r="D1813" s="407" t="s">
        <v>8153</v>
      </c>
      <c r="E1813" s="407" t="s">
        <v>8154</v>
      </c>
      <c r="F1813" s="407" t="s">
        <v>8155</v>
      </c>
      <c r="G1813" s="407" t="s">
        <v>8156</v>
      </c>
      <c r="H1813" s="460" t="e">
        <v>#N/A</v>
      </c>
      <c r="I1813" s="460" t="e">
        <v>#N/A</v>
      </c>
      <c r="J1813" s="460" t="e">
        <v>#N/A</v>
      </c>
      <c r="K1813" s="460" t="e">
        <v>#N/A</v>
      </c>
      <c r="L1813" s="459" t="e">
        <v>#N/A</v>
      </c>
      <c r="O1813">
        <v>0</v>
      </c>
      <c r="P1813" t="s">
        <v>10056</v>
      </c>
    </row>
    <row r="1814" spans="1:16" ht="14.4" x14ac:dyDescent="0.3">
      <c r="A1814">
        <v>361362</v>
      </c>
      <c r="B1814" t="str">
        <f t="shared" si="56"/>
        <v>S-uszczelka do szkła 4mm</v>
      </c>
      <c r="C1814" s="185" t="e">
        <f t="shared" si="57"/>
        <v>#N/A</v>
      </c>
      <c r="D1814" s="407" t="s">
        <v>8157</v>
      </c>
      <c r="E1814" s="407" t="s">
        <v>8158</v>
      </c>
      <c r="F1814" s="407" t="s">
        <v>8159</v>
      </c>
      <c r="G1814" s="407" t="s">
        <v>8160</v>
      </c>
      <c r="H1814" s="460" t="e">
        <v>#N/A</v>
      </c>
      <c r="I1814" s="460" t="e">
        <v>#N/A</v>
      </c>
      <c r="J1814" s="460" t="e">
        <v>#N/A</v>
      </c>
      <c r="K1814" s="460" t="e">
        <v>#N/A</v>
      </c>
      <c r="L1814" s="459" t="e">
        <v>#N/A</v>
      </c>
      <c r="O1814">
        <v>1.28209</v>
      </c>
      <c r="P1814" t="s">
        <v>10057</v>
      </c>
    </row>
    <row r="1815" spans="1:16" ht="14.4" x14ac:dyDescent="0.3">
      <c r="A1815">
        <v>361363</v>
      </c>
      <c r="B1815" t="str">
        <f t="shared" si="56"/>
        <v>S-profil S16 2,7m srebrny</v>
      </c>
      <c r="C1815" s="185" t="e">
        <f t="shared" si="57"/>
        <v>#N/A</v>
      </c>
      <c r="D1815" s="407" t="s">
        <v>8161</v>
      </c>
      <c r="E1815" s="407" t="s">
        <v>8162</v>
      </c>
      <c r="F1815" s="407" t="s">
        <v>8163</v>
      </c>
      <c r="G1815" s="407" t="s">
        <v>8164</v>
      </c>
      <c r="H1815" s="460" t="e">
        <v>#N/A</v>
      </c>
      <c r="I1815" s="460" t="e">
        <v>#N/A</v>
      </c>
      <c r="J1815" s="460" t="e">
        <v>#N/A</v>
      </c>
      <c r="K1815" s="460" t="e">
        <v>#N/A</v>
      </c>
      <c r="L1815" s="459" t="e">
        <v>#N/A</v>
      </c>
      <c r="O1815">
        <v>0</v>
      </c>
      <c r="P1815" t="s">
        <v>10058</v>
      </c>
    </row>
    <row r="1816" spans="1:16" ht="14.4" x14ac:dyDescent="0.3">
      <c r="A1816">
        <v>361457</v>
      </c>
      <c r="B1816" t="str">
        <f t="shared" si="56"/>
        <v>TWIN-wzmocnienie 1860mm</v>
      </c>
      <c r="C1816" s="185">
        <f t="shared" si="57"/>
        <v>27.606100000000001</v>
      </c>
      <c r="D1816" s="407" t="s">
        <v>8165</v>
      </c>
      <c r="E1816" s="407" t="s">
        <v>8166</v>
      </c>
      <c r="F1816" s="407" t="s">
        <v>8167</v>
      </c>
      <c r="G1816" s="407" t="s">
        <v>8168</v>
      </c>
      <c r="H1816" s="460">
        <v>799</v>
      </c>
      <c r="I1816" s="460">
        <v>32.700000000000003</v>
      </c>
      <c r="J1816" s="460">
        <v>27.606100000000001</v>
      </c>
      <c r="K1816" s="460" t="e">
        <v>#N/A</v>
      </c>
      <c r="L1816" s="459" t="s">
        <v>538</v>
      </c>
      <c r="O1816">
        <v>5.5899299999999998</v>
      </c>
      <c r="P1816" t="s">
        <v>10059</v>
      </c>
    </row>
    <row r="1817" spans="1:16" ht="14.4" x14ac:dyDescent="0.3">
      <c r="A1817">
        <v>361511</v>
      </c>
      <c r="B1817" t="e">
        <f t="shared" si="56"/>
        <v>#N/A</v>
      </c>
      <c r="C1817" s="185" t="e">
        <f t="shared" si="57"/>
        <v>#N/A</v>
      </c>
      <c r="D1817" s="407" t="e">
        <v>#N/A</v>
      </c>
      <c r="E1817" s="407" t="e">
        <v>#N/A</v>
      </c>
      <c r="F1817" s="407" t="e">
        <v>#N/A</v>
      </c>
      <c r="G1817" s="407" t="e">
        <v>#N/A</v>
      </c>
      <c r="H1817" s="460" t="e">
        <v>#N/A</v>
      </c>
      <c r="I1817" s="460" t="e">
        <v>#N/A</v>
      </c>
      <c r="J1817" s="460" t="e">
        <v>#N/A</v>
      </c>
      <c r="K1817" s="460" t="e">
        <v>#N/A</v>
      </c>
      <c r="L1817" s="459" t="e">
        <v>#N/A</v>
      </c>
      <c r="O1817" t="e">
        <v>#N/A</v>
      </c>
      <c r="P1817" t="e">
        <v>#N/A</v>
      </c>
    </row>
    <row r="1818" spans="1:16" ht="14.4" x14ac:dyDescent="0.3">
      <c r="A1818">
        <v>361813</v>
      </c>
      <c r="B1818" t="str">
        <f t="shared" si="56"/>
        <v>S-uszczelka do szkła 6mm</v>
      </c>
      <c r="C1818" s="185" t="e">
        <f t="shared" si="57"/>
        <v>#N/A</v>
      </c>
      <c r="D1818" s="407" t="s">
        <v>8169</v>
      </c>
      <c r="E1818" s="407" t="s">
        <v>8170</v>
      </c>
      <c r="F1818" s="407" t="s">
        <v>8171</v>
      </c>
      <c r="G1818" s="407" t="s">
        <v>8172</v>
      </c>
      <c r="H1818" s="460" t="e">
        <v>#N/A</v>
      </c>
      <c r="I1818" s="460" t="e">
        <v>#N/A</v>
      </c>
      <c r="J1818" s="460" t="e">
        <v>#N/A</v>
      </c>
      <c r="K1818" s="460" t="e">
        <v>#N/A</v>
      </c>
      <c r="L1818" s="459" t="e">
        <v>#N/A</v>
      </c>
      <c r="O1818">
        <v>0</v>
      </c>
      <c r="P1818" t="s">
        <v>10060</v>
      </c>
    </row>
    <row r="1819" spans="1:16" ht="14.4" x14ac:dyDescent="0.3">
      <c r="A1819">
        <v>361819</v>
      </c>
      <c r="B1819" t="str">
        <f t="shared" si="56"/>
        <v>S-S55 dolny poprzeczka 3,5m srebrny</v>
      </c>
      <c r="C1819" s="185" t="e">
        <f t="shared" si="57"/>
        <v>#N/A</v>
      </c>
      <c r="D1819" s="407" t="s">
        <v>8173</v>
      </c>
      <c r="E1819" s="407" t="s">
        <v>8174</v>
      </c>
      <c r="F1819" s="407" t="s">
        <v>8175</v>
      </c>
      <c r="G1819" s="407" t="s">
        <v>8176</v>
      </c>
      <c r="H1819" s="460" t="e">
        <v>#N/A</v>
      </c>
      <c r="I1819" s="460" t="e">
        <v>#N/A</v>
      </c>
      <c r="J1819" s="460" t="e">
        <v>#N/A</v>
      </c>
      <c r="K1819" s="460" t="e">
        <v>#N/A</v>
      </c>
      <c r="L1819" s="459" t="e">
        <v>#N/A</v>
      </c>
      <c r="O1819">
        <v>0</v>
      </c>
      <c r="P1819" t="s">
        <v>10061</v>
      </c>
    </row>
    <row r="1820" spans="1:16" ht="14.4" x14ac:dyDescent="0.3">
      <c r="A1820">
        <v>361822</v>
      </c>
      <c r="B1820" t="str">
        <f t="shared" si="56"/>
        <v>S-S55 górna i środkowa poprzeczka 3,5m srebrny</v>
      </c>
      <c r="C1820" s="185" t="e">
        <f t="shared" si="57"/>
        <v>#N/A</v>
      </c>
      <c r="D1820" s="407" t="s">
        <v>8177</v>
      </c>
      <c r="E1820" s="407" t="s">
        <v>8178</v>
      </c>
      <c r="F1820" s="407" t="s">
        <v>8179</v>
      </c>
      <c r="G1820" s="407" t="s">
        <v>8180</v>
      </c>
      <c r="H1820" s="460" t="e">
        <v>#N/A</v>
      </c>
      <c r="I1820" s="460" t="e">
        <v>#N/A</v>
      </c>
      <c r="J1820" s="460" t="e">
        <v>#N/A</v>
      </c>
      <c r="K1820" s="460" t="e">
        <v>#N/A</v>
      </c>
      <c r="L1820" s="459" t="e">
        <v>#N/A</v>
      </c>
      <c r="O1820">
        <v>0</v>
      </c>
      <c r="P1820" t="s">
        <v>10062</v>
      </c>
    </row>
    <row r="1821" spans="1:16" ht="14.4" x14ac:dyDescent="0.3">
      <c r="A1821">
        <v>361829</v>
      </c>
      <c r="B1821" t="str">
        <f t="shared" si="56"/>
        <v>S-profil S17 2,7m srebrny</v>
      </c>
      <c r="C1821" s="185" t="e">
        <f t="shared" si="57"/>
        <v>#N/A</v>
      </c>
      <c r="D1821" s="407" t="s">
        <v>8181</v>
      </c>
      <c r="E1821" s="407" t="s">
        <v>8182</v>
      </c>
      <c r="F1821" s="407" t="s">
        <v>68</v>
      </c>
      <c r="G1821" s="407" t="s">
        <v>8183</v>
      </c>
      <c r="H1821" s="460" t="e">
        <v>#N/A</v>
      </c>
      <c r="I1821" s="460" t="e">
        <v>#N/A</v>
      </c>
      <c r="J1821" s="460" t="e">
        <v>#N/A</v>
      </c>
      <c r="K1821" s="460" t="e">
        <v>#N/A</v>
      </c>
      <c r="L1821" s="459" t="e">
        <v>#N/A</v>
      </c>
      <c r="O1821">
        <v>0</v>
      </c>
      <c r="P1821" t="s">
        <v>10063</v>
      </c>
    </row>
    <row r="1822" spans="1:16" ht="14.4" x14ac:dyDescent="0.3">
      <c r="A1822">
        <v>361830</v>
      </c>
      <c r="B1822" t="str">
        <f t="shared" si="56"/>
        <v>S-Softclose Simple S55 T25 tłumienie</v>
      </c>
      <c r="C1822" s="185" t="e">
        <f t="shared" si="57"/>
        <v>#N/A</v>
      </c>
      <c r="D1822" s="407" t="s">
        <v>8184</v>
      </c>
      <c r="E1822" s="407" t="s">
        <v>8185</v>
      </c>
      <c r="F1822" s="407" t="s">
        <v>8186</v>
      </c>
      <c r="G1822" s="407" t="s">
        <v>8187</v>
      </c>
      <c r="H1822" s="460" t="e">
        <v>#N/A</v>
      </c>
      <c r="I1822" s="460" t="e">
        <v>#N/A</v>
      </c>
      <c r="J1822" s="460" t="e">
        <v>#N/A</v>
      </c>
      <c r="K1822" s="460" t="e">
        <v>#N/A</v>
      </c>
      <c r="L1822" s="459" t="e">
        <v>#N/A</v>
      </c>
      <c r="O1822">
        <v>0</v>
      </c>
      <c r="P1822" t="s">
        <v>10064</v>
      </c>
    </row>
    <row r="1823" spans="1:16" ht="14.4" x14ac:dyDescent="0.3">
      <c r="A1823">
        <v>361831</v>
      </c>
      <c r="B1823" t="str">
        <f t="shared" si="56"/>
        <v>S-Softclose Simple S55 T40 tłumienie</v>
      </c>
      <c r="C1823" s="185" t="e">
        <f t="shared" si="57"/>
        <v>#N/A</v>
      </c>
      <c r="D1823" s="407" t="s">
        <v>8188</v>
      </c>
      <c r="E1823" s="407" t="s">
        <v>8189</v>
      </c>
      <c r="F1823" s="407" t="s">
        <v>8190</v>
      </c>
      <c r="G1823" s="407" t="s">
        <v>8191</v>
      </c>
      <c r="H1823" s="460" t="e">
        <v>#N/A</v>
      </c>
      <c r="I1823" s="460" t="e">
        <v>#N/A</v>
      </c>
      <c r="J1823" s="460" t="e">
        <v>#N/A</v>
      </c>
      <c r="K1823" s="460" t="e">
        <v>#N/A</v>
      </c>
      <c r="L1823" s="459" t="e">
        <v>#N/A</v>
      </c>
      <c r="O1823">
        <v>0</v>
      </c>
      <c r="P1823" t="s">
        <v>10065</v>
      </c>
    </row>
    <row r="1824" spans="1:16" ht="14.4" x14ac:dyDescent="0.3">
      <c r="A1824">
        <v>361832</v>
      </c>
      <c r="B1824" t="str">
        <f t="shared" si="56"/>
        <v>S-Softclose Simple S55 T60 tłumienie</v>
      </c>
      <c r="C1824" s="185" t="e">
        <f t="shared" si="57"/>
        <v>#N/A</v>
      </c>
      <c r="D1824" s="407" t="s">
        <v>8192</v>
      </c>
      <c r="E1824" s="407" t="s">
        <v>8193</v>
      </c>
      <c r="F1824" s="407" t="s">
        <v>8194</v>
      </c>
      <c r="G1824" s="407" t="s">
        <v>8195</v>
      </c>
      <c r="H1824" s="460" t="e">
        <v>#N/A</v>
      </c>
      <c r="I1824" s="460" t="e">
        <v>#N/A</v>
      </c>
      <c r="J1824" s="460" t="e">
        <v>#N/A</v>
      </c>
      <c r="K1824" s="460" t="e">
        <v>#N/A</v>
      </c>
      <c r="L1824" s="459" t="e">
        <v>#N/A</v>
      </c>
      <c r="O1824">
        <v>0</v>
      </c>
      <c r="P1824" t="s">
        <v>10066</v>
      </c>
    </row>
    <row r="1825" spans="1:16" ht="14.4" x14ac:dyDescent="0.3">
      <c r="A1825">
        <v>393868</v>
      </c>
      <c r="B1825" t="str">
        <f t="shared" si="56"/>
        <v>HAWA 061.3072.371 Eku-Forte 580mm, RAL 7035, obciążenie170 kg</v>
      </c>
      <c r="C1825" s="185" t="e">
        <f t="shared" si="57"/>
        <v>#N/A</v>
      </c>
      <c r="D1825" s="407" t="s">
        <v>8196</v>
      </c>
      <c r="E1825" s="407" t="s">
        <v>8197</v>
      </c>
      <c r="F1825" s="407" t="s">
        <v>8198</v>
      </c>
      <c r="G1825" s="407" t="s">
        <v>8199</v>
      </c>
      <c r="H1825" s="460" t="e">
        <v>#N/A</v>
      </c>
      <c r="I1825" s="460" t="e">
        <v>#N/A</v>
      </c>
      <c r="J1825" s="460" t="e">
        <v>#N/A</v>
      </c>
      <c r="K1825" s="460" t="e">
        <v>#N/A</v>
      </c>
      <c r="L1825" s="459" t="e">
        <v>#N/A</v>
      </c>
      <c r="O1825">
        <v>439.65492999999998</v>
      </c>
      <c r="P1825" t="s">
        <v>10067</v>
      </c>
    </row>
    <row r="1826" spans="1:16" ht="14.4" x14ac:dyDescent="0.3">
      <c r="A1826">
        <v>393927</v>
      </c>
      <c r="B1826" t="str">
        <f t="shared" si="56"/>
        <v>HAWA 061.3049.171 Eku-Forte tłumienie</v>
      </c>
      <c r="C1826" s="185" t="e">
        <f t="shared" si="57"/>
        <v>#N/A</v>
      </c>
      <c r="D1826" s="407" t="s">
        <v>8200</v>
      </c>
      <c r="E1826" s="407" t="s">
        <v>8201</v>
      </c>
      <c r="F1826" s="407" t="s">
        <v>8202</v>
      </c>
      <c r="G1826" s="407" t="s">
        <v>8203</v>
      </c>
      <c r="H1826" s="460" t="e">
        <v>#N/A</v>
      </c>
      <c r="I1826" s="460" t="e">
        <v>#N/A</v>
      </c>
      <c r="J1826" s="460" t="e">
        <v>#N/A</v>
      </c>
      <c r="K1826" s="460" t="e">
        <v>#N/A</v>
      </c>
      <c r="L1826" s="459" t="e">
        <v>#N/A</v>
      </c>
      <c r="O1826">
        <v>114.08651</v>
      </c>
      <c r="P1826" t="s">
        <v>10068</v>
      </c>
    </row>
    <row r="1827" spans="1:16" ht="14.4" x14ac:dyDescent="0.3">
      <c r="A1827">
        <v>394231</v>
      </c>
      <c r="B1827" t="str">
        <f t="shared" si="56"/>
        <v>SEVROLL dolna listwa maskująca Simple/Blue 2m(do lam.18mm) biały błyszczący</v>
      </c>
      <c r="C1827" s="185">
        <f t="shared" si="57"/>
        <v>85.189250000000001</v>
      </c>
      <c r="D1827" s="407" t="s">
        <v>1481</v>
      </c>
      <c r="E1827" s="407" t="s">
        <v>1911</v>
      </c>
      <c r="F1827" s="407" t="s">
        <v>5983</v>
      </c>
      <c r="G1827" s="407" t="s">
        <v>2437</v>
      </c>
      <c r="H1827" s="460">
        <v>476.81455</v>
      </c>
      <c r="I1827" s="460">
        <v>17.331050000000001</v>
      </c>
      <c r="J1827" s="460">
        <v>85.189250000000001</v>
      </c>
      <c r="K1827" s="460">
        <v>6775.10851</v>
      </c>
      <c r="L1827" s="459" t="s">
        <v>539</v>
      </c>
      <c r="O1827">
        <v>16.521999999999998</v>
      </c>
      <c r="P1827" t="s">
        <v>10069</v>
      </c>
    </row>
    <row r="1828" spans="1:16" ht="14.4" x14ac:dyDescent="0.3">
      <c r="A1828">
        <v>394265</v>
      </c>
      <c r="B1828" t="str">
        <f t="shared" si="56"/>
        <v>SEVROLL maskownica dolna Simple/Blue 3m (do płyty laminowanej 18mm) biały połysk</v>
      </c>
      <c r="C1828" s="185">
        <f t="shared" si="57"/>
        <v>127.83893999999999</v>
      </c>
      <c r="D1828" s="407" t="s">
        <v>1482</v>
      </c>
      <c r="E1828" s="407" t="s">
        <v>1912</v>
      </c>
      <c r="F1828" s="407" t="s">
        <v>5984</v>
      </c>
      <c r="G1828" s="407" t="s">
        <v>2438</v>
      </c>
      <c r="H1828" s="460">
        <v>714.50588000000005</v>
      </c>
      <c r="I1828" s="460">
        <v>25.970549999999999</v>
      </c>
      <c r="J1828" s="460">
        <v>127.83893999999999</v>
      </c>
      <c r="K1828" s="460">
        <v>10152.490110000001</v>
      </c>
      <c r="L1828" s="459" t="s">
        <v>539</v>
      </c>
      <c r="O1828">
        <v>24.398</v>
      </c>
      <c r="P1828" t="s">
        <v>10070</v>
      </c>
    </row>
    <row r="1829" spans="1:16" ht="14.4" x14ac:dyDescent="0.3">
      <c r="A1829">
        <v>394267</v>
      </c>
      <c r="B1829" t="str">
        <f t="shared" si="56"/>
        <v>SEVROLL górna listwa prowadząca Simple/Blue 2m (do lam. 18mm)biały błyszczący</v>
      </c>
      <c r="C1829" s="185">
        <f t="shared" si="57"/>
        <v>44.207169999999998</v>
      </c>
      <c r="D1829" s="407" t="s">
        <v>1483</v>
      </c>
      <c r="E1829" s="407" t="s">
        <v>1913</v>
      </c>
      <c r="F1829" s="407" t="s">
        <v>5985</v>
      </c>
      <c r="G1829" s="407" t="s">
        <v>2439</v>
      </c>
      <c r="H1829" s="460">
        <v>243.41883999999999</v>
      </c>
      <c r="I1829" s="460">
        <v>8.8476800000000004</v>
      </c>
      <c r="J1829" s="460">
        <v>44.207169999999998</v>
      </c>
      <c r="K1829" s="460">
        <v>3458.7641899999999</v>
      </c>
      <c r="L1829" s="459" t="s">
        <v>538</v>
      </c>
      <c r="O1829">
        <v>8.5139999999999993</v>
      </c>
      <c r="P1829" t="s">
        <v>10071</v>
      </c>
    </row>
    <row r="1830" spans="1:16" ht="14.4" x14ac:dyDescent="0.3">
      <c r="A1830">
        <v>394270</v>
      </c>
      <c r="B1830" t="str">
        <f t="shared" si="56"/>
        <v>SEVROLL tor dolny Simple/Blue 3m (do płyty laminowanej 18mm) srebrny</v>
      </c>
      <c r="C1830" s="185">
        <f t="shared" si="57"/>
        <v>66.326480000000004</v>
      </c>
      <c r="D1830" s="407" t="s">
        <v>1484</v>
      </c>
      <c r="E1830" s="407" t="s">
        <v>1914</v>
      </c>
      <c r="F1830" s="407" t="s">
        <v>5986</v>
      </c>
      <c r="G1830" s="407" t="s">
        <v>2381</v>
      </c>
      <c r="H1830" s="460">
        <v>365.12824999999998</v>
      </c>
      <c r="I1830" s="460">
        <v>13.27153</v>
      </c>
      <c r="J1830" s="460">
        <v>66.326480000000004</v>
      </c>
      <c r="K1830" s="460">
        <v>5188.1462799999999</v>
      </c>
      <c r="L1830" s="459" t="s">
        <v>539</v>
      </c>
      <c r="O1830">
        <v>12.474</v>
      </c>
      <c r="P1830" t="s">
        <v>10072</v>
      </c>
    </row>
    <row r="1831" spans="1:16" ht="14.4" x14ac:dyDescent="0.3">
      <c r="A1831">
        <v>394273</v>
      </c>
      <c r="B1831" t="str">
        <f t="shared" si="56"/>
        <v>SEVROLL listwa łącząca Simple/Blue H21 3m (do płyty laminowanej 18mm) biały poły</v>
      </c>
      <c r="C1831" s="185">
        <f t="shared" si="57"/>
        <v>61.339410000000001</v>
      </c>
      <c r="D1831" s="407" t="s">
        <v>1485</v>
      </c>
      <c r="E1831" s="407" t="s">
        <v>1915</v>
      </c>
      <c r="F1831" s="407" t="s">
        <v>5987</v>
      </c>
      <c r="G1831" s="407" t="s">
        <v>2440</v>
      </c>
      <c r="H1831" s="460">
        <v>408.80045000000001</v>
      </c>
      <c r="I1831" s="460">
        <v>14.8589</v>
      </c>
      <c r="J1831" s="460">
        <v>61.339410000000001</v>
      </c>
      <c r="K1831" s="460">
        <v>5808.6891100000003</v>
      </c>
      <c r="L1831" s="459" t="s">
        <v>538</v>
      </c>
      <c r="O1831">
        <v>13.882</v>
      </c>
      <c r="P1831" t="s">
        <v>10073</v>
      </c>
    </row>
    <row r="1832" spans="1:16" ht="14.4" x14ac:dyDescent="0.3">
      <c r="A1832">
        <v>394281</v>
      </c>
      <c r="B1832" t="str">
        <f t="shared" si="56"/>
        <v>SEVROLL listwa łącząca Simple/Blue H28 3m (do płyty laminowanej 18mm) biały poły</v>
      </c>
      <c r="C1832" s="185">
        <f t="shared" si="57"/>
        <v>93.29128</v>
      </c>
      <c r="D1832" s="407" t="s">
        <v>1486</v>
      </c>
      <c r="E1832" s="407" t="s">
        <v>1916</v>
      </c>
      <c r="F1832" s="407" t="s">
        <v>5988</v>
      </c>
      <c r="G1832" s="407" t="s">
        <v>2441</v>
      </c>
      <c r="H1832" s="460">
        <v>708.06244000000004</v>
      </c>
      <c r="I1832" s="460">
        <v>25.736350000000002</v>
      </c>
      <c r="J1832" s="460">
        <v>93.29128</v>
      </c>
      <c r="K1832" s="460">
        <v>10060.93482</v>
      </c>
      <c r="L1832" s="459" t="s">
        <v>538</v>
      </c>
      <c r="O1832">
        <v>24.178000000000001</v>
      </c>
      <c r="P1832" t="s">
        <v>10074</v>
      </c>
    </row>
    <row r="1833" spans="1:16" ht="14.4" x14ac:dyDescent="0.3">
      <c r="A1833">
        <v>394283</v>
      </c>
      <c r="B1833" t="str">
        <f t="shared" si="56"/>
        <v>SEVROLL Blue-V tor dolny 2m  biały połysk</v>
      </c>
      <c r="C1833" s="185">
        <f t="shared" si="57"/>
        <v>44.993769999999998</v>
      </c>
      <c r="D1833" s="407" t="s">
        <v>1487</v>
      </c>
      <c r="E1833" s="407" t="s">
        <v>1917</v>
      </c>
      <c r="F1833" s="407" t="s">
        <v>5989</v>
      </c>
      <c r="G1833" s="407" t="s">
        <v>2442</v>
      </c>
      <c r="H1833" s="460">
        <v>288.52291000000002</v>
      </c>
      <c r="I1833" s="460">
        <v>10.487109999999999</v>
      </c>
      <c r="J1833" s="460">
        <v>44.993769999999998</v>
      </c>
      <c r="K1833" s="460">
        <v>4099.6527800000003</v>
      </c>
      <c r="L1833" s="459" t="s">
        <v>538</v>
      </c>
      <c r="O1833">
        <v>11.263999999999999</v>
      </c>
      <c r="P1833" t="s">
        <v>10075</v>
      </c>
    </row>
    <row r="1834" spans="1:16" ht="14.4" x14ac:dyDescent="0.3">
      <c r="A1834">
        <v>394284</v>
      </c>
      <c r="B1834" t="str">
        <f t="shared" si="56"/>
        <v>SEVROLL Blue-V tor dolny 3m biały połysk</v>
      </c>
      <c r="C1834" s="185">
        <f t="shared" si="57"/>
        <v>67.490650000000002</v>
      </c>
      <c r="D1834" s="407" t="s">
        <v>1488</v>
      </c>
      <c r="E1834" s="407" t="s">
        <v>1918</v>
      </c>
      <c r="F1834" s="407" t="s">
        <v>5990</v>
      </c>
      <c r="G1834" s="407" t="s">
        <v>2443</v>
      </c>
      <c r="H1834" s="460">
        <v>433.14235000000002</v>
      </c>
      <c r="I1834" s="460">
        <v>15.74367</v>
      </c>
      <c r="J1834" s="460">
        <v>67.490650000000002</v>
      </c>
      <c r="K1834" s="460">
        <v>6154.5656900000004</v>
      </c>
      <c r="L1834" s="459" t="s">
        <v>538</v>
      </c>
      <c r="O1834">
        <v>16.478000000000002</v>
      </c>
      <c r="P1834" t="s">
        <v>10076</v>
      </c>
    </row>
    <row r="1835" spans="1:16" ht="14.4" x14ac:dyDescent="0.3">
      <c r="A1835">
        <v>394285</v>
      </c>
      <c r="B1835" t="str">
        <f t="shared" si="56"/>
        <v>SEVROLL Blue-V tor dolny 6m biały połysk</v>
      </c>
      <c r="C1835" s="185">
        <f t="shared" si="57"/>
        <v>0</v>
      </c>
      <c r="D1835" s="407" t="s">
        <v>1489</v>
      </c>
      <c r="E1835" s="407" t="s">
        <v>1919</v>
      </c>
      <c r="F1835" s="407" t="s">
        <v>5991</v>
      </c>
      <c r="G1835" s="407" t="s">
        <v>2444</v>
      </c>
      <c r="H1835" s="460">
        <v>865.56874000000005</v>
      </c>
      <c r="I1835" s="460">
        <v>31.461320000000001</v>
      </c>
      <c r="J1835" s="460">
        <v>0</v>
      </c>
      <c r="K1835" s="460">
        <v>12298.958689999999</v>
      </c>
      <c r="L1835" s="459" t="s">
        <v>539</v>
      </c>
      <c r="O1835">
        <v>33.198</v>
      </c>
      <c r="P1835" t="s">
        <v>10077</v>
      </c>
    </row>
    <row r="1836" spans="1:16" ht="14.4" x14ac:dyDescent="0.3">
      <c r="A1836">
        <v>394287</v>
      </c>
      <c r="B1836" t="str">
        <f t="shared" si="56"/>
        <v>SEVROLL Blue tor gótny 2m biały błyszczący</v>
      </c>
      <c r="C1836" s="185">
        <f t="shared" si="57"/>
        <v>66.342209999999994</v>
      </c>
      <c r="D1836" s="407" t="s">
        <v>1490</v>
      </c>
      <c r="E1836" s="407" t="s">
        <v>1920</v>
      </c>
      <c r="F1836" s="407" t="s">
        <v>5992</v>
      </c>
      <c r="G1836" s="407" t="s">
        <v>2445</v>
      </c>
      <c r="H1836" s="460">
        <v>539.81704999999999</v>
      </c>
      <c r="I1836" s="460">
        <v>19.621040000000001</v>
      </c>
      <c r="J1836" s="460">
        <v>66.342209999999994</v>
      </c>
      <c r="K1836" s="460">
        <v>7670.3183900000004</v>
      </c>
      <c r="L1836" s="459" t="s">
        <v>538</v>
      </c>
      <c r="O1836">
        <v>19.602</v>
      </c>
      <c r="P1836" t="s">
        <v>10078</v>
      </c>
    </row>
    <row r="1837" spans="1:16" ht="14.4" x14ac:dyDescent="0.3">
      <c r="A1837">
        <v>394289</v>
      </c>
      <c r="B1837" t="str">
        <f t="shared" si="56"/>
        <v>SEVROLL Blue tor górny 3m biały połysk</v>
      </c>
      <c r="C1837" s="185">
        <f t="shared" si="57"/>
        <v>99.55265</v>
      </c>
      <c r="D1837" s="407" t="s">
        <v>1491</v>
      </c>
      <c r="E1837" s="407" t="s">
        <v>1921</v>
      </c>
      <c r="F1837" s="407" t="s">
        <v>5993</v>
      </c>
      <c r="G1837" s="407" t="s">
        <v>2446</v>
      </c>
      <c r="H1837" s="460">
        <v>809.72559000000001</v>
      </c>
      <c r="I1837" s="460">
        <v>29.431560000000001</v>
      </c>
      <c r="J1837" s="460">
        <v>99.55265</v>
      </c>
      <c r="K1837" s="460">
        <v>11505.47718</v>
      </c>
      <c r="L1837" s="459" t="s">
        <v>539</v>
      </c>
      <c r="O1837">
        <v>29.062000000000001</v>
      </c>
      <c r="P1837" t="s">
        <v>10079</v>
      </c>
    </row>
    <row r="1838" spans="1:16" ht="14.4" x14ac:dyDescent="0.3">
      <c r="A1838">
        <v>394290</v>
      </c>
      <c r="B1838" t="str">
        <f t="shared" si="56"/>
        <v>SEVROLL Blue tor górny 6m biały połysk</v>
      </c>
      <c r="C1838" s="185">
        <f t="shared" si="57"/>
        <v>0</v>
      </c>
      <c r="D1838" s="407" t="s">
        <v>1492</v>
      </c>
      <c r="E1838" s="407" t="s">
        <v>1922</v>
      </c>
      <c r="F1838" s="407" t="s">
        <v>5994</v>
      </c>
      <c r="G1838" s="407" t="s">
        <v>2447</v>
      </c>
      <c r="H1838" s="460">
        <v>1619.45119</v>
      </c>
      <c r="I1838" s="460">
        <v>58.863120000000002</v>
      </c>
      <c r="J1838" s="460">
        <v>0</v>
      </c>
      <c r="K1838" s="460">
        <v>23010.95477</v>
      </c>
      <c r="L1838" s="459" t="s">
        <v>539</v>
      </c>
      <c r="O1838">
        <v>58.3</v>
      </c>
      <c r="P1838" t="s">
        <v>10080</v>
      </c>
    </row>
    <row r="1839" spans="1:16" ht="14.4" x14ac:dyDescent="0.3">
      <c r="A1839">
        <v>394690</v>
      </c>
      <c r="B1839" t="str">
        <f t="shared" si="56"/>
        <v>SEVROLL 04920 Lynx Rączka 2,7m srebrna</v>
      </c>
      <c r="C1839" s="185">
        <f t="shared" si="57"/>
        <v>80.671800000000005</v>
      </c>
      <c r="D1839" s="407" t="s">
        <v>1493</v>
      </c>
      <c r="E1839" s="407" t="s">
        <v>1923</v>
      </c>
      <c r="F1839" s="407" t="s">
        <v>5995</v>
      </c>
      <c r="G1839" s="407" t="s">
        <v>5996</v>
      </c>
      <c r="H1839" s="460">
        <v>626.76576</v>
      </c>
      <c r="I1839" s="460">
        <v>22.561589999999999</v>
      </c>
      <c r="J1839" s="460">
        <v>80.671800000000005</v>
      </c>
      <c r="K1839" s="460">
        <v>8673.6189099999992</v>
      </c>
      <c r="L1839" s="459" t="s">
        <v>539</v>
      </c>
      <c r="O1839">
        <v>21.648</v>
      </c>
      <c r="P1839" t="s">
        <v>10081</v>
      </c>
    </row>
    <row r="1840" spans="1:16" ht="14.4" x14ac:dyDescent="0.3">
      <c r="A1840">
        <v>394691</v>
      </c>
      <c r="B1840" t="str">
        <f t="shared" si="56"/>
        <v>SEVROLL Rączka Lynx 2,7m oliwka</v>
      </c>
      <c r="C1840" s="185" t="e">
        <f t="shared" si="57"/>
        <v>#N/A</v>
      </c>
      <c r="D1840" s="407" t="s">
        <v>1494</v>
      </c>
      <c r="E1840" s="407" t="s">
        <v>1924</v>
      </c>
      <c r="F1840" s="407" t="s">
        <v>1494</v>
      </c>
      <c r="G1840" s="407" t="s">
        <v>2448</v>
      </c>
      <c r="H1840" s="460" t="e">
        <v>#N/A</v>
      </c>
      <c r="I1840" s="460" t="e">
        <v>#N/A</v>
      </c>
      <c r="J1840" s="460" t="e">
        <v>#N/A</v>
      </c>
      <c r="K1840" s="460" t="e">
        <v>#N/A</v>
      </c>
      <c r="L1840" s="459" t="e">
        <v>#N/A</v>
      </c>
      <c r="O1840">
        <v>23.826000000000001</v>
      </c>
      <c r="P1840" t="s">
        <v>10082</v>
      </c>
    </row>
    <row r="1841" spans="1:16" ht="14.4" x14ac:dyDescent="0.3">
      <c r="A1841">
        <v>394791</v>
      </c>
      <c r="B1841" t="str">
        <f t="shared" si="56"/>
        <v>SEVROLL Alfa II rączka 18mm 2,7m biały matowy</v>
      </c>
      <c r="C1841" s="185">
        <f t="shared" si="57"/>
        <v>66.463200000000001</v>
      </c>
      <c r="D1841" s="407" t="s">
        <v>1495</v>
      </c>
      <c r="E1841" s="407" t="s">
        <v>1925</v>
      </c>
      <c r="F1841" s="407" t="s">
        <v>5997</v>
      </c>
      <c r="G1841" s="407" t="s">
        <v>2449</v>
      </c>
      <c r="H1841" s="460">
        <v>457.40872000000002</v>
      </c>
      <c r="I1841" s="460">
        <v>16.446280000000002</v>
      </c>
      <c r="J1841" s="460">
        <v>66.463200000000001</v>
      </c>
      <c r="K1841" s="460">
        <v>6329.9391800000003</v>
      </c>
      <c r="L1841" s="459" t="s">
        <v>538</v>
      </c>
      <c r="O1841">
        <v>17.666</v>
      </c>
      <c r="P1841" t="s">
        <v>10083</v>
      </c>
    </row>
    <row r="1842" spans="1:16" ht="14.4" x14ac:dyDescent="0.3">
      <c r="A1842">
        <v>394792</v>
      </c>
      <c r="B1842" t="str">
        <f t="shared" si="56"/>
        <v>SEVROLL Elegant II tor dolny 1,7 m biały matowy</v>
      </c>
      <c r="C1842" s="185">
        <f t="shared" si="57"/>
        <v>40.698</v>
      </c>
      <c r="D1842" s="407" t="s">
        <v>1496</v>
      </c>
      <c r="E1842" s="407" t="s">
        <v>1926</v>
      </c>
      <c r="F1842" s="407" t="s">
        <v>5998</v>
      </c>
      <c r="G1842" s="407" t="s">
        <v>5999</v>
      </c>
      <c r="H1842" s="460">
        <v>301.80291999999997</v>
      </c>
      <c r="I1842" s="460">
        <v>10.851419999999999</v>
      </c>
      <c r="J1842" s="460">
        <v>40.698</v>
      </c>
      <c r="K1842" s="460">
        <v>4176.5579900000002</v>
      </c>
      <c r="L1842" s="459" t="s">
        <v>538</v>
      </c>
      <c r="O1842">
        <v>10.714</v>
      </c>
      <c r="P1842" t="s">
        <v>10084</v>
      </c>
    </row>
    <row r="1843" spans="1:16" ht="14.4" x14ac:dyDescent="0.3">
      <c r="A1843">
        <v>394795</v>
      </c>
      <c r="B1843" t="str">
        <f t="shared" si="56"/>
        <v>SEVROLL Elegant II tor dolny 2,35 m biały matowy</v>
      </c>
      <c r="C1843" s="185">
        <f t="shared" si="57"/>
        <v>56.253</v>
      </c>
      <c r="D1843" s="407" t="s">
        <v>1497</v>
      </c>
      <c r="E1843" s="407" t="s">
        <v>1927</v>
      </c>
      <c r="F1843" s="407" t="s">
        <v>6000</v>
      </c>
      <c r="G1843" s="407" t="s">
        <v>6001</v>
      </c>
      <c r="H1843" s="460">
        <v>414.70758000000001</v>
      </c>
      <c r="I1843" s="460">
        <v>14.91095</v>
      </c>
      <c r="J1843" s="460">
        <v>56.253</v>
      </c>
      <c r="K1843" s="460">
        <v>5739.01116</v>
      </c>
      <c r="L1843" s="459" t="s">
        <v>538</v>
      </c>
      <c r="O1843">
        <v>14.85</v>
      </c>
      <c r="P1843" t="s">
        <v>10085</v>
      </c>
    </row>
    <row r="1844" spans="1:16" ht="14.4" x14ac:dyDescent="0.3">
      <c r="A1844">
        <v>394796</v>
      </c>
      <c r="B1844" t="str">
        <f t="shared" si="56"/>
        <v>SEVROLL Elegant II tor dolny 4,05 m biały matowy</v>
      </c>
      <c r="C1844" s="185">
        <f t="shared" si="57"/>
        <v>96.930599999999998</v>
      </c>
      <c r="D1844" s="407" t="s">
        <v>1498</v>
      </c>
      <c r="E1844" s="407" t="s">
        <v>1928</v>
      </c>
      <c r="F1844" s="407" t="s">
        <v>6002</v>
      </c>
      <c r="G1844" s="407" t="s">
        <v>6003</v>
      </c>
      <c r="H1844" s="460">
        <v>713.61551999999995</v>
      </c>
      <c r="I1844" s="460">
        <v>25.658280000000001</v>
      </c>
      <c r="J1844" s="460">
        <v>96.930599999999998</v>
      </c>
      <c r="K1844" s="460">
        <v>9875.5060699999995</v>
      </c>
      <c r="L1844" s="459" t="s">
        <v>538</v>
      </c>
      <c r="O1844">
        <v>25.564</v>
      </c>
      <c r="P1844" t="s">
        <v>10086</v>
      </c>
    </row>
    <row r="1845" spans="1:16" ht="14.4" x14ac:dyDescent="0.3">
      <c r="A1845">
        <v>394800</v>
      </c>
      <c r="B1845" t="str">
        <f t="shared" si="56"/>
        <v>SEVROLL Elegant II tor dolny 6m biały mat</v>
      </c>
      <c r="C1845" s="185">
        <f t="shared" si="57"/>
        <v>0</v>
      </c>
      <c r="D1845" s="407" t="s">
        <v>1499</v>
      </c>
      <c r="E1845" s="407" t="s">
        <v>1929</v>
      </c>
      <c r="F1845" s="407" t="s">
        <v>6004</v>
      </c>
      <c r="G1845" s="407" t="s">
        <v>2450</v>
      </c>
      <c r="H1845" s="460">
        <v>1054.50082</v>
      </c>
      <c r="I1845" s="460">
        <v>37.914929999999998</v>
      </c>
      <c r="J1845" s="460">
        <v>0</v>
      </c>
      <c r="K1845" s="460">
        <v>14592.91346</v>
      </c>
      <c r="L1845" s="459" t="s">
        <v>539</v>
      </c>
      <c r="O1845">
        <v>37.752000000000002</v>
      </c>
      <c r="P1845" t="s">
        <v>10087</v>
      </c>
    </row>
    <row r="1846" spans="1:16" ht="14.4" x14ac:dyDescent="0.3">
      <c r="A1846">
        <v>293169</v>
      </c>
      <c r="B1846" t="e">
        <f t="shared" si="56"/>
        <v>#N/A</v>
      </c>
      <c r="C1846" s="185" t="e">
        <f t="shared" si="57"/>
        <v>#N/A</v>
      </c>
      <c r="D1846" s="407" t="e">
        <v>#N/A</v>
      </c>
      <c r="E1846" s="407" t="e">
        <v>#N/A</v>
      </c>
      <c r="F1846" s="407" t="e">
        <v>#N/A</v>
      </c>
      <c r="G1846" s="407" t="e">
        <v>#N/A</v>
      </c>
      <c r="H1846" s="460" t="e">
        <v>#N/A</v>
      </c>
      <c r="I1846" s="460" t="e">
        <v>#N/A</v>
      </c>
      <c r="J1846" s="460" t="e">
        <v>#N/A</v>
      </c>
      <c r="K1846" s="460" t="e">
        <v>#N/A</v>
      </c>
      <c r="L1846" s="459" t="e">
        <v>#N/A</v>
      </c>
      <c r="O1846" t="e">
        <v>#N/A</v>
      </c>
      <c r="P1846" t="e">
        <v>#N/A</v>
      </c>
    </row>
    <row r="1847" spans="1:16" ht="14.4" x14ac:dyDescent="0.3">
      <c r="A1847">
        <v>293175</v>
      </c>
      <c r="B1847" t="e">
        <f t="shared" si="56"/>
        <v>#N/A</v>
      </c>
      <c r="C1847" s="185" t="e">
        <f t="shared" si="57"/>
        <v>#N/A</v>
      </c>
      <c r="D1847" s="407" t="e">
        <v>#N/A</v>
      </c>
      <c r="E1847" s="407" t="e">
        <v>#N/A</v>
      </c>
      <c r="F1847" s="407" t="e">
        <v>#N/A</v>
      </c>
      <c r="G1847" s="407" t="e">
        <v>#N/A</v>
      </c>
      <c r="H1847" s="460" t="e">
        <v>#N/A</v>
      </c>
      <c r="I1847" s="460" t="e">
        <v>#N/A</v>
      </c>
      <c r="J1847" s="460" t="e">
        <v>#N/A</v>
      </c>
      <c r="K1847" s="460" t="e">
        <v>#N/A</v>
      </c>
      <c r="L1847" s="459" t="e">
        <v>#N/A</v>
      </c>
      <c r="O1847" t="e">
        <v>#N/A</v>
      </c>
      <c r="P1847" t="e">
        <v>#N/A</v>
      </c>
    </row>
    <row r="1848" spans="1:16" ht="14.4" x14ac:dyDescent="0.3">
      <c r="A1848">
        <v>293197</v>
      </c>
      <c r="B1848" t="e">
        <f t="shared" si="56"/>
        <v>#N/A</v>
      </c>
      <c r="C1848" s="185" t="e">
        <f t="shared" si="57"/>
        <v>#N/A</v>
      </c>
      <c r="D1848" s="407" t="e">
        <v>#N/A</v>
      </c>
      <c r="E1848" s="407" t="e">
        <v>#N/A</v>
      </c>
      <c r="F1848" s="407" t="e">
        <v>#N/A</v>
      </c>
      <c r="G1848" s="407" t="e">
        <v>#N/A</v>
      </c>
      <c r="H1848" s="460" t="e">
        <v>#N/A</v>
      </c>
      <c r="I1848" s="460" t="e">
        <v>#N/A</v>
      </c>
      <c r="J1848" s="460" t="e">
        <v>#N/A</v>
      </c>
      <c r="K1848" s="460" t="e">
        <v>#N/A</v>
      </c>
      <c r="L1848" s="459" t="e">
        <v>#N/A</v>
      </c>
      <c r="O1848" t="e">
        <v>#N/A</v>
      </c>
      <c r="P1848" t="e">
        <v>#N/A</v>
      </c>
    </row>
    <row r="1849" spans="1:16" ht="14.4" x14ac:dyDescent="0.3">
      <c r="A1849">
        <v>293268</v>
      </c>
      <c r="B1849" t="e">
        <f t="shared" si="56"/>
        <v>#N/A</v>
      </c>
      <c r="C1849" s="185" t="e">
        <f t="shared" si="57"/>
        <v>#N/A</v>
      </c>
      <c r="D1849" s="407" t="e">
        <v>#N/A</v>
      </c>
      <c r="E1849" s="407" t="e">
        <v>#N/A</v>
      </c>
      <c r="F1849" s="407" t="e">
        <v>#N/A</v>
      </c>
      <c r="G1849" s="407" t="e">
        <v>#N/A</v>
      </c>
      <c r="H1849" s="460" t="e">
        <v>#N/A</v>
      </c>
      <c r="I1849" s="460" t="e">
        <v>#N/A</v>
      </c>
      <c r="J1849" s="460" t="e">
        <v>#N/A</v>
      </c>
      <c r="K1849" s="460" t="e">
        <v>#N/A</v>
      </c>
      <c r="L1849" s="459" t="e">
        <v>#N/A</v>
      </c>
      <c r="O1849" t="e">
        <v>#N/A</v>
      </c>
      <c r="P1849" t="e">
        <v>#N/A</v>
      </c>
    </row>
    <row r="1850" spans="1:16" ht="14.4" x14ac:dyDescent="0.3">
      <c r="A1850">
        <v>344179</v>
      </c>
      <c r="B1850" t="e">
        <f t="shared" si="56"/>
        <v>#N/A</v>
      </c>
      <c r="C1850" s="185" t="e">
        <f t="shared" si="57"/>
        <v>#N/A</v>
      </c>
      <c r="D1850" s="407" t="e">
        <v>#N/A</v>
      </c>
      <c r="E1850" s="407" t="e">
        <v>#N/A</v>
      </c>
      <c r="F1850" s="407" t="e">
        <v>#N/A</v>
      </c>
      <c r="G1850" s="407" t="e">
        <v>#N/A</v>
      </c>
      <c r="H1850" s="460" t="e">
        <v>#N/A</v>
      </c>
      <c r="I1850" s="460" t="e">
        <v>#N/A</v>
      </c>
      <c r="J1850" s="460" t="e">
        <v>#N/A</v>
      </c>
      <c r="K1850" s="460" t="e">
        <v>#N/A</v>
      </c>
      <c r="L1850" s="459" t="e">
        <v>#N/A</v>
      </c>
      <c r="O1850" t="e">
        <v>#N/A</v>
      </c>
      <c r="P1850" t="e">
        <v>#N/A</v>
      </c>
    </row>
    <row r="1851" spans="1:16" ht="14.4" x14ac:dyDescent="0.3">
      <c r="A1851">
        <v>146978</v>
      </c>
      <c r="B1851" t="str">
        <f t="shared" si="56"/>
        <v>S-S80 hamulec</v>
      </c>
      <c r="C1851" s="185" t="e">
        <f t="shared" si="57"/>
        <v>#N/A</v>
      </c>
      <c r="D1851" s="407" t="s">
        <v>8204</v>
      </c>
      <c r="E1851" s="407" t="s">
        <v>8205</v>
      </c>
      <c r="F1851" s="407" t="s">
        <v>8206</v>
      </c>
      <c r="G1851" s="407" t="s">
        <v>8207</v>
      </c>
      <c r="H1851" s="460" t="e">
        <v>#N/A</v>
      </c>
      <c r="I1851" s="460" t="e">
        <v>#N/A</v>
      </c>
      <c r="J1851" s="460" t="e">
        <v>#N/A</v>
      </c>
      <c r="K1851" s="460" t="e">
        <v>#N/A</v>
      </c>
      <c r="L1851" s="459" t="e">
        <v>#N/A</v>
      </c>
      <c r="O1851">
        <v>1.7482899999999999</v>
      </c>
      <c r="P1851" t="s">
        <v>10088</v>
      </c>
    </row>
    <row r="1852" spans="1:16" ht="14.4" x14ac:dyDescent="0.3">
      <c r="A1852">
        <v>146979</v>
      </c>
      <c r="B1852" t="str">
        <f t="shared" si="56"/>
        <v>S-S 40/80/100 prowadzenie</v>
      </c>
      <c r="C1852" s="185">
        <f t="shared" si="57"/>
        <v>1.66072</v>
      </c>
      <c r="D1852" s="407" t="s">
        <v>8208</v>
      </c>
      <c r="E1852" s="407" t="s">
        <v>8209</v>
      </c>
      <c r="F1852" s="407" t="s">
        <v>8208</v>
      </c>
      <c r="G1852" s="407" t="s">
        <v>8210</v>
      </c>
      <c r="H1852" s="460">
        <v>8.82</v>
      </c>
      <c r="I1852" s="460">
        <v>0.37641999999999998</v>
      </c>
      <c r="J1852" s="460">
        <v>1.66072</v>
      </c>
      <c r="K1852" s="460" t="e">
        <v>#N/A</v>
      </c>
      <c r="L1852" s="459" t="s">
        <v>537</v>
      </c>
      <c r="O1852">
        <v>0.29137999999999997</v>
      </c>
      <c r="P1852" t="s">
        <v>10089</v>
      </c>
    </row>
    <row r="1853" spans="1:16" ht="14.4" x14ac:dyDescent="0.3">
      <c r="A1853">
        <v>272998</v>
      </c>
      <c r="B1853" t="str">
        <f t="shared" si="56"/>
        <v>MSE-Klucz imbusowy SEVROLL</v>
      </c>
      <c r="C1853" s="185" t="e">
        <f t="shared" si="57"/>
        <v>#N/A</v>
      </c>
      <c r="D1853" s="407" t="s">
        <v>1500</v>
      </c>
      <c r="E1853" s="407" t="s">
        <v>1930</v>
      </c>
      <c r="F1853" s="407" t="s">
        <v>2179</v>
      </c>
      <c r="G1853" s="407" t="s">
        <v>2451</v>
      </c>
      <c r="H1853" s="460" t="e">
        <v>#N/A</v>
      </c>
      <c r="I1853" s="460" t="e">
        <v>#N/A</v>
      </c>
      <c r="J1853" s="460" t="e">
        <v>#N/A</v>
      </c>
      <c r="K1853" s="460" t="e">
        <v>#N/A</v>
      </c>
      <c r="L1853" s="459" t="e">
        <v>#N/A</v>
      </c>
      <c r="O1853" t="e">
        <v>#N/A</v>
      </c>
      <c r="P1853" t="e">
        <v>#N/A</v>
      </c>
    </row>
    <row r="1854" spans="1:16" ht="14.4" x14ac:dyDescent="0.3">
      <c r="A1854">
        <v>378570</v>
      </c>
      <c r="B1854" t="str">
        <f t="shared" si="56"/>
        <v>SEVROLL 40265 Prosty szablon do wózków do laminatu 18mm</v>
      </c>
      <c r="C1854" s="185">
        <f t="shared" si="57"/>
        <v>20.175750000000001</v>
      </c>
      <c r="D1854" s="407" t="s">
        <v>1501</v>
      </c>
      <c r="E1854" s="407" t="s">
        <v>1931</v>
      </c>
      <c r="F1854" s="407" t="s">
        <v>6005</v>
      </c>
      <c r="G1854" s="407" t="s">
        <v>6006</v>
      </c>
      <c r="H1854" s="460">
        <v>115.8982</v>
      </c>
      <c r="I1854" s="460">
        <v>4.6192500000000001</v>
      </c>
      <c r="J1854" s="460">
        <v>20.175750000000001</v>
      </c>
      <c r="K1854" s="460">
        <v>1881.7835700000001</v>
      </c>
      <c r="L1854" s="459" t="s">
        <v>539</v>
      </c>
      <c r="O1854">
        <v>4.1689999999999996</v>
      </c>
      <c r="P1854" t="s">
        <v>10090</v>
      </c>
    </row>
    <row r="1855" spans="1:16" ht="14.4" x14ac:dyDescent="0.3">
      <c r="A1855">
        <v>378693</v>
      </c>
      <c r="B1855" t="str">
        <f t="shared" si="56"/>
        <v/>
      </c>
      <c r="C1855" s="185" t="e">
        <f t="shared" si="57"/>
        <v>#N/A</v>
      </c>
      <c r="D1855" s="407" t="s">
        <v>1502</v>
      </c>
      <c r="E1855" s="407" t="s">
        <v>68</v>
      </c>
      <c r="F1855" s="407" t="s">
        <v>68</v>
      </c>
      <c r="G1855" s="407" t="s">
        <v>68</v>
      </c>
      <c r="H1855" s="460" t="e">
        <v>#N/A</v>
      </c>
      <c r="I1855" s="460" t="e">
        <v>#N/A</v>
      </c>
      <c r="J1855" s="460" t="e">
        <v>#N/A</v>
      </c>
      <c r="K1855" s="460" t="e">
        <v>#N/A</v>
      </c>
      <c r="L1855" s="459" t="e">
        <v>#N/A</v>
      </c>
      <c r="O1855">
        <v>0</v>
      </c>
      <c r="P1855" t="s">
        <v>10091</v>
      </c>
    </row>
    <row r="1856" spans="1:16" ht="14.4" x14ac:dyDescent="0.3">
      <c r="A1856">
        <v>378694</v>
      </c>
      <c r="B1856" t="str">
        <f t="shared" si="56"/>
        <v/>
      </c>
      <c r="C1856" s="185" t="e">
        <f t="shared" si="57"/>
        <v>#N/A</v>
      </c>
      <c r="D1856" s="407" t="s">
        <v>1503</v>
      </c>
      <c r="E1856" s="407" t="s">
        <v>68</v>
      </c>
      <c r="F1856" s="407" t="s">
        <v>68</v>
      </c>
      <c r="G1856" s="407" t="s">
        <v>68</v>
      </c>
      <c r="H1856" s="460" t="e">
        <v>#N/A</v>
      </c>
      <c r="I1856" s="460" t="e">
        <v>#N/A</v>
      </c>
      <c r="J1856" s="460" t="e">
        <v>#N/A</v>
      </c>
      <c r="K1856" s="460" t="e">
        <v>#N/A</v>
      </c>
      <c r="L1856" s="459" t="e">
        <v>#N/A</v>
      </c>
      <c r="O1856">
        <v>0</v>
      </c>
      <c r="P1856" t="s">
        <v>10092</v>
      </c>
    </row>
    <row r="1857" spans="1:16" ht="14.4" x14ac:dyDescent="0.3">
      <c r="A1857">
        <v>378695</v>
      </c>
      <c r="B1857" t="e">
        <f t="shared" si="56"/>
        <v>#N/A</v>
      </c>
      <c r="C1857" s="185" t="e">
        <f t="shared" si="57"/>
        <v>#N/A</v>
      </c>
      <c r="D1857" s="407" t="e">
        <v>#N/A</v>
      </c>
      <c r="E1857" s="407" t="e">
        <v>#N/A</v>
      </c>
      <c r="F1857" s="407" t="e">
        <v>#N/A</v>
      </c>
      <c r="G1857" s="407" t="e">
        <v>#N/A</v>
      </c>
      <c r="H1857" s="460" t="e">
        <v>#N/A</v>
      </c>
      <c r="I1857" s="460" t="e">
        <v>#N/A</v>
      </c>
      <c r="J1857" s="460" t="e">
        <v>#N/A</v>
      </c>
      <c r="K1857" s="460" t="e">
        <v>#N/A</v>
      </c>
      <c r="L1857" s="459" t="e">
        <v>#N/A</v>
      </c>
      <c r="O1857" t="e">
        <v>#N/A</v>
      </c>
      <c r="P1857" t="e">
        <v>#N/A</v>
      </c>
    </row>
    <row r="1858" spans="1:16" ht="14.4" x14ac:dyDescent="0.3">
      <c r="A1858">
        <v>378696</v>
      </c>
      <c r="B1858" t="str">
        <f t="shared" si="56"/>
        <v/>
      </c>
      <c r="C1858" s="185" t="e">
        <f t="shared" si="57"/>
        <v>#N/A</v>
      </c>
      <c r="D1858" s="407" t="s">
        <v>1504</v>
      </c>
      <c r="E1858" s="407" t="s">
        <v>68</v>
      </c>
      <c r="F1858" s="407" t="s">
        <v>68</v>
      </c>
      <c r="G1858" s="407" t="s">
        <v>68</v>
      </c>
      <c r="H1858" s="460" t="e">
        <v>#N/A</v>
      </c>
      <c r="I1858" s="460" t="e">
        <v>#N/A</v>
      </c>
      <c r="J1858" s="460" t="e">
        <v>#N/A</v>
      </c>
      <c r="K1858" s="460" t="e">
        <v>#N/A</v>
      </c>
      <c r="L1858" s="459" t="e">
        <v>#N/A</v>
      </c>
      <c r="O1858" t="e">
        <v>#N/A</v>
      </c>
      <c r="P1858" t="e">
        <v>#N/A</v>
      </c>
    </row>
    <row r="1859" spans="1:16" ht="14.4" x14ac:dyDescent="0.3">
      <c r="A1859">
        <v>308132</v>
      </c>
      <c r="B1859" t="e">
        <f t="shared" si="56"/>
        <v>#N/A</v>
      </c>
      <c r="C1859" s="185" t="e">
        <f t="shared" si="57"/>
        <v>#N/A</v>
      </c>
      <c r="D1859" s="407" t="e">
        <v>#N/A</v>
      </c>
      <c r="E1859" s="407" t="e">
        <v>#N/A</v>
      </c>
      <c r="F1859" s="407" t="e">
        <v>#N/A</v>
      </c>
      <c r="G1859" s="407" t="e">
        <v>#N/A</v>
      </c>
      <c r="H1859" s="460" t="e">
        <v>#N/A</v>
      </c>
      <c r="I1859" s="460" t="e">
        <v>#N/A</v>
      </c>
      <c r="J1859" s="460" t="e">
        <v>#N/A</v>
      </c>
      <c r="K1859" s="460" t="e">
        <v>#N/A</v>
      </c>
      <c r="L1859" s="459" t="e">
        <v>#N/A</v>
      </c>
      <c r="O1859" t="e">
        <v>#N/A</v>
      </c>
      <c r="P1859" t="e">
        <v>#N/A</v>
      </c>
    </row>
    <row r="1860" spans="1:16" ht="14.4" x14ac:dyDescent="0.3">
      <c r="A1860">
        <v>425057</v>
      </c>
      <c r="B1860" t="str">
        <f t="shared" ref="B1860:B1923" si="58">IF($A$2=1,D1860,IF($A$2=2,F1860,IF($A$2=3,G1860,IF($A$2=4,E1860,IF($A$2&gt;4,P1860,"zadat jazyk")))))</f>
        <v>SEVROLL Fox II rączka 2,7m czarny mat</v>
      </c>
      <c r="C1860" s="185">
        <f t="shared" ref="C1860:C1923" si="59">IF($A$2=1,H1860,IF($A$2=2,I1860,IF($A$2=3,J1860,IF($A$2=4,K1860,IF($A$2&gt;4,O1860,"zadat jazyk")))))</f>
        <v>80.416799999999995</v>
      </c>
      <c r="D1860" s="407" t="s">
        <v>1505</v>
      </c>
      <c r="E1860" s="407" t="s">
        <v>1932</v>
      </c>
      <c r="F1860" s="407" t="s">
        <v>6007</v>
      </c>
      <c r="G1860" s="407" t="s">
        <v>2452</v>
      </c>
      <c r="H1860" s="460">
        <v>600.71082000000001</v>
      </c>
      <c r="I1860" s="460">
        <v>21.598759999999999</v>
      </c>
      <c r="J1860" s="460">
        <v>80.416799999999995</v>
      </c>
      <c r="K1860" s="460">
        <v>8313.0529399999996</v>
      </c>
      <c r="L1860" s="459" t="s">
        <v>538</v>
      </c>
      <c r="O1860">
        <v>20.283999999999999</v>
      </c>
      <c r="P1860" t="s">
        <v>10093</v>
      </c>
    </row>
    <row r="1861" spans="1:16" ht="14.4" x14ac:dyDescent="0.3">
      <c r="A1861">
        <v>452321</v>
      </c>
      <c r="B1861" t="e">
        <f t="shared" si="58"/>
        <v>#N/A</v>
      </c>
      <c r="C1861" s="185" t="e">
        <f t="shared" si="59"/>
        <v>#N/A</v>
      </c>
      <c r="D1861" s="407" t="e">
        <v>#N/A</v>
      </c>
      <c r="E1861" s="407" t="e">
        <v>#N/A</v>
      </c>
      <c r="F1861" s="407" t="e">
        <v>#N/A</v>
      </c>
      <c r="G1861" s="407" t="e">
        <v>#N/A</v>
      </c>
      <c r="H1861" s="460" t="e">
        <v>#N/A</v>
      </c>
      <c r="I1861" s="460" t="e">
        <v>#N/A</v>
      </c>
      <c r="J1861" s="460" t="e">
        <v>#N/A</v>
      </c>
      <c r="K1861" s="460" t="e">
        <v>#N/A</v>
      </c>
      <c r="L1861" s="459" t="e">
        <v>#N/A</v>
      </c>
      <c r="O1861" t="e">
        <v>#N/A</v>
      </c>
      <c r="P1861" t="e">
        <v>#N/A</v>
      </c>
    </row>
    <row r="1862" spans="1:16" ht="14.4" x14ac:dyDescent="0.3">
      <c r="A1862">
        <v>452322</v>
      </c>
      <c r="B1862" t="e">
        <f t="shared" si="58"/>
        <v>#N/A</v>
      </c>
      <c r="C1862" s="185" t="e">
        <f t="shared" si="59"/>
        <v>#N/A</v>
      </c>
      <c r="D1862" s="407" t="e">
        <v>#N/A</v>
      </c>
      <c r="E1862" s="407" t="e">
        <v>#N/A</v>
      </c>
      <c r="F1862" s="407" t="e">
        <v>#N/A</v>
      </c>
      <c r="G1862" s="407" t="e">
        <v>#N/A</v>
      </c>
      <c r="H1862" s="460" t="e">
        <v>#N/A</v>
      </c>
      <c r="I1862" s="460" t="e">
        <v>#N/A</v>
      </c>
      <c r="J1862" s="460" t="e">
        <v>#N/A</v>
      </c>
      <c r="K1862" s="460" t="e">
        <v>#N/A</v>
      </c>
      <c r="L1862" s="459" t="e">
        <v>#N/A</v>
      </c>
      <c r="O1862" t="e">
        <v>#N/A</v>
      </c>
      <c r="P1862" t="e">
        <v>#N/A</v>
      </c>
    </row>
    <row r="1863" spans="1:16" ht="14.4" x14ac:dyDescent="0.3">
      <c r="A1863">
        <v>343109</v>
      </c>
      <c r="B1863" t="str">
        <f t="shared" si="58"/>
        <v>SEVROLL Eden zestaw okuć dla 2 drzwi</v>
      </c>
      <c r="C1863" s="185">
        <f t="shared" si="59"/>
        <v>161.16269</v>
      </c>
      <c r="D1863" s="407" t="s">
        <v>1506</v>
      </c>
      <c r="E1863" s="407" t="s">
        <v>1934</v>
      </c>
      <c r="F1863" s="407" t="s">
        <v>6008</v>
      </c>
      <c r="G1863" s="407" t="s">
        <v>2358</v>
      </c>
      <c r="H1863" s="460">
        <v>1303.47011</v>
      </c>
      <c r="I1863" s="460">
        <v>46.866700000000002</v>
      </c>
      <c r="J1863" s="460">
        <v>161.16269</v>
      </c>
      <c r="K1863" s="460">
        <v>18038.323110000001</v>
      </c>
      <c r="L1863" s="459" t="s">
        <v>539</v>
      </c>
      <c r="O1863">
        <v>41.712000000000003</v>
      </c>
      <c r="P1863" t="s">
        <v>10094</v>
      </c>
    </row>
    <row r="1864" spans="1:16" ht="14.4" x14ac:dyDescent="0.3">
      <c r="A1864">
        <v>343110</v>
      </c>
      <c r="B1864" t="str">
        <f t="shared" si="58"/>
        <v>SEVROLL Eden zestaw okuć do drzwi wewnętrznych</v>
      </c>
      <c r="C1864" s="185">
        <f t="shared" si="59"/>
        <v>79.641750000000002</v>
      </c>
      <c r="D1864" s="407" t="s">
        <v>1507</v>
      </c>
      <c r="E1864" s="407" t="s">
        <v>1935</v>
      </c>
      <c r="F1864" s="407" t="s">
        <v>6009</v>
      </c>
      <c r="G1864" s="407" t="s">
        <v>2454</v>
      </c>
      <c r="H1864" s="460">
        <v>644.13570000000004</v>
      </c>
      <c r="I1864" s="460">
        <v>23.16011</v>
      </c>
      <c r="J1864" s="460">
        <v>79.641750000000002</v>
      </c>
      <c r="K1864" s="460">
        <v>8913.9965200000006</v>
      </c>
      <c r="L1864" s="459" t="s">
        <v>539</v>
      </c>
      <c r="O1864">
        <v>20.614000000000001</v>
      </c>
      <c r="P1864" t="s">
        <v>10095</v>
      </c>
    </row>
    <row r="1865" spans="1:16" ht="14.4" x14ac:dyDescent="0.3">
      <c r="A1865">
        <v>343112</v>
      </c>
      <c r="B1865" t="str">
        <f t="shared" si="58"/>
        <v>SEVROLL Eden tor górny 1,7m srebrny</v>
      </c>
      <c r="C1865" s="185">
        <f t="shared" si="59"/>
        <v>28.008849999999999</v>
      </c>
      <c r="D1865" s="407" t="s">
        <v>1508</v>
      </c>
      <c r="E1865" s="407" t="s">
        <v>1936</v>
      </c>
      <c r="F1865" s="407" t="s">
        <v>6010</v>
      </c>
      <c r="G1865" s="407" t="s">
        <v>2455</v>
      </c>
      <c r="H1865" s="460">
        <v>226.53310999999999</v>
      </c>
      <c r="I1865" s="460">
        <v>8.1450700000000005</v>
      </c>
      <c r="J1865" s="460">
        <v>28.008849999999999</v>
      </c>
      <c r="K1865" s="460">
        <v>3134.92229</v>
      </c>
      <c r="L1865" s="459" t="s">
        <v>539</v>
      </c>
      <c r="O1865">
        <v>7.2380000000000004</v>
      </c>
      <c r="P1865" t="s">
        <v>10096</v>
      </c>
    </row>
    <row r="1866" spans="1:16" ht="14.4" x14ac:dyDescent="0.3">
      <c r="A1866">
        <v>343113</v>
      </c>
      <c r="B1866" t="str">
        <f t="shared" si="58"/>
        <v>SEVROLL Eden tor górny 1,7m biały połysk</v>
      </c>
      <c r="C1866" s="185" t="e">
        <f t="shared" si="59"/>
        <v>#N/A</v>
      </c>
      <c r="D1866" s="407" t="s">
        <v>1509</v>
      </c>
      <c r="E1866" s="407" t="s">
        <v>1937</v>
      </c>
      <c r="F1866" s="407" t="s">
        <v>6011</v>
      </c>
      <c r="G1866" s="407" t="s">
        <v>2456</v>
      </c>
      <c r="H1866" s="460" t="e">
        <v>#N/A</v>
      </c>
      <c r="I1866" s="460" t="e">
        <v>#N/A</v>
      </c>
      <c r="J1866" s="460" t="e">
        <v>#N/A</v>
      </c>
      <c r="K1866" s="460" t="e">
        <v>#N/A</v>
      </c>
      <c r="L1866" s="459" t="e">
        <v>#N/A</v>
      </c>
      <c r="O1866">
        <v>8.9540000000000006</v>
      </c>
      <c r="P1866" t="s">
        <v>10097</v>
      </c>
    </row>
    <row r="1867" spans="1:16" ht="14.4" x14ac:dyDescent="0.3">
      <c r="A1867">
        <v>343115</v>
      </c>
      <c r="B1867" t="str">
        <f t="shared" si="58"/>
        <v>SEVROLL Eden tor górny 2,35m srebrny</v>
      </c>
      <c r="C1867" s="185">
        <f t="shared" si="59"/>
        <v>38.65757</v>
      </c>
      <c r="D1867" s="407" t="s">
        <v>1510</v>
      </c>
      <c r="E1867" s="407" t="s">
        <v>1938</v>
      </c>
      <c r="F1867" s="407" t="s">
        <v>6012</v>
      </c>
      <c r="G1867" s="407" t="s">
        <v>2357</v>
      </c>
      <c r="H1867" s="460">
        <v>312.65911999999997</v>
      </c>
      <c r="I1867" s="460">
        <v>11.241759999999999</v>
      </c>
      <c r="J1867" s="460">
        <v>38.65757</v>
      </c>
      <c r="K1867" s="460">
        <v>4326.7938999999997</v>
      </c>
      <c r="L1867" s="459" t="s">
        <v>539</v>
      </c>
      <c r="O1867">
        <v>10.01</v>
      </c>
      <c r="P1867" t="s">
        <v>10098</v>
      </c>
    </row>
    <row r="1868" spans="1:16" ht="14.4" x14ac:dyDescent="0.3">
      <c r="A1868">
        <v>343116</v>
      </c>
      <c r="B1868" t="str">
        <f t="shared" si="58"/>
        <v>SEVROLL Eden tor górny 2,35m biały połysk</v>
      </c>
      <c r="C1868" s="185" t="e">
        <f t="shared" si="59"/>
        <v>#N/A</v>
      </c>
      <c r="D1868" s="407" t="s">
        <v>1511</v>
      </c>
      <c r="E1868" s="407" t="s">
        <v>1939</v>
      </c>
      <c r="F1868" s="407" t="s">
        <v>6013</v>
      </c>
      <c r="G1868" s="407" t="s">
        <v>2457</v>
      </c>
      <c r="H1868" s="460" t="e">
        <v>#N/A</v>
      </c>
      <c r="I1868" s="460" t="e">
        <v>#N/A</v>
      </c>
      <c r="J1868" s="460" t="e">
        <v>#N/A</v>
      </c>
      <c r="K1868" s="460" t="e">
        <v>#N/A</v>
      </c>
      <c r="L1868" s="459" t="e">
        <v>#N/A</v>
      </c>
      <c r="O1868">
        <v>12.342000000000001</v>
      </c>
      <c r="P1868" t="s">
        <v>10099</v>
      </c>
    </row>
    <row r="1869" spans="1:16" ht="14.4" x14ac:dyDescent="0.3">
      <c r="A1869">
        <v>343117</v>
      </c>
      <c r="B1869" t="str">
        <f t="shared" si="58"/>
        <v>SEVROLL Eden tor górny 3m srebrny</v>
      </c>
      <c r="C1869" s="185">
        <f t="shared" si="59"/>
        <v>49.395780000000002</v>
      </c>
      <c r="D1869" s="407" t="s">
        <v>1512</v>
      </c>
      <c r="E1869" s="407" t="s">
        <v>1940</v>
      </c>
      <c r="F1869" s="407" t="s">
        <v>6014</v>
      </c>
      <c r="G1869" s="407" t="s">
        <v>2458</v>
      </c>
      <c r="H1869" s="460">
        <v>399.50887999999998</v>
      </c>
      <c r="I1869" s="460">
        <v>14.36448</v>
      </c>
      <c r="J1869" s="460">
        <v>49.395780000000002</v>
      </c>
      <c r="K1869" s="460">
        <v>5528.6810599999999</v>
      </c>
      <c r="L1869" s="459" t="s">
        <v>539</v>
      </c>
      <c r="O1869">
        <v>12.782</v>
      </c>
      <c r="P1869" t="s">
        <v>10100</v>
      </c>
    </row>
    <row r="1870" spans="1:16" ht="14.4" x14ac:dyDescent="0.3">
      <c r="A1870">
        <v>343118</v>
      </c>
      <c r="B1870" t="str">
        <f t="shared" si="58"/>
        <v>SEVROLL Eden tor górny 3m biały połysk</v>
      </c>
      <c r="C1870" s="185">
        <f t="shared" si="59"/>
        <v>64.250320000000002</v>
      </c>
      <c r="D1870" s="407" t="s">
        <v>1513</v>
      </c>
      <c r="E1870" s="407" t="s">
        <v>1941</v>
      </c>
      <c r="F1870" s="407" t="s">
        <v>6015</v>
      </c>
      <c r="G1870" s="407" t="s">
        <v>2459</v>
      </c>
      <c r="H1870" s="460">
        <v>519.65106000000003</v>
      </c>
      <c r="I1870" s="460">
        <v>18.684229999999999</v>
      </c>
      <c r="J1870" s="460">
        <v>64.250320000000002</v>
      </c>
      <c r="K1870" s="460">
        <v>7191.2914899999996</v>
      </c>
      <c r="L1870" s="459" t="s">
        <v>539</v>
      </c>
      <c r="O1870">
        <v>15.752000000000001</v>
      </c>
      <c r="P1870" t="s">
        <v>10101</v>
      </c>
    </row>
    <row r="1871" spans="1:16" ht="14.4" x14ac:dyDescent="0.3">
      <c r="A1871">
        <v>343119</v>
      </c>
      <c r="B1871" t="str">
        <f t="shared" si="58"/>
        <v>SEVROLL Eden tor górny 6m srebrny</v>
      </c>
      <c r="C1871" s="185">
        <f t="shared" si="59"/>
        <v>0</v>
      </c>
      <c r="D1871" s="407" t="s">
        <v>1514</v>
      </c>
      <c r="E1871" s="407" t="s">
        <v>1942</v>
      </c>
      <c r="F1871" s="407" t="s">
        <v>6016</v>
      </c>
      <c r="G1871" s="407" t="s">
        <v>2460</v>
      </c>
      <c r="H1871" s="460">
        <v>799.01775999999995</v>
      </c>
      <c r="I1871" s="460">
        <v>28.728950000000001</v>
      </c>
      <c r="J1871" s="460">
        <v>0</v>
      </c>
      <c r="K1871" s="460">
        <v>11057.36212</v>
      </c>
      <c r="L1871" s="459" t="s">
        <v>539</v>
      </c>
      <c r="O1871">
        <v>25.564</v>
      </c>
      <c r="P1871" t="s">
        <v>10102</v>
      </c>
    </row>
    <row r="1872" spans="1:16" ht="14.4" x14ac:dyDescent="0.3">
      <c r="A1872">
        <v>343120</v>
      </c>
      <c r="B1872" t="str">
        <f t="shared" si="58"/>
        <v>SEVROLL Eden tor górny 6m biały połysk</v>
      </c>
      <c r="C1872" s="185">
        <f t="shared" si="59"/>
        <v>0</v>
      </c>
      <c r="D1872" s="407" t="s">
        <v>1515</v>
      </c>
      <c r="E1872" s="407" t="s">
        <v>1943</v>
      </c>
      <c r="F1872" s="407" t="s">
        <v>6017</v>
      </c>
      <c r="G1872" s="407" t="s">
        <v>2461</v>
      </c>
      <c r="H1872" s="460">
        <v>1038.5783699999999</v>
      </c>
      <c r="I1872" s="460">
        <v>37.34243</v>
      </c>
      <c r="J1872" s="460">
        <v>0</v>
      </c>
      <c r="K1872" s="460">
        <v>14372.5674</v>
      </c>
      <c r="L1872" s="459" t="s">
        <v>539</v>
      </c>
      <c r="O1872">
        <v>31.481999999999999</v>
      </c>
      <c r="P1872" t="s">
        <v>10103</v>
      </c>
    </row>
    <row r="1873" spans="1:16" ht="14.4" x14ac:dyDescent="0.3">
      <c r="A1873">
        <v>343327</v>
      </c>
      <c r="B1873" t="str">
        <f t="shared" si="58"/>
        <v>SEVROLL Eden listwa pozioma 1,7m srebrny</v>
      </c>
      <c r="C1873" s="185" t="e">
        <f t="shared" si="59"/>
        <v>#N/A</v>
      </c>
      <c r="D1873" s="407" t="s">
        <v>1516</v>
      </c>
      <c r="E1873" s="407" t="s">
        <v>1944</v>
      </c>
      <c r="F1873" s="407" t="s">
        <v>6018</v>
      </c>
      <c r="G1873" s="407" t="s">
        <v>2462</v>
      </c>
      <c r="H1873" s="460" t="e">
        <v>#N/A</v>
      </c>
      <c r="I1873" s="460" t="e">
        <v>#N/A</v>
      </c>
      <c r="J1873" s="460" t="e">
        <v>#N/A</v>
      </c>
      <c r="K1873" s="460" t="e">
        <v>#N/A</v>
      </c>
      <c r="L1873" s="459" t="e">
        <v>#N/A</v>
      </c>
      <c r="O1873">
        <v>18.611999999999998</v>
      </c>
      <c r="P1873" t="s">
        <v>10104</v>
      </c>
    </row>
    <row r="1874" spans="1:16" ht="14.4" x14ac:dyDescent="0.3">
      <c r="A1874">
        <v>343328</v>
      </c>
      <c r="B1874" t="str">
        <f t="shared" si="58"/>
        <v>SEVROLL Eden XL listwa pozioma 1,7m srebrny</v>
      </c>
      <c r="C1874" s="185">
        <f t="shared" si="59"/>
        <v>84.294979999999995</v>
      </c>
      <c r="D1874" s="407" t="s">
        <v>1517</v>
      </c>
      <c r="E1874" s="407" t="s">
        <v>1945</v>
      </c>
      <c r="F1874" s="407" t="s">
        <v>6019</v>
      </c>
      <c r="G1874" s="407" t="s">
        <v>2463</v>
      </c>
      <c r="H1874" s="460">
        <v>681.77058999999997</v>
      </c>
      <c r="I1874" s="460">
        <v>24.513290000000001</v>
      </c>
      <c r="J1874" s="460">
        <v>84.294979999999995</v>
      </c>
      <c r="K1874" s="460">
        <v>9434.8143600000003</v>
      </c>
      <c r="L1874" s="459" t="s">
        <v>539</v>
      </c>
      <c r="O1874">
        <v>20.724</v>
      </c>
      <c r="P1874" t="s">
        <v>10105</v>
      </c>
    </row>
    <row r="1875" spans="1:16" ht="14.4" x14ac:dyDescent="0.3">
      <c r="A1875">
        <v>343329</v>
      </c>
      <c r="B1875" t="str">
        <f t="shared" si="58"/>
        <v>SEVROLL Eden XL listwa pozioma 1,7m biały połysk</v>
      </c>
      <c r="C1875" s="185" t="e">
        <f t="shared" si="59"/>
        <v>#N/A</v>
      </c>
      <c r="D1875" s="407" t="s">
        <v>1518</v>
      </c>
      <c r="E1875" s="407" t="s">
        <v>1946</v>
      </c>
      <c r="F1875" s="407" t="s">
        <v>6020</v>
      </c>
      <c r="G1875" s="407" t="s">
        <v>2464</v>
      </c>
      <c r="H1875" s="460" t="e">
        <v>#N/A</v>
      </c>
      <c r="I1875" s="460" t="e">
        <v>#N/A</v>
      </c>
      <c r="J1875" s="460" t="e">
        <v>#N/A</v>
      </c>
      <c r="K1875" s="460" t="e">
        <v>#N/A</v>
      </c>
      <c r="L1875" s="459" t="e">
        <v>#N/A</v>
      </c>
      <c r="O1875">
        <v>26.928000000000001</v>
      </c>
      <c r="P1875" t="s">
        <v>10106</v>
      </c>
    </row>
    <row r="1876" spans="1:16" ht="14.4" x14ac:dyDescent="0.3">
      <c r="A1876">
        <v>343330</v>
      </c>
      <c r="B1876" t="str">
        <f t="shared" si="58"/>
        <v>SEVROLL Eden listwa pozioma 1,7m biały połysk</v>
      </c>
      <c r="C1876" s="185" t="e">
        <f t="shared" si="59"/>
        <v>#N/A</v>
      </c>
      <c r="D1876" s="407" t="s">
        <v>1519</v>
      </c>
      <c r="E1876" s="407" t="s">
        <v>1947</v>
      </c>
      <c r="F1876" s="407" t="s">
        <v>6021</v>
      </c>
      <c r="G1876" s="407" t="s">
        <v>2465</v>
      </c>
      <c r="H1876" s="460" t="e">
        <v>#N/A</v>
      </c>
      <c r="I1876" s="460" t="e">
        <v>#N/A</v>
      </c>
      <c r="J1876" s="460" t="e">
        <v>#N/A</v>
      </c>
      <c r="K1876" s="460" t="e">
        <v>#N/A</v>
      </c>
      <c r="L1876" s="459" t="e">
        <v>#N/A</v>
      </c>
      <c r="O1876">
        <v>25.937999999999999</v>
      </c>
      <c r="P1876" t="s">
        <v>10107</v>
      </c>
    </row>
    <row r="1877" spans="1:16" ht="14.4" x14ac:dyDescent="0.3">
      <c r="A1877">
        <v>343331</v>
      </c>
      <c r="B1877" t="str">
        <f t="shared" si="58"/>
        <v>SEVROLL Eden listwa pozioma 2,35m biały połysk</v>
      </c>
      <c r="C1877" s="185">
        <f t="shared" si="59"/>
        <v>136.01739000000001</v>
      </c>
      <c r="D1877" s="407" t="s">
        <v>1520</v>
      </c>
      <c r="E1877" s="407" t="s">
        <v>1948</v>
      </c>
      <c r="F1877" s="407" t="s">
        <v>6022</v>
      </c>
      <c r="G1877" s="407" t="s">
        <v>2466</v>
      </c>
      <c r="H1877" s="460">
        <v>1100.0969299999999</v>
      </c>
      <c r="I1877" s="460">
        <v>39.554349999999999</v>
      </c>
      <c r="J1877" s="460">
        <v>136.01739000000001</v>
      </c>
      <c r="K1877" s="460">
        <v>15223.90415</v>
      </c>
      <c r="L1877" s="459" t="s">
        <v>539</v>
      </c>
      <c r="O1877">
        <v>35.838000000000001</v>
      </c>
      <c r="P1877" t="s">
        <v>10108</v>
      </c>
    </row>
    <row r="1878" spans="1:16" ht="14.4" x14ac:dyDescent="0.3">
      <c r="A1878">
        <v>343332</v>
      </c>
      <c r="B1878" t="str">
        <f t="shared" si="58"/>
        <v>SEVROLL Eden XL listwa pozioma 2,35m biały połysk</v>
      </c>
      <c r="C1878" s="185" t="e">
        <f t="shared" si="59"/>
        <v>#N/A</v>
      </c>
      <c r="D1878" s="407" t="s">
        <v>1521</v>
      </c>
      <c r="E1878" s="407" t="s">
        <v>1949</v>
      </c>
      <c r="F1878" s="407" t="s">
        <v>6023</v>
      </c>
      <c r="G1878" s="407" t="s">
        <v>2467</v>
      </c>
      <c r="H1878" s="460" t="e">
        <v>#N/A</v>
      </c>
      <c r="I1878" s="460" t="e">
        <v>#N/A</v>
      </c>
      <c r="J1878" s="460" t="e">
        <v>#N/A</v>
      </c>
      <c r="K1878" s="460" t="e">
        <v>#N/A</v>
      </c>
      <c r="L1878" s="459" t="e">
        <v>#N/A</v>
      </c>
      <c r="O1878">
        <v>37.246000000000002</v>
      </c>
      <c r="P1878" t="s">
        <v>10109</v>
      </c>
    </row>
    <row r="1879" spans="1:16" ht="14.4" x14ac:dyDescent="0.3">
      <c r="A1879">
        <v>343333</v>
      </c>
      <c r="B1879" t="str">
        <f t="shared" si="58"/>
        <v>SEVROLL Eden XL listwa pozioma 2,35m srebrny</v>
      </c>
      <c r="C1879" s="185" t="e">
        <f t="shared" si="59"/>
        <v>#N/A</v>
      </c>
      <c r="D1879" s="407" t="s">
        <v>1522</v>
      </c>
      <c r="E1879" s="407" t="s">
        <v>1950</v>
      </c>
      <c r="F1879" s="407" t="s">
        <v>6024</v>
      </c>
      <c r="G1879" s="407" t="s">
        <v>2468</v>
      </c>
      <c r="H1879" s="460" t="e">
        <v>#N/A</v>
      </c>
      <c r="I1879" s="460" t="e">
        <v>#N/A</v>
      </c>
      <c r="J1879" s="460" t="e">
        <v>#N/A</v>
      </c>
      <c r="K1879" s="460" t="e">
        <v>#N/A</v>
      </c>
      <c r="L1879" s="459" t="e">
        <v>#N/A</v>
      </c>
      <c r="O1879">
        <v>28.643999999999998</v>
      </c>
      <c r="P1879" t="s">
        <v>10110</v>
      </c>
    </row>
    <row r="1880" spans="1:16" ht="14.4" x14ac:dyDescent="0.3">
      <c r="A1880">
        <v>343334</v>
      </c>
      <c r="B1880" t="str">
        <f t="shared" si="58"/>
        <v>SEVROLL Eden listwa pozioma 2,35m srebrny</v>
      </c>
      <c r="C1880" s="185" t="e">
        <f t="shared" si="59"/>
        <v>#N/A</v>
      </c>
      <c r="D1880" s="407" t="s">
        <v>1523</v>
      </c>
      <c r="E1880" s="407" t="s">
        <v>1951</v>
      </c>
      <c r="F1880" s="407" t="s">
        <v>6025</v>
      </c>
      <c r="G1880" s="407" t="s">
        <v>2469</v>
      </c>
      <c r="H1880" s="460" t="e">
        <v>#N/A</v>
      </c>
      <c r="I1880" s="460" t="e">
        <v>#N/A</v>
      </c>
      <c r="J1880" s="460" t="e">
        <v>#N/A</v>
      </c>
      <c r="K1880" s="460" t="e">
        <v>#N/A</v>
      </c>
      <c r="L1880" s="459" t="e">
        <v>#N/A</v>
      </c>
      <c r="O1880">
        <v>25.718</v>
      </c>
      <c r="P1880" t="s">
        <v>10111</v>
      </c>
    </row>
    <row r="1881" spans="1:16" ht="14.4" x14ac:dyDescent="0.3">
      <c r="A1881">
        <v>343335</v>
      </c>
      <c r="B1881" t="str">
        <f t="shared" si="58"/>
        <v>SEVROLL Eden listwa pozioma 3m srebrny</v>
      </c>
      <c r="C1881" s="185">
        <f t="shared" si="59"/>
        <v>133.51179999999999</v>
      </c>
      <c r="D1881" s="407" t="s">
        <v>1524</v>
      </c>
      <c r="E1881" s="407" t="s">
        <v>1952</v>
      </c>
      <c r="F1881" s="407" t="s">
        <v>6026</v>
      </c>
      <c r="G1881" s="407" t="s">
        <v>2470</v>
      </c>
      <c r="H1881" s="460">
        <v>1079.8319799999999</v>
      </c>
      <c r="I1881" s="460">
        <v>38.825719999999997</v>
      </c>
      <c r="J1881" s="460">
        <v>133.51179999999999</v>
      </c>
      <c r="K1881" s="460" t="e">
        <v>#N/A</v>
      </c>
      <c r="L1881" s="459" t="s">
        <v>539</v>
      </c>
      <c r="O1881">
        <v>32.823999999999998</v>
      </c>
      <c r="P1881" t="s">
        <v>10112</v>
      </c>
    </row>
    <row r="1882" spans="1:16" ht="14.4" x14ac:dyDescent="0.3">
      <c r="A1882">
        <v>343336</v>
      </c>
      <c r="B1882" t="str">
        <f t="shared" si="58"/>
        <v>SEVROLL Eden XL listwa pozioma 3m srebrny</v>
      </c>
      <c r="C1882" s="185" t="e">
        <f t="shared" si="59"/>
        <v>#N/A</v>
      </c>
      <c r="D1882" s="407" t="s">
        <v>1525</v>
      </c>
      <c r="E1882" s="407" t="s">
        <v>1953</v>
      </c>
      <c r="F1882" s="407" t="s">
        <v>6027</v>
      </c>
      <c r="G1882" s="407" t="s">
        <v>2471</v>
      </c>
      <c r="H1882" s="460" t="e">
        <v>#N/A</v>
      </c>
      <c r="I1882" s="460" t="e">
        <v>#N/A</v>
      </c>
      <c r="J1882" s="460" t="e">
        <v>#N/A</v>
      </c>
      <c r="K1882" s="460" t="e">
        <v>#N/A</v>
      </c>
      <c r="L1882" s="459" t="e">
        <v>#N/A</v>
      </c>
      <c r="O1882">
        <v>36.564</v>
      </c>
      <c r="P1882" t="s">
        <v>10113</v>
      </c>
    </row>
    <row r="1883" spans="1:16" ht="14.4" x14ac:dyDescent="0.3">
      <c r="A1883">
        <v>343337</v>
      </c>
      <c r="B1883" t="str">
        <f t="shared" si="58"/>
        <v>SEVROLL Eden XL listwa pozioma 3m biały połysk</v>
      </c>
      <c r="C1883" s="185" t="e">
        <f t="shared" si="59"/>
        <v>#N/A</v>
      </c>
      <c r="D1883" s="407" t="s">
        <v>1526</v>
      </c>
      <c r="E1883" s="407" t="s">
        <v>1954</v>
      </c>
      <c r="F1883" s="407" t="s">
        <v>6028</v>
      </c>
      <c r="G1883" s="407" t="s">
        <v>2472</v>
      </c>
      <c r="H1883" s="460" t="e">
        <v>#N/A</v>
      </c>
      <c r="I1883" s="460" t="e">
        <v>#N/A</v>
      </c>
      <c r="J1883" s="460" t="e">
        <v>#N/A</v>
      </c>
      <c r="K1883" s="460" t="e">
        <v>#N/A</v>
      </c>
      <c r="L1883" s="459" t="e">
        <v>#N/A</v>
      </c>
      <c r="O1883">
        <v>47.542000000000002</v>
      </c>
      <c r="P1883" t="s">
        <v>10114</v>
      </c>
    </row>
    <row r="1884" spans="1:16" ht="14.4" x14ac:dyDescent="0.3">
      <c r="A1884">
        <v>343338</v>
      </c>
      <c r="B1884" t="str">
        <f t="shared" si="58"/>
        <v>SEVROLL Eden listwa pozioma 3m biały połysk</v>
      </c>
      <c r="C1884" s="185">
        <f t="shared" si="59"/>
        <v>173.60113999999999</v>
      </c>
      <c r="D1884" s="407" t="s">
        <v>3348</v>
      </c>
      <c r="E1884" s="407" t="s">
        <v>1955</v>
      </c>
      <c r="F1884" s="407" t="s">
        <v>6029</v>
      </c>
      <c r="G1884" s="407" t="s">
        <v>2473</v>
      </c>
      <c r="H1884" s="460">
        <v>1404.0710799999999</v>
      </c>
      <c r="I1884" s="460">
        <v>50.483840000000001</v>
      </c>
      <c r="J1884" s="460">
        <v>173.60113999999999</v>
      </c>
      <c r="K1884" s="460">
        <v>19430.509249999999</v>
      </c>
      <c r="L1884" s="459" t="s">
        <v>539</v>
      </c>
      <c r="O1884">
        <v>45.76</v>
      </c>
      <c r="P1884" t="s">
        <v>10115</v>
      </c>
    </row>
    <row r="1885" spans="1:16" ht="14.4" x14ac:dyDescent="0.3">
      <c r="A1885">
        <v>343373</v>
      </c>
      <c r="B1885" t="str">
        <f t="shared" si="58"/>
        <v>SEVROLL Eden górna maskownica 1,1 m srebrna</v>
      </c>
      <c r="C1885" s="185">
        <f t="shared" si="59"/>
        <v>12.885859999999999</v>
      </c>
      <c r="D1885" s="407" t="s">
        <v>3349</v>
      </c>
      <c r="E1885" s="407" t="s">
        <v>1956</v>
      </c>
      <c r="F1885" s="407" t="s">
        <v>6030</v>
      </c>
      <c r="G1885" s="407" t="s">
        <v>6031</v>
      </c>
      <c r="H1885" s="460">
        <v>104.2197</v>
      </c>
      <c r="I1885" s="460">
        <v>3.7472500000000002</v>
      </c>
      <c r="J1885" s="460">
        <v>12.885859999999999</v>
      </c>
      <c r="K1885" s="460">
        <v>1442.26478</v>
      </c>
      <c r="L1885" s="459" t="s">
        <v>539</v>
      </c>
      <c r="O1885">
        <v>3.3439999999999999</v>
      </c>
      <c r="P1885" t="s">
        <v>10116</v>
      </c>
    </row>
    <row r="1886" spans="1:16" ht="14.4" x14ac:dyDescent="0.3">
      <c r="A1886">
        <v>306312</v>
      </c>
      <c r="B1886" t="e">
        <f t="shared" si="58"/>
        <v>#N/A</v>
      </c>
      <c r="C1886" s="185" t="e">
        <f t="shared" si="59"/>
        <v>#N/A</v>
      </c>
      <c r="D1886" s="407" t="e">
        <v>#N/A</v>
      </c>
      <c r="E1886" s="407" t="e">
        <v>#N/A</v>
      </c>
      <c r="F1886" s="407" t="e">
        <v>#N/A</v>
      </c>
      <c r="G1886" s="407" t="e">
        <v>#N/A</v>
      </c>
      <c r="H1886" s="460" t="e">
        <v>#N/A</v>
      </c>
      <c r="I1886" s="460" t="e">
        <v>#N/A</v>
      </c>
      <c r="J1886" s="460" t="e">
        <v>#N/A</v>
      </c>
      <c r="K1886" s="460" t="e">
        <v>#N/A</v>
      </c>
      <c r="L1886" s="459" t="e">
        <v>#N/A</v>
      </c>
      <c r="O1886" t="e">
        <v>#N/A</v>
      </c>
      <c r="P1886" t="e">
        <v>#N/A</v>
      </c>
    </row>
    <row r="1887" spans="1:16" ht="14.4" x14ac:dyDescent="0.3">
      <c r="A1887">
        <v>377230</v>
      </c>
      <c r="B1887" t="str">
        <f t="shared" si="58"/>
        <v>V-SEVROLL Szpros S10 3m srebrny</v>
      </c>
      <c r="C1887" s="185" t="e">
        <f t="shared" si="59"/>
        <v>#N/A</v>
      </c>
      <c r="D1887" s="407" t="s">
        <v>1527</v>
      </c>
      <c r="E1887" s="407" t="s">
        <v>1957</v>
      </c>
      <c r="F1887" s="407" t="s">
        <v>2180</v>
      </c>
      <c r="G1887" s="407" t="s">
        <v>2474</v>
      </c>
      <c r="H1887" s="460" t="e">
        <v>#N/A</v>
      </c>
      <c r="I1887" s="460" t="e">
        <v>#N/A</v>
      </c>
      <c r="J1887" s="460" t="e">
        <v>#N/A</v>
      </c>
      <c r="K1887" s="460" t="e">
        <v>#N/A</v>
      </c>
      <c r="L1887" s="459" t="e">
        <v>#N/A</v>
      </c>
      <c r="O1887">
        <v>0</v>
      </c>
      <c r="P1887" t="s">
        <v>10117</v>
      </c>
    </row>
    <row r="1888" spans="1:16" ht="14.4" x14ac:dyDescent="0.3">
      <c r="A1888">
        <v>377236</v>
      </c>
      <c r="B1888" t="str">
        <f t="shared" si="58"/>
        <v>V-SEVROLL Szpros S20 3m srebrny</v>
      </c>
      <c r="C1888" s="185" t="e">
        <f t="shared" si="59"/>
        <v>#N/A</v>
      </c>
      <c r="D1888" s="407" t="s">
        <v>1528</v>
      </c>
      <c r="E1888" s="407" t="s">
        <v>1958</v>
      </c>
      <c r="F1888" s="407" t="s">
        <v>2181</v>
      </c>
      <c r="G1888" s="407" t="s">
        <v>2475</v>
      </c>
      <c r="H1888" s="460" t="e">
        <v>#N/A</v>
      </c>
      <c r="I1888" s="460" t="e">
        <v>#N/A</v>
      </c>
      <c r="J1888" s="460" t="e">
        <v>#N/A</v>
      </c>
      <c r="K1888" s="460" t="e">
        <v>#N/A</v>
      </c>
      <c r="L1888" s="459" t="e">
        <v>#N/A</v>
      </c>
      <c r="O1888">
        <v>0</v>
      </c>
      <c r="P1888" t="s">
        <v>10118</v>
      </c>
    </row>
    <row r="1889" spans="1:16" ht="14.4" x14ac:dyDescent="0.3">
      <c r="A1889">
        <v>378174</v>
      </c>
      <c r="B1889" t="str">
        <f t="shared" si="58"/>
        <v>HAWA 053.3115.071 Clipo 15 H IS</v>
      </c>
      <c r="C1889" s="185" t="e">
        <f t="shared" si="59"/>
        <v>#N/A</v>
      </c>
      <c r="D1889" s="407" t="s">
        <v>8211</v>
      </c>
      <c r="E1889" s="407" t="s">
        <v>8211</v>
      </c>
      <c r="F1889" s="407" t="s">
        <v>8211</v>
      </c>
      <c r="G1889" s="407" t="s">
        <v>8211</v>
      </c>
      <c r="H1889" s="460" t="e">
        <v>#N/A</v>
      </c>
      <c r="I1889" s="460" t="e">
        <v>#N/A</v>
      </c>
      <c r="J1889" s="460" t="e">
        <v>#N/A</v>
      </c>
      <c r="K1889" s="460" t="e">
        <v>#N/A</v>
      </c>
      <c r="L1889" s="459" t="e">
        <v>#N/A</v>
      </c>
      <c r="O1889">
        <v>86.757109999999997</v>
      </c>
      <c r="P1889" t="s">
        <v>8211</v>
      </c>
    </row>
    <row r="1890" spans="1:16" ht="14.4" x14ac:dyDescent="0.3">
      <c r="A1890">
        <v>378316</v>
      </c>
      <c r="B1890" t="str">
        <f t="shared" si="58"/>
        <v/>
      </c>
      <c r="C1890" s="185">
        <f t="shared" si="59"/>
        <v>49.821309999999997</v>
      </c>
      <c r="D1890" s="407" t="s">
        <v>8212</v>
      </c>
      <c r="E1890" s="407" t="s">
        <v>8213</v>
      </c>
      <c r="F1890" s="407" t="s">
        <v>8214</v>
      </c>
      <c r="G1890" s="407" t="s">
        <v>68</v>
      </c>
      <c r="H1890" s="460">
        <v>264.60000000000002</v>
      </c>
      <c r="I1890" s="460">
        <v>11.293049999999999</v>
      </c>
      <c r="J1890" s="460">
        <v>49.821309999999997</v>
      </c>
      <c r="K1890" s="460" t="e">
        <v>#N/A</v>
      </c>
      <c r="L1890" s="459" t="s">
        <v>537</v>
      </c>
      <c r="O1890">
        <v>9.4990799999999993</v>
      </c>
      <c r="P1890" t="s">
        <v>10119</v>
      </c>
    </row>
    <row r="1891" spans="1:16" ht="14.4" x14ac:dyDescent="0.3">
      <c r="A1891">
        <v>378317</v>
      </c>
      <c r="B1891" t="str">
        <f t="shared" si="58"/>
        <v/>
      </c>
      <c r="C1891" s="185" t="e">
        <f t="shared" si="59"/>
        <v>#N/A</v>
      </c>
      <c r="D1891" s="407" t="s">
        <v>8215</v>
      </c>
      <c r="E1891" s="407" t="s">
        <v>8216</v>
      </c>
      <c r="F1891" s="407" t="s">
        <v>8217</v>
      </c>
      <c r="G1891" s="407" t="s">
        <v>68</v>
      </c>
      <c r="H1891" s="460" t="e">
        <v>#N/A</v>
      </c>
      <c r="I1891" s="460" t="e">
        <v>#N/A</v>
      </c>
      <c r="J1891" s="460" t="e">
        <v>#N/A</v>
      </c>
      <c r="K1891" s="460" t="e">
        <v>#N/A</v>
      </c>
      <c r="L1891" s="459" t="e">
        <v>#N/A</v>
      </c>
      <c r="O1891">
        <v>0</v>
      </c>
      <c r="P1891" t="s">
        <v>10120</v>
      </c>
    </row>
    <row r="1892" spans="1:16" ht="14.4" x14ac:dyDescent="0.3">
      <c r="A1892">
        <v>378318</v>
      </c>
      <c r="B1892" t="str">
        <f t="shared" si="58"/>
        <v/>
      </c>
      <c r="C1892" s="185" t="e">
        <f t="shared" si="59"/>
        <v>#N/A</v>
      </c>
      <c r="D1892" s="407" t="s">
        <v>8218</v>
      </c>
      <c r="E1892" s="407" t="s">
        <v>8219</v>
      </c>
      <c r="F1892" s="407" t="s">
        <v>8220</v>
      </c>
      <c r="G1892" s="407" t="s">
        <v>68</v>
      </c>
      <c r="H1892" s="460" t="e">
        <v>#N/A</v>
      </c>
      <c r="I1892" s="460" t="e">
        <v>#N/A</v>
      </c>
      <c r="J1892" s="460" t="e">
        <v>#N/A</v>
      </c>
      <c r="K1892" s="460" t="e">
        <v>#N/A</v>
      </c>
      <c r="L1892" s="459" t="e">
        <v>#N/A</v>
      </c>
      <c r="O1892">
        <v>0</v>
      </c>
      <c r="P1892" t="s">
        <v>10121</v>
      </c>
    </row>
    <row r="1893" spans="1:16" ht="14.4" x14ac:dyDescent="0.3">
      <c r="A1893">
        <v>89250</v>
      </c>
      <c r="B1893" t="str">
        <f t="shared" si="58"/>
        <v>SEVROLL ZR18 zestaw do drzwi rozwieranych</v>
      </c>
      <c r="C1893" s="185">
        <f t="shared" si="59"/>
        <v>99.2256</v>
      </c>
      <c r="D1893" s="407" t="s">
        <v>1529</v>
      </c>
      <c r="E1893" s="407" t="s">
        <v>1959</v>
      </c>
      <c r="F1893" s="407" t="s">
        <v>2182</v>
      </c>
      <c r="G1893" s="407" t="s">
        <v>2476</v>
      </c>
      <c r="H1893" s="460">
        <v>791.05652999999995</v>
      </c>
      <c r="I1893" s="460">
        <v>28.442699999999999</v>
      </c>
      <c r="J1893" s="460">
        <v>99.2256</v>
      </c>
      <c r="K1893" s="460">
        <v>10947.188889999999</v>
      </c>
      <c r="L1893" s="459" t="s">
        <v>539</v>
      </c>
      <c r="O1893">
        <v>26.641999999999999</v>
      </c>
      <c r="P1893" t="s">
        <v>10122</v>
      </c>
    </row>
    <row r="1894" spans="1:16" ht="14.4" x14ac:dyDescent="0.3">
      <c r="A1894">
        <v>92610</v>
      </c>
      <c r="B1894" t="str">
        <f t="shared" si="58"/>
        <v>Trzpień torowy Omge 1390/1400</v>
      </c>
      <c r="C1894" s="185">
        <f t="shared" si="59"/>
        <v>3.7972899999999998</v>
      </c>
      <c r="D1894" s="407" t="s">
        <v>8221</v>
      </c>
      <c r="E1894" s="407" t="s">
        <v>8222</v>
      </c>
      <c r="F1894" s="407" t="s">
        <v>8223</v>
      </c>
      <c r="G1894" s="407" t="s">
        <v>8224</v>
      </c>
      <c r="H1894" s="460">
        <v>20.775880000000001</v>
      </c>
      <c r="I1894" s="460">
        <v>0.83721000000000001</v>
      </c>
      <c r="J1894" s="460">
        <v>3.7972899999999998</v>
      </c>
      <c r="K1894" s="460" t="e">
        <v>#N/A</v>
      </c>
      <c r="L1894" s="459" t="s">
        <v>539</v>
      </c>
      <c r="O1894">
        <v>0.72240000000000004</v>
      </c>
      <c r="P1894" t="s">
        <v>10123</v>
      </c>
    </row>
    <row r="1895" spans="1:16" ht="14.4" x14ac:dyDescent="0.3">
      <c r="A1895">
        <v>414707</v>
      </c>
      <c r="B1895" t="str">
        <f t="shared" si="58"/>
        <v>WC Al profil górny anod. 13/18 mm do kabin WC, délka 3,2m</v>
      </c>
      <c r="C1895" s="185">
        <f t="shared" si="59"/>
        <v>241.58763999999999</v>
      </c>
      <c r="D1895" s="407" t="s">
        <v>8225</v>
      </c>
      <c r="E1895" s="407" t="s">
        <v>8226</v>
      </c>
      <c r="F1895" s="407" t="s">
        <v>8227</v>
      </c>
      <c r="G1895" s="407" t="s">
        <v>8228</v>
      </c>
      <c r="H1895" s="460">
        <v>1730.6454000000001</v>
      </c>
      <c r="I1895" s="460">
        <v>66.124799999999993</v>
      </c>
      <c r="J1895" s="460">
        <v>241.58763999999999</v>
      </c>
      <c r="K1895" s="460" t="e">
        <v>#N/A</v>
      </c>
      <c r="L1895" s="459" t="s">
        <v>538</v>
      </c>
      <c r="O1895">
        <v>41.8</v>
      </c>
      <c r="P1895" t="s">
        <v>10124</v>
      </c>
    </row>
    <row r="1896" spans="1:16" ht="14.4" x14ac:dyDescent="0.3">
      <c r="A1896">
        <v>414708</v>
      </c>
      <c r="B1896" t="str">
        <f t="shared" si="58"/>
        <v>WC Al elox profil górny 10/25 mm do kabin WC, délka 3,2m</v>
      </c>
      <c r="C1896" s="185">
        <f t="shared" si="59"/>
        <v>239.51509999999999</v>
      </c>
      <c r="D1896" s="407" t="s">
        <v>8229</v>
      </c>
      <c r="E1896" s="407" t="s">
        <v>8230</v>
      </c>
      <c r="F1896" s="407" t="s">
        <v>8231</v>
      </c>
      <c r="G1896" s="407" t="s">
        <v>8232</v>
      </c>
      <c r="H1896" s="460">
        <v>1730.6454000000001</v>
      </c>
      <c r="I1896" s="460">
        <v>66.124799999999993</v>
      </c>
      <c r="J1896" s="460">
        <v>239.51509999999999</v>
      </c>
      <c r="K1896" s="460" t="e">
        <v>#N/A</v>
      </c>
      <c r="L1896" s="459" t="s">
        <v>538</v>
      </c>
      <c r="O1896">
        <v>41.8</v>
      </c>
      <c r="P1896" t="s">
        <v>10125</v>
      </c>
    </row>
    <row r="1897" spans="1:16" ht="14.4" x14ac:dyDescent="0.3">
      <c r="A1897">
        <v>290825</v>
      </c>
      <c r="B1897" t="e">
        <f t="shared" si="58"/>
        <v>#N/A</v>
      </c>
      <c r="C1897" s="185" t="e">
        <f t="shared" si="59"/>
        <v>#N/A</v>
      </c>
      <c r="D1897" s="407" t="e">
        <v>#N/A</v>
      </c>
      <c r="E1897" s="407" t="e">
        <v>#N/A</v>
      </c>
      <c r="F1897" s="407" t="e">
        <v>#N/A</v>
      </c>
      <c r="G1897" s="407" t="e">
        <v>#N/A</v>
      </c>
      <c r="H1897" s="460" t="e">
        <v>#N/A</v>
      </c>
      <c r="I1897" s="460" t="e">
        <v>#N/A</v>
      </c>
      <c r="J1897" s="460" t="e">
        <v>#N/A</v>
      </c>
      <c r="K1897" s="460" t="e">
        <v>#N/A</v>
      </c>
      <c r="L1897" s="459" t="e">
        <v>#N/A</v>
      </c>
      <c r="O1897" t="e">
        <v>#N/A</v>
      </c>
      <c r="P1897" t="e">
        <v>#N/A</v>
      </c>
    </row>
    <row r="1898" spans="1:16" ht="14.4" x14ac:dyDescent="0.3">
      <c r="A1898">
        <v>290827</v>
      </c>
      <c r="B1898" t="e">
        <f t="shared" si="58"/>
        <v>#N/A</v>
      </c>
      <c r="C1898" s="185" t="e">
        <f t="shared" si="59"/>
        <v>#N/A</v>
      </c>
      <c r="D1898" s="407" t="e">
        <v>#N/A</v>
      </c>
      <c r="E1898" s="407" t="e">
        <v>#N/A</v>
      </c>
      <c r="F1898" s="407" t="e">
        <v>#N/A</v>
      </c>
      <c r="G1898" s="407" t="e">
        <v>#N/A</v>
      </c>
      <c r="H1898" s="460" t="e">
        <v>#N/A</v>
      </c>
      <c r="I1898" s="460" t="e">
        <v>#N/A</v>
      </c>
      <c r="J1898" s="460" t="e">
        <v>#N/A</v>
      </c>
      <c r="K1898" s="460" t="e">
        <v>#N/A</v>
      </c>
      <c r="L1898" s="459" t="e">
        <v>#N/A</v>
      </c>
      <c r="O1898" t="e">
        <v>#N/A</v>
      </c>
      <c r="P1898" t="e">
        <v>#N/A</v>
      </c>
    </row>
    <row r="1899" spans="1:16" ht="14.4" x14ac:dyDescent="0.3">
      <c r="A1899">
        <v>290828</v>
      </c>
      <c r="B1899" t="e">
        <f t="shared" si="58"/>
        <v>#N/A</v>
      </c>
      <c r="C1899" s="185" t="e">
        <f t="shared" si="59"/>
        <v>#N/A</v>
      </c>
      <c r="D1899" s="407" t="e">
        <v>#N/A</v>
      </c>
      <c r="E1899" s="407" t="e">
        <v>#N/A</v>
      </c>
      <c r="F1899" s="407" t="e">
        <v>#N/A</v>
      </c>
      <c r="G1899" s="407" t="e">
        <v>#N/A</v>
      </c>
      <c r="H1899" s="460" t="e">
        <v>#N/A</v>
      </c>
      <c r="I1899" s="460" t="e">
        <v>#N/A</v>
      </c>
      <c r="J1899" s="460" t="e">
        <v>#N/A</v>
      </c>
      <c r="K1899" s="460" t="e">
        <v>#N/A</v>
      </c>
      <c r="L1899" s="459" t="e">
        <v>#N/A</v>
      </c>
      <c r="O1899" t="e">
        <v>#N/A</v>
      </c>
      <c r="P1899" t="e">
        <v>#N/A</v>
      </c>
    </row>
    <row r="1900" spans="1:16" ht="14.4" x14ac:dyDescent="0.3">
      <c r="A1900">
        <v>291361</v>
      </c>
      <c r="B1900" t="str">
        <f t="shared" si="58"/>
        <v>S-Softclose Simple S60 T40 tłumienie</v>
      </c>
      <c r="C1900" s="185">
        <f t="shared" si="59"/>
        <v>49.821309999999997</v>
      </c>
      <c r="D1900" s="407" t="s">
        <v>8233</v>
      </c>
      <c r="E1900" s="407" t="s">
        <v>8234</v>
      </c>
      <c r="F1900" s="407" t="s">
        <v>8235</v>
      </c>
      <c r="G1900" s="407" t="s">
        <v>8236</v>
      </c>
      <c r="H1900" s="460">
        <v>264.60000000000002</v>
      </c>
      <c r="I1900" s="460">
        <v>11.293049999999999</v>
      </c>
      <c r="J1900" s="460">
        <v>49.821309999999997</v>
      </c>
      <c r="K1900" s="460" t="e">
        <v>#N/A</v>
      </c>
      <c r="L1900" s="459" t="s">
        <v>537</v>
      </c>
      <c r="O1900">
        <v>9.4990799999999993</v>
      </c>
      <c r="P1900" t="s">
        <v>10126</v>
      </c>
    </row>
    <row r="1901" spans="1:16" ht="14.4" x14ac:dyDescent="0.3">
      <c r="A1901">
        <v>291362</v>
      </c>
      <c r="B1901" t="str">
        <f t="shared" si="58"/>
        <v>S-Softclose Simple S60 T60 tłumienie</v>
      </c>
      <c r="C1901" s="185">
        <f t="shared" si="59"/>
        <v>49.821309999999997</v>
      </c>
      <c r="D1901" s="407" t="s">
        <v>8237</v>
      </c>
      <c r="E1901" s="407" t="s">
        <v>8238</v>
      </c>
      <c r="F1901" s="407" t="s">
        <v>8239</v>
      </c>
      <c r="G1901" s="407" t="s">
        <v>8240</v>
      </c>
      <c r="H1901" s="460">
        <v>264.60000000000002</v>
      </c>
      <c r="I1901" s="460">
        <v>11.293049999999999</v>
      </c>
      <c r="J1901" s="460">
        <v>49.821309999999997</v>
      </c>
      <c r="K1901" s="460" t="e">
        <v>#N/A</v>
      </c>
      <c r="L1901" s="459" t="s">
        <v>537</v>
      </c>
      <c r="O1901">
        <v>9.4990799999999993</v>
      </c>
      <c r="P1901" t="s">
        <v>10127</v>
      </c>
    </row>
    <row r="1902" spans="1:16" ht="14.4" x14ac:dyDescent="0.3">
      <c r="A1902">
        <v>291453</v>
      </c>
      <c r="B1902" t="str">
        <f t="shared" si="58"/>
        <v>IC-tor górny EU 4 m szampan</v>
      </c>
      <c r="C1902" s="185" t="e">
        <f t="shared" si="59"/>
        <v>#N/A</v>
      </c>
      <c r="D1902" s="407" t="s">
        <v>8241</v>
      </c>
      <c r="E1902" s="407" t="s">
        <v>8242</v>
      </c>
      <c r="F1902" s="407" t="s">
        <v>8243</v>
      </c>
      <c r="G1902" s="407" t="s">
        <v>8244</v>
      </c>
      <c r="H1902" s="460" t="e">
        <v>#N/A</v>
      </c>
      <c r="I1902" s="460" t="e">
        <v>#N/A</v>
      </c>
      <c r="J1902" s="460" t="e">
        <v>#N/A</v>
      </c>
      <c r="K1902" s="460" t="e">
        <v>#N/A</v>
      </c>
      <c r="L1902" s="459" t="e">
        <v>#N/A</v>
      </c>
      <c r="O1902">
        <v>0</v>
      </c>
      <c r="P1902" t="s">
        <v>10128</v>
      </c>
    </row>
    <row r="1903" spans="1:16" ht="14.4" x14ac:dyDescent="0.3">
      <c r="A1903">
        <v>291454</v>
      </c>
      <c r="B1903" t="str">
        <f t="shared" si="58"/>
        <v>IC-tor dolny EU 4m szampański</v>
      </c>
      <c r="C1903" s="185" t="e">
        <f t="shared" si="59"/>
        <v>#N/A</v>
      </c>
      <c r="D1903" s="407" t="s">
        <v>8245</v>
      </c>
      <c r="E1903" s="407" t="s">
        <v>8246</v>
      </c>
      <c r="F1903" s="407" t="s">
        <v>8247</v>
      </c>
      <c r="G1903" s="407" t="s">
        <v>8248</v>
      </c>
      <c r="H1903" s="460" t="e">
        <v>#N/A</v>
      </c>
      <c r="I1903" s="460" t="e">
        <v>#N/A</v>
      </c>
      <c r="J1903" s="460" t="e">
        <v>#N/A</v>
      </c>
      <c r="K1903" s="460" t="e">
        <v>#N/A</v>
      </c>
      <c r="L1903" s="459" t="e">
        <v>#N/A</v>
      </c>
      <c r="O1903">
        <v>0</v>
      </c>
      <c r="P1903" t="s">
        <v>10129</v>
      </c>
    </row>
    <row r="1904" spans="1:16" ht="14.4" x14ac:dyDescent="0.3">
      <c r="A1904">
        <v>291471</v>
      </c>
      <c r="B1904" t="str">
        <f t="shared" si="58"/>
        <v>IC-komplet wózków górnych (2szt.) do Rome</v>
      </c>
      <c r="C1904" s="185" t="e">
        <f t="shared" si="59"/>
        <v>#N/A</v>
      </c>
      <c r="D1904" s="407" t="s">
        <v>8249</v>
      </c>
      <c r="E1904" s="407" t="s">
        <v>8250</v>
      </c>
      <c r="F1904" s="407" t="s">
        <v>8251</v>
      </c>
      <c r="G1904" s="407" t="s">
        <v>8252</v>
      </c>
      <c r="H1904" s="460" t="e">
        <v>#N/A</v>
      </c>
      <c r="I1904" s="460" t="e">
        <v>#N/A</v>
      </c>
      <c r="J1904" s="460" t="e">
        <v>#N/A</v>
      </c>
      <c r="K1904" s="460" t="e">
        <v>#N/A</v>
      </c>
      <c r="L1904" s="459" t="e">
        <v>#N/A</v>
      </c>
      <c r="O1904">
        <v>0</v>
      </c>
      <c r="P1904" t="s">
        <v>10130</v>
      </c>
    </row>
    <row r="1905" spans="1:16" ht="14.4" x14ac:dyDescent="0.3">
      <c r="A1905">
        <v>291472</v>
      </c>
      <c r="B1905" t="str">
        <f t="shared" si="58"/>
        <v>IC-komplet wózków dolnych (2szt.) do Rome</v>
      </c>
      <c r="C1905" s="185" t="e">
        <f t="shared" si="59"/>
        <v>#N/A</v>
      </c>
      <c r="D1905" s="407" t="s">
        <v>8253</v>
      </c>
      <c r="E1905" s="407" t="s">
        <v>8254</v>
      </c>
      <c r="F1905" s="407" t="s">
        <v>8255</v>
      </c>
      <c r="G1905" s="407" t="s">
        <v>8256</v>
      </c>
      <c r="H1905" s="460" t="e">
        <v>#N/A</v>
      </c>
      <c r="I1905" s="460" t="e">
        <v>#N/A</v>
      </c>
      <c r="J1905" s="460" t="e">
        <v>#N/A</v>
      </c>
      <c r="K1905" s="460" t="e">
        <v>#N/A</v>
      </c>
      <c r="L1905" s="459" t="e">
        <v>#N/A</v>
      </c>
      <c r="O1905">
        <v>0</v>
      </c>
      <c r="P1905" t="s">
        <v>10131</v>
      </c>
    </row>
    <row r="1906" spans="1:16" ht="14.4" x14ac:dyDescent="0.3">
      <c r="A1906">
        <v>303699</v>
      </c>
      <c r="B1906" t="e">
        <f t="shared" si="58"/>
        <v>#N/A</v>
      </c>
      <c r="C1906" s="185" t="e">
        <f t="shared" si="59"/>
        <v>#N/A</v>
      </c>
      <c r="D1906" s="407" t="e">
        <v>#N/A</v>
      </c>
      <c r="E1906" s="407" t="e">
        <v>#N/A</v>
      </c>
      <c r="F1906" s="407" t="e">
        <v>#N/A</v>
      </c>
      <c r="G1906" s="407" t="e">
        <v>#N/A</v>
      </c>
      <c r="H1906" s="460" t="e">
        <v>#N/A</v>
      </c>
      <c r="I1906" s="460" t="e">
        <v>#N/A</v>
      </c>
      <c r="J1906" s="460" t="e">
        <v>#N/A</v>
      </c>
      <c r="K1906" s="460" t="e">
        <v>#N/A</v>
      </c>
      <c r="L1906" s="459" t="e">
        <v>#N/A</v>
      </c>
      <c r="O1906" t="e">
        <v>#N/A</v>
      </c>
      <c r="P1906" t="e">
        <v>#N/A</v>
      </c>
    </row>
    <row r="1907" spans="1:16" ht="14.4" x14ac:dyDescent="0.3">
      <c r="A1907">
        <v>303700</v>
      </c>
      <c r="B1907" t="e">
        <f t="shared" si="58"/>
        <v>#N/A</v>
      </c>
      <c r="C1907" s="185" t="e">
        <f t="shared" si="59"/>
        <v>#N/A</v>
      </c>
      <c r="D1907" s="407" t="e">
        <v>#N/A</v>
      </c>
      <c r="E1907" s="407" t="e">
        <v>#N/A</v>
      </c>
      <c r="F1907" s="407" t="e">
        <v>#N/A</v>
      </c>
      <c r="G1907" s="407" t="e">
        <v>#N/A</v>
      </c>
      <c r="H1907" s="460" t="e">
        <v>#N/A</v>
      </c>
      <c r="I1907" s="460" t="e">
        <v>#N/A</v>
      </c>
      <c r="J1907" s="460" t="e">
        <v>#N/A</v>
      </c>
      <c r="K1907" s="460" t="e">
        <v>#N/A</v>
      </c>
      <c r="L1907" s="459" t="e">
        <v>#N/A</v>
      </c>
      <c r="O1907" t="e">
        <v>#N/A</v>
      </c>
      <c r="P1907" t="e">
        <v>#N/A</v>
      </c>
    </row>
    <row r="1908" spans="1:16" ht="14.4" x14ac:dyDescent="0.3">
      <c r="A1908">
        <v>303703</v>
      </c>
      <c r="B1908" t="e">
        <f t="shared" si="58"/>
        <v>#N/A</v>
      </c>
      <c r="C1908" s="185" t="e">
        <f t="shared" si="59"/>
        <v>#N/A</v>
      </c>
      <c r="D1908" s="407" t="e">
        <v>#N/A</v>
      </c>
      <c r="E1908" s="407" t="e">
        <v>#N/A</v>
      </c>
      <c r="F1908" s="407" t="e">
        <v>#N/A</v>
      </c>
      <c r="G1908" s="407" t="e">
        <v>#N/A</v>
      </c>
      <c r="H1908" s="460" t="e">
        <v>#N/A</v>
      </c>
      <c r="I1908" s="460" t="e">
        <v>#N/A</v>
      </c>
      <c r="J1908" s="460" t="e">
        <v>#N/A</v>
      </c>
      <c r="K1908" s="460" t="e">
        <v>#N/A</v>
      </c>
      <c r="L1908" s="459" t="e">
        <v>#N/A</v>
      </c>
      <c r="O1908" t="e">
        <v>#N/A</v>
      </c>
      <c r="P1908" t="e">
        <v>#N/A</v>
      </c>
    </row>
    <row r="1909" spans="1:16" ht="14.4" x14ac:dyDescent="0.3">
      <c r="A1909">
        <v>303706</v>
      </c>
      <c r="B1909" t="e">
        <f t="shared" si="58"/>
        <v>#N/A</v>
      </c>
      <c r="C1909" s="185" t="e">
        <f t="shared" si="59"/>
        <v>#N/A</v>
      </c>
      <c r="D1909" s="407" t="e">
        <v>#N/A</v>
      </c>
      <c r="E1909" s="407" t="e">
        <v>#N/A</v>
      </c>
      <c r="F1909" s="407" t="e">
        <v>#N/A</v>
      </c>
      <c r="G1909" s="407" t="e">
        <v>#N/A</v>
      </c>
      <c r="H1909" s="460" t="e">
        <v>#N/A</v>
      </c>
      <c r="I1909" s="460" t="e">
        <v>#N/A</v>
      </c>
      <c r="J1909" s="460" t="e">
        <v>#N/A</v>
      </c>
      <c r="K1909" s="460" t="e">
        <v>#N/A</v>
      </c>
      <c r="L1909" s="459" t="e">
        <v>#N/A</v>
      </c>
      <c r="O1909" t="e">
        <v>#N/A</v>
      </c>
      <c r="P1909" t="e">
        <v>#N/A</v>
      </c>
    </row>
    <row r="1910" spans="1:16" ht="14.4" x14ac:dyDescent="0.3">
      <c r="A1910">
        <v>303709</v>
      </c>
      <c r="B1910" t="e">
        <f t="shared" si="58"/>
        <v>#N/A</v>
      </c>
      <c r="C1910" s="185" t="e">
        <f t="shared" si="59"/>
        <v>#N/A</v>
      </c>
      <c r="D1910" s="407" t="e">
        <v>#N/A</v>
      </c>
      <c r="E1910" s="407" t="e">
        <v>#N/A</v>
      </c>
      <c r="F1910" s="407" t="e">
        <v>#N/A</v>
      </c>
      <c r="G1910" s="407" t="e">
        <v>#N/A</v>
      </c>
      <c r="H1910" s="460" t="e">
        <v>#N/A</v>
      </c>
      <c r="I1910" s="460" t="e">
        <v>#N/A</v>
      </c>
      <c r="J1910" s="460" t="e">
        <v>#N/A</v>
      </c>
      <c r="K1910" s="460" t="e">
        <v>#N/A</v>
      </c>
      <c r="L1910" s="459" t="e">
        <v>#N/A</v>
      </c>
      <c r="O1910" t="e">
        <v>#N/A</v>
      </c>
      <c r="P1910" t="e">
        <v>#N/A</v>
      </c>
    </row>
    <row r="1911" spans="1:16" ht="14.4" x14ac:dyDescent="0.3">
      <c r="A1911">
        <v>303710</v>
      </c>
      <c r="B1911" t="e">
        <f t="shared" si="58"/>
        <v>#N/A</v>
      </c>
      <c r="C1911" s="185" t="e">
        <f t="shared" si="59"/>
        <v>#N/A</v>
      </c>
      <c r="D1911" s="407" t="e">
        <v>#N/A</v>
      </c>
      <c r="E1911" s="407" t="e">
        <v>#N/A</v>
      </c>
      <c r="F1911" s="407" t="e">
        <v>#N/A</v>
      </c>
      <c r="G1911" s="407" t="e">
        <v>#N/A</v>
      </c>
      <c r="H1911" s="460" t="e">
        <v>#N/A</v>
      </c>
      <c r="I1911" s="460" t="e">
        <v>#N/A</v>
      </c>
      <c r="J1911" s="460" t="e">
        <v>#N/A</v>
      </c>
      <c r="K1911" s="460" t="e">
        <v>#N/A</v>
      </c>
      <c r="L1911" s="459" t="e">
        <v>#N/A</v>
      </c>
      <c r="O1911" t="e">
        <v>#N/A</v>
      </c>
      <c r="P1911" t="e">
        <v>#N/A</v>
      </c>
    </row>
    <row r="1912" spans="1:16" ht="14.4" x14ac:dyDescent="0.3">
      <c r="A1912">
        <v>303718</v>
      </c>
      <c r="B1912" t="e">
        <f t="shared" si="58"/>
        <v>#N/A</v>
      </c>
      <c r="C1912" s="185" t="e">
        <f t="shared" si="59"/>
        <v>#N/A</v>
      </c>
      <c r="D1912" s="407" t="e">
        <v>#N/A</v>
      </c>
      <c r="E1912" s="407" t="e">
        <v>#N/A</v>
      </c>
      <c r="F1912" s="407" t="e">
        <v>#N/A</v>
      </c>
      <c r="G1912" s="407" t="e">
        <v>#N/A</v>
      </c>
      <c r="H1912" s="460" t="e">
        <v>#N/A</v>
      </c>
      <c r="I1912" s="460" t="e">
        <v>#N/A</v>
      </c>
      <c r="J1912" s="460" t="e">
        <v>#N/A</v>
      </c>
      <c r="K1912" s="460" t="e">
        <v>#N/A</v>
      </c>
      <c r="L1912" s="459" t="e">
        <v>#N/A</v>
      </c>
      <c r="O1912" t="e">
        <v>#N/A</v>
      </c>
      <c r="P1912" t="e">
        <v>#N/A</v>
      </c>
    </row>
    <row r="1913" spans="1:16" ht="14.4" x14ac:dyDescent="0.3">
      <c r="A1913">
        <v>303719</v>
      </c>
      <c r="B1913" t="e">
        <f t="shared" si="58"/>
        <v>#N/A</v>
      </c>
      <c r="C1913" s="185" t="e">
        <f t="shared" si="59"/>
        <v>#N/A</v>
      </c>
      <c r="D1913" s="407" t="e">
        <v>#N/A</v>
      </c>
      <c r="E1913" s="407" t="e">
        <v>#N/A</v>
      </c>
      <c r="F1913" s="407" t="e">
        <v>#N/A</v>
      </c>
      <c r="G1913" s="407" t="e">
        <v>#N/A</v>
      </c>
      <c r="H1913" s="460" t="e">
        <v>#N/A</v>
      </c>
      <c r="I1913" s="460" t="e">
        <v>#N/A</v>
      </c>
      <c r="J1913" s="460" t="e">
        <v>#N/A</v>
      </c>
      <c r="K1913" s="460" t="e">
        <v>#N/A</v>
      </c>
      <c r="L1913" s="459" t="e">
        <v>#N/A</v>
      </c>
      <c r="O1913" t="e">
        <v>#N/A</v>
      </c>
      <c r="P1913" t="e">
        <v>#N/A</v>
      </c>
    </row>
    <row r="1914" spans="1:16" ht="14.4" x14ac:dyDescent="0.3">
      <c r="A1914">
        <v>303720</v>
      </c>
      <c r="B1914" t="e">
        <f t="shared" si="58"/>
        <v>#N/A</v>
      </c>
      <c r="C1914" s="185" t="e">
        <f t="shared" si="59"/>
        <v>#N/A</v>
      </c>
      <c r="D1914" s="407" t="e">
        <v>#N/A</v>
      </c>
      <c r="E1914" s="407" t="e">
        <v>#N/A</v>
      </c>
      <c r="F1914" s="407" t="e">
        <v>#N/A</v>
      </c>
      <c r="G1914" s="407" t="e">
        <v>#N/A</v>
      </c>
      <c r="H1914" s="460" t="e">
        <v>#N/A</v>
      </c>
      <c r="I1914" s="460" t="e">
        <v>#N/A</v>
      </c>
      <c r="J1914" s="460" t="e">
        <v>#N/A</v>
      </c>
      <c r="K1914" s="460" t="e">
        <v>#N/A</v>
      </c>
      <c r="L1914" s="459" t="e">
        <v>#N/A</v>
      </c>
      <c r="O1914" t="e">
        <v>#N/A</v>
      </c>
      <c r="P1914" t="e">
        <v>#N/A</v>
      </c>
    </row>
    <row r="1915" spans="1:16" ht="14.4" x14ac:dyDescent="0.3">
      <c r="A1915">
        <v>303721</v>
      </c>
      <c r="B1915" t="e">
        <f t="shared" si="58"/>
        <v>#N/A</v>
      </c>
      <c r="C1915" s="185" t="e">
        <f t="shared" si="59"/>
        <v>#N/A</v>
      </c>
      <c r="D1915" s="407" t="e">
        <v>#N/A</v>
      </c>
      <c r="E1915" s="407" t="e">
        <v>#N/A</v>
      </c>
      <c r="F1915" s="407" t="e">
        <v>#N/A</v>
      </c>
      <c r="G1915" s="407" t="e">
        <v>#N/A</v>
      </c>
      <c r="H1915" s="460" t="e">
        <v>#N/A</v>
      </c>
      <c r="I1915" s="460" t="e">
        <v>#N/A</v>
      </c>
      <c r="J1915" s="460" t="e">
        <v>#N/A</v>
      </c>
      <c r="K1915" s="460" t="e">
        <v>#N/A</v>
      </c>
      <c r="L1915" s="459" t="e">
        <v>#N/A</v>
      </c>
      <c r="O1915" t="e">
        <v>#N/A</v>
      </c>
      <c r="P1915" t="e">
        <v>#N/A</v>
      </c>
    </row>
    <row r="1916" spans="1:16" ht="14.4" x14ac:dyDescent="0.3">
      <c r="A1916">
        <v>303856</v>
      </c>
      <c r="B1916" t="str">
        <f t="shared" si="58"/>
        <v>S-S45-pokrywa przednich drzwi 2m srebrny</v>
      </c>
      <c r="C1916" s="185" t="e">
        <f t="shared" si="59"/>
        <v>#N/A</v>
      </c>
      <c r="D1916" s="407" t="s">
        <v>8257</v>
      </c>
      <c r="E1916" s="407" t="s">
        <v>8258</v>
      </c>
      <c r="F1916" s="407" t="s">
        <v>8259</v>
      </c>
      <c r="G1916" s="407" t="s">
        <v>8260</v>
      </c>
      <c r="H1916" s="460" t="e">
        <v>#N/A</v>
      </c>
      <c r="I1916" s="460" t="e">
        <v>#N/A</v>
      </c>
      <c r="J1916" s="460" t="e">
        <v>#N/A</v>
      </c>
      <c r="K1916" s="460" t="e">
        <v>#N/A</v>
      </c>
      <c r="L1916" s="459" t="e">
        <v>#N/A</v>
      </c>
      <c r="O1916">
        <v>0</v>
      </c>
      <c r="P1916" t="s">
        <v>10132</v>
      </c>
    </row>
    <row r="1917" spans="1:16" ht="14.4" x14ac:dyDescent="0.3">
      <c r="A1917">
        <v>304028</v>
      </c>
      <c r="B1917" t="str">
        <f t="shared" si="58"/>
        <v>IC-szczotka odbojowa wsuwana 14,5x4mm</v>
      </c>
      <c r="C1917" s="185" t="e">
        <f t="shared" si="59"/>
        <v>#N/A</v>
      </c>
      <c r="D1917" s="407" t="s">
        <v>8261</v>
      </c>
      <c r="E1917" s="407" t="s">
        <v>8262</v>
      </c>
      <c r="F1917" s="407" t="s">
        <v>68</v>
      </c>
      <c r="G1917" s="407" t="s">
        <v>8263</v>
      </c>
      <c r="H1917" s="460" t="e">
        <v>#N/A</v>
      </c>
      <c r="I1917" s="460" t="e">
        <v>#N/A</v>
      </c>
      <c r="J1917" s="460" t="e">
        <v>#N/A</v>
      </c>
      <c r="K1917" s="460" t="e">
        <v>#N/A</v>
      </c>
      <c r="L1917" s="459" t="e">
        <v>#N/A</v>
      </c>
      <c r="O1917">
        <v>0</v>
      </c>
      <c r="P1917" t="s">
        <v>10133</v>
      </c>
    </row>
    <row r="1918" spans="1:16" ht="14.4" x14ac:dyDescent="0.3">
      <c r="A1918">
        <v>342177</v>
      </c>
      <c r="B1918" t="str">
        <f t="shared" si="58"/>
        <v>SEVROLL komplet okuć do tłumienia Mini</v>
      </c>
      <c r="C1918" s="185">
        <f t="shared" si="59"/>
        <v>6.9930000000000003</v>
      </c>
      <c r="D1918" s="407" t="s">
        <v>1530</v>
      </c>
      <c r="E1918" s="407" t="s">
        <v>1960</v>
      </c>
      <c r="F1918" s="407" t="s">
        <v>6032</v>
      </c>
      <c r="G1918" s="407" t="s">
        <v>6033</v>
      </c>
      <c r="H1918" s="460">
        <v>61.440480000000001</v>
      </c>
      <c r="I1918" s="460">
        <v>2.0818099999999999</v>
      </c>
      <c r="J1918" s="460">
        <v>6.9930000000000003</v>
      </c>
      <c r="K1918" s="460">
        <v>820.11125000000004</v>
      </c>
      <c r="L1918" s="459" t="s">
        <v>539</v>
      </c>
      <c r="O1918">
        <v>1.738</v>
      </c>
      <c r="P1918" t="s">
        <v>10134</v>
      </c>
    </row>
    <row r="1919" spans="1:16" ht="14.4" x14ac:dyDescent="0.3">
      <c r="A1919">
        <v>342360</v>
      </c>
      <c r="B1919" t="e">
        <f t="shared" si="58"/>
        <v>#N/A</v>
      </c>
      <c r="C1919" s="185" t="e">
        <f t="shared" si="59"/>
        <v>#N/A</v>
      </c>
      <c r="D1919" s="407" t="e">
        <v>#N/A</v>
      </c>
      <c r="E1919" s="407" t="e">
        <v>#N/A</v>
      </c>
      <c r="F1919" s="407" t="e">
        <v>#N/A</v>
      </c>
      <c r="G1919" s="407" t="e">
        <v>#N/A</v>
      </c>
      <c r="H1919" s="460" t="e">
        <v>#N/A</v>
      </c>
      <c r="I1919" s="460" t="e">
        <v>#N/A</v>
      </c>
      <c r="J1919" s="460" t="e">
        <v>#N/A</v>
      </c>
      <c r="K1919" s="460" t="e">
        <v>#N/A</v>
      </c>
      <c r="L1919" s="459" t="e">
        <v>#N/A</v>
      </c>
      <c r="O1919" t="e">
        <v>#N/A</v>
      </c>
      <c r="P1919" t="e">
        <v>#N/A</v>
      </c>
    </row>
    <row r="1920" spans="1:16" ht="14.4" x14ac:dyDescent="0.3">
      <c r="A1920">
        <v>342428</v>
      </c>
      <c r="B1920" t="str">
        <f t="shared" si="58"/>
        <v/>
      </c>
      <c r="C1920" s="185" t="e">
        <f t="shared" si="59"/>
        <v>#N/A</v>
      </c>
      <c r="D1920" s="407" t="s">
        <v>1531</v>
      </c>
      <c r="E1920" s="407" t="s">
        <v>68</v>
      </c>
      <c r="F1920" s="407" t="s">
        <v>68</v>
      </c>
      <c r="G1920" s="407" t="s">
        <v>68</v>
      </c>
      <c r="H1920" s="460" t="e">
        <v>#N/A</v>
      </c>
      <c r="I1920" s="460" t="e">
        <v>#N/A</v>
      </c>
      <c r="J1920" s="460" t="e">
        <v>#N/A</v>
      </c>
      <c r="K1920" s="460" t="e">
        <v>#N/A</v>
      </c>
      <c r="L1920" s="459" t="e">
        <v>#N/A</v>
      </c>
      <c r="O1920">
        <v>0</v>
      </c>
      <c r="P1920" t="s">
        <v>10135</v>
      </c>
    </row>
    <row r="1921" spans="1:16" ht="14.4" x14ac:dyDescent="0.3">
      <c r="A1921">
        <v>375992</v>
      </c>
      <c r="B1921" t="e">
        <f t="shared" si="58"/>
        <v>#N/A</v>
      </c>
      <c r="C1921" s="185" t="e">
        <f t="shared" si="59"/>
        <v>#N/A</v>
      </c>
      <c r="D1921" s="407" t="e">
        <v>#N/A</v>
      </c>
      <c r="E1921" s="407" t="e">
        <v>#N/A</v>
      </c>
      <c r="F1921" s="407" t="e">
        <v>#N/A</v>
      </c>
      <c r="G1921" s="407" t="e">
        <v>#N/A</v>
      </c>
      <c r="H1921" s="460" t="e">
        <v>#N/A</v>
      </c>
      <c r="I1921" s="460" t="e">
        <v>#N/A</v>
      </c>
      <c r="J1921" s="460" t="e">
        <v>#N/A</v>
      </c>
      <c r="K1921" s="460" t="e">
        <v>#N/A</v>
      </c>
      <c r="L1921" s="459" t="e">
        <v>#N/A</v>
      </c>
      <c r="O1921" t="e">
        <v>#N/A</v>
      </c>
      <c r="P1921" t="e">
        <v>#N/A</v>
      </c>
    </row>
    <row r="1922" spans="1:16" ht="14.4" x14ac:dyDescent="0.3">
      <c r="A1922">
        <v>375993</v>
      </c>
      <c r="B1922" t="e">
        <f t="shared" si="58"/>
        <v>#N/A</v>
      </c>
      <c r="C1922" s="185" t="e">
        <f t="shared" si="59"/>
        <v>#N/A</v>
      </c>
      <c r="D1922" s="407" t="e">
        <v>#N/A</v>
      </c>
      <c r="E1922" s="407" t="e">
        <v>#N/A</v>
      </c>
      <c r="F1922" s="407" t="e">
        <v>#N/A</v>
      </c>
      <c r="G1922" s="407" t="e">
        <v>#N/A</v>
      </c>
      <c r="H1922" s="460" t="e">
        <v>#N/A</v>
      </c>
      <c r="I1922" s="460" t="e">
        <v>#N/A</v>
      </c>
      <c r="J1922" s="460" t="e">
        <v>#N/A</v>
      </c>
      <c r="K1922" s="460" t="e">
        <v>#N/A</v>
      </c>
      <c r="L1922" s="459" t="e">
        <v>#N/A</v>
      </c>
      <c r="O1922" t="e">
        <v>#N/A</v>
      </c>
      <c r="P1922" t="e">
        <v>#N/A</v>
      </c>
    </row>
    <row r="1923" spans="1:16" ht="14.4" x14ac:dyDescent="0.3">
      <c r="A1923">
        <v>376054</v>
      </c>
      <c r="B1923" t="str">
        <f t="shared" si="58"/>
        <v>SEVROLL 04709 profil maskujący Herakles 3m</v>
      </c>
      <c r="C1923" s="185" t="e">
        <f t="shared" si="59"/>
        <v>#N/A</v>
      </c>
      <c r="D1923" s="407" t="s">
        <v>1532</v>
      </c>
      <c r="E1923" s="407" t="s">
        <v>1961</v>
      </c>
      <c r="F1923" s="407" t="s">
        <v>1532</v>
      </c>
      <c r="G1923" s="407" t="s">
        <v>6034</v>
      </c>
      <c r="H1923" s="460" t="e">
        <v>#N/A</v>
      </c>
      <c r="I1923" s="460" t="e">
        <v>#N/A</v>
      </c>
      <c r="J1923" s="460" t="e">
        <v>#N/A</v>
      </c>
      <c r="K1923" s="460" t="e">
        <v>#N/A</v>
      </c>
      <c r="L1923" s="459" t="e">
        <v>#N/A</v>
      </c>
      <c r="O1923">
        <v>20.173999999999999</v>
      </c>
      <c r="P1923" t="s">
        <v>10136</v>
      </c>
    </row>
    <row r="1924" spans="1:16" ht="14.4" x14ac:dyDescent="0.3">
      <c r="A1924">
        <v>376055</v>
      </c>
      <c r="B1924" t="str">
        <f t="shared" ref="B1924:B1987" si="60">IF($A$2=1,D1924,IF($A$2=2,F1924,IF($A$2=3,G1924,IF($A$2=4,E1924,IF($A$2&gt;4,P1924,"zadat jazyk")))))</f>
        <v/>
      </c>
      <c r="C1924" s="185" t="e">
        <f t="shared" ref="C1924:C1987" si="61">IF($A$2=1,H1924,IF($A$2=2,I1924,IF($A$2=3,J1924,IF($A$2=4,K1924,IF($A$2&gt;4,O1924,"zadat jazyk")))))</f>
        <v>#N/A</v>
      </c>
      <c r="D1924" s="407" t="s">
        <v>1533</v>
      </c>
      <c r="E1924" s="407" t="s">
        <v>1962</v>
      </c>
      <c r="F1924" s="407" t="s">
        <v>6035</v>
      </c>
      <c r="G1924" s="407" t="s">
        <v>68</v>
      </c>
      <c r="H1924" s="460" t="e">
        <v>#N/A</v>
      </c>
      <c r="I1924" s="460" t="e">
        <v>#N/A</v>
      </c>
      <c r="J1924" s="460" t="e">
        <v>#N/A</v>
      </c>
      <c r="K1924" s="460" t="e">
        <v>#N/A</v>
      </c>
      <c r="L1924" s="459" t="e">
        <v>#N/A</v>
      </c>
      <c r="O1924">
        <v>21.67</v>
      </c>
      <c r="P1924" t="s">
        <v>10137</v>
      </c>
    </row>
    <row r="1925" spans="1:16" ht="14.4" x14ac:dyDescent="0.3">
      <c r="A1925">
        <v>376056</v>
      </c>
      <c r="B1925" t="str">
        <f t="shared" si="60"/>
        <v>SEVROLL 20392 Amortyzator Herakles 40kg</v>
      </c>
      <c r="C1925" s="185" t="e">
        <f t="shared" si="61"/>
        <v>#N/A</v>
      </c>
      <c r="D1925" s="407" t="s">
        <v>1534</v>
      </c>
      <c r="E1925" s="407" t="s">
        <v>1963</v>
      </c>
      <c r="F1925" s="407" t="s">
        <v>6036</v>
      </c>
      <c r="G1925" s="407" t="s">
        <v>6037</v>
      </c>
      <c r="H1925" s="460" t="e">
        <v>#N/A</v>
      </c>
      <c r="I1925" s="460" t="e">
        <v>#N/A</v>
      </c>
      <c r="J1925" s="460" t="e">
        <v>#N/A</v>
      </c>
      <c r="K1925" s="460" t="e">
        <v>#N/A</v>
      </c>
      <c r="L1925" s="459" t="e">
        <v>#N/A</v>
      </c>
      <c r="O1925" t="e">
        <v>#N/A</v>
      </c>
      <c r="P1925" t="e">
        <v>#N/A</v>
      </c>
    </row>
    <row r="1926" spans="1:16" ht="14.4" x14ac:dyDescent="0.3">
      <c r="A1926">
        <v>376057</v>
      </c>
      <c r="B1926" t="str">
        <f t="shared" si="60"/>
        <v>SEVROLL 20393 Amortyzator Herakles 40 - 80kg</v>
      </c>
      <c r="C1926" s="185" t="e">
        <f t="shared" si="61"/>
        <v>#N/A</v>
      </c>
      <c r="D1926" s="407" t="s">
        <v>1535</v>
      </c>
      <c r="E1926" s="407" t="s">
        <v>1964</v>
      </c>
      <c r="F1926" s="407" t="s">
        <v>6038</v>
      </c>
      <c r="G1926" s="407" t="s">
        <v>6039</v>
      </c>
      <c r="H1926" s="460" t="e">
        <v>#N/A</v>
      </c>
      <c r="I1926" s="460" t="e">
        <v>#N/A</v>
      </c>
      <c r="J1926" s="460" t="e">
        <v>#N/A</v>
      </c>
      <c r="K1926" s="460" t="e">
        <v>#N/A</v>
      </c>
      <c r="L1926" s="459" t="e">
        <v>#N/A</v>
      </c>
      <c r="O1926" t="e">
        <v>#N/A</v>
      </c>
      <c r="P1926" t="e">
        <v>#N/A</v>
      </c>
    </row>
    <row r="1927" spans="1:16" ht="14.4" x14ac:dyDescent="0.3">
      <c r="A1927">
        <v>376058</v>
      </c>
      <c r="B1927" t="str">
        <f t="shared" si="60"/>
        <v>SEVROLL 10216 Zestaw okuć Herakles ZPH-18 na 1 skrzydło</v>
      </c>
      <c r="C1927" s="185">
        <f t="shared" si="61"/>
        <v>65.520989999999998</v>
      </c>
      <c r="D1927" s="407" t="s">
        <v>1536</v>
      </c>
      <c r="E1927" s="407" t="s">
        <v>1965</v>
      </c>
      <c r="F1927" s="407" t="s">
        <v>6040</v>
      </c>
      <c r="G1927" s="407" t="s">
        <v>6041</v>
      </c>
      <c r="H1927" s="460">
        <v>509.14890000000003</v>
      </c>
      <c r="I1927" s="460">
        <v>19.20468</v>
      </c>
      <c r="J1927" s="460">
        <v>65.520989999999998</v>
      </c>
      <c r="K1927" s="460">
        <v>7246.6725800000004</v>
      </c>
      <c r="L1927" s="459" t="s">
        <v>539</v>
      </c>
      <c r="O1927">
        <v>17.094000000000001</v>
      </c>
      <c r="P1927" t="s">
        <v>10138</v>
      </c>
    </row>
    <row r="1928" spans="1:16" ht="14.4" x14ac:dyDescent="0.3">
      <c r="A1928">
        <v>376059</v>
      </c>
      <c r="B1928" t="str">
        <f t="shared" si="60"/>
        <v/>
      </c>
      <c r="C1928" s="185">
        <f t="shared" si="61"/>
        <v>6.39229</v>
      </c>
      <c r="D1928" s="407" t="s">
        <v>1537</v>
      </c>
      <c r="E1928" s="407" t="s">
        <v>1966</v>
      </c>
      <c r="F1928" s="407" t="s">
        <v>6042</v>
      </c>
      <c r="G1928" s="407" t="s">
        <v>68</v>
      </c>
      <c r="H1928" s="460">
        <v>49.67306</v>
      </c>
      <c r="I1928" s="460">
        <v>1.8736299999999999</v>
      </c>
      <c r="J1928" s="460">
        <v>6.39229</v>
      </c>
      <c r="K1928" s="460">
        <v>706.99252999999999</v>
      </c>
      <c r="L1928" s="459" t="s">
        <v>539</v>
      </c>
      <c r="O1928">
        <v>1.5840000000000001</v>
      </c>
      <c r="P1928" t="s">
        <v>10139</v>
      </c>
    </row>
    <row r="1929" spans="1:16" ht="14.4" x14ac:dyDescent="0.3">
      <c r="A1929">
        <v>122571</v>
      </c>
      <c r="B1929" t="str">
        <f t="shared" si="60"/>
        <v>DI-wózek dolny</v>
      </c>
      <c r="C1929" s="185" t="e">
        <f t="shared" si="61"/>
        <v>#N/A</v>
      </c>
      <c r="D1929" s="407" t="s">
        <v>8264</v>
      </c>
      <c r="E1929" s="407" t="s">
        <v>8265</v>
      </c>
      <c r="F1929" s="407" t="s">
        <v>8266</v>
      </c>
      <c r="G1929" s="407" t="s">
        <v>8267</v>
      </c>
      <c r="H1929" s="460" t="e">
        <v>#N/A</v>
      </c>
      <c r="I1929" s="460" t="e">
        <v>#N/A</v>
      </c>
      <c r="J1929" s="460" t="e">
        <v>#N/A</v>
      </c>
      <c r="K1929" s="460" t="e">
        <v>#N/A</v>
      </c>
      <c r="L1929" s="459" t="e">
        <v>#N/A</v>
      </c>
      <c r="O1929">
        <v>3.9507300000000001</v>
      </c>
      <c r="P1929" t="s">
        <v>10140</v>
      </c>
    </row>
    <row r="1930" spans="1:16" ht="14.4" x14ac:dyDescent="0.3">
      <c r="A1930">
        <v>122572</v>
      </c>
      <c r="B1930" t="str">
        <f t="shared" si="60"/>
        <v>DI-wózek górny</v>
      </c>
      <c r="C1930" s="185" t="e">
        <f t="shared" si="61"/>
        <v>#N/A</v>
      </c>
      <c r="D1930" s="407" t="s">
        <v>8268</v>
      </c>
      <c r="E1930" s="407" t="s">
        <v>8269</v>
      </c>
      <c r="F1930" s="407" t="s">
        <v>8270</v>
      </c>
      <c r="G1930" s="407" t="s">
        <v>8271</v>
      </c>
      <c r="H1930" s="460" t="e">
        <v>#N/A</v>
      </c>
      <c r="I1930" s="460" t="e">
        <v>#N/A</v>
      </c>
      <c r="J1930" s="460" t="e">
        <v>#N/A</v>
      </c>
      <c r="K1930" s="460" t="e">
        <v>#N/A</v>
      </c>
      <c r="L1930" s="459" t="e">
        <v>#N/A</v>
      </c>
      <c r="O1930">
        <v>3.2497099999999999</v>
      </c>
      <c r="P1930" t="s">
        <v>10141</v>
      </c>
    </row>
    <row r="1931" spans="1:16" ht="14.4" x14ac:dyDescent="0.3">
      <c r="A1931">
        <v>128322</v>
      </c>
      <c r="B1931" t="str">
        <f t="shared" si="60"/>
        <v>SEVROLL zestaw okuć ZSE-10</v>
      </c>
      <c r="C1931" s="185" t="e">
        <f t="shared" si="61"/>
        <v>#N/A</v>
      </c>
      <c r="D1931" s="407" t="s">
        <v>1538</v>
      </c>
      <c r="E1931" s="407" t="s">
        <v>1967</v>
      </c>
      <c r="F1931" s="407" t="s">
        <v>6043</v>
      </c>
      <c r="G1931" s="407" t="s">
        <v>2477</v>
      </c>
      <c r="H1931" s="460" t="e">
        <v>#N/A</v>
      </c>
      <c r="I1931" s="460" t="e">
        <v>#N/A</v>
      </c>
      <c r="J1931" s="460" t="e">
        <v>#N/A</v>
      </c>
      <c r="K1931" s="460" t="e">
        <v>#N/A</v>
      </c>
      <c r="L1931" s="459" t="e">
        <v>#N/A</v>
      </c>
      <c r="O1931">
        <v>44.594000000000001</v>
      </c>
      <c r="P1931" t="s">
        <v>10142</v>
      </c>
    </row>
    <row r="1932" spans="1:16" ht="14.4" x14ac:dyDescent="0.3">
      <c r="A1932">
        <v>130896</v>
      </c>
      <c r="B1932" t="str">
        <f t="shared" si="60"/>
        <v>S-S50 górna listwa alu surowa 2m</v>
      </c>
      <c r="C1932" s="185" t="e">
        <f t="shared" si="61"/>
        <v>#N/A</v>
      </c>
      <c r="D1932" s="407" t="s">
        <v>8272</v>
      </c>
      <c r="E1932" s="407" t="s">
        <v>8273</v>
      </c>
      <c r="F1932" s="407" t="s">
        <v>8274</v>
      </c>
      <c r="G1932" s="407" t="s">
        <v>8275</v>
      </c>
      <c r="H1932" s="460" t="e">
        <v>#N/A</v>
      </c>
      <c r="I1932" s="460" t="e">
        <v>#N/A</v>
      </c>
      <c r="J1932" s="460" t="e">
        <v>#N/A</v>
      </c>
      <c r="K1932" s="460" t="e">
        <v>#N/A</v>
      </c>
      <c r="L1932" s="459" t="e">
        <v>#N/A</v>
      </c>
      <c r="O1932">
        <v>0</v>
      </c>
      <c r="P1932" t="s">
        <v>10143</v>
      </c>
    </row>
    <row r="1933" spans="1:16" ht="14.4" x14ac:dyDescent="0.3">
      <c r="A1933">
        <v>130897</v>
      </c>
      <c r="B1933" t="str">
        <f t="shared" si="60"/>
        <v>S-S50 górna listwa alu surowa 3m</v>
      </c>
      <c r="C1933" s="185" t="e">
        <f t="shared" si="61"/>
        <v>#N/A</v>
      </c>
      <c r="D1933" s="407" t="s">
        <v>8276</v>
      </c>
      <c r="E1933" s="407" t="s">
        <v>8277</v>
      </c>
      <c r="F1933" s="407" t="s">
        <v>8278</v>
      </c>
      <c r="G1933" s="407" t="s">
        <v>8279</v>
      </c>
      <c r="H1933" s="460" t="e">
        <v>#N/A</v>
      </c>
      <c r="I1933" s="460" t="e">
        <v>#N/A</v>
      </c>
      <c r="J1933" s="460" t="e">
        <v>#N/A</v>
      </c>
      <c r="K1933" s="460" t="e">
        <v>#N/A</v>
      </c>
      <c r="L1933" s="459" t="e">
        <v>#N/A</v>
      </c>
      <c r="O1933">
        <v>0</v>
      </c>
      <c r="P1933" t="s">
        <v>10144</v>
      </c>
    </row>
    <row r="1934" spans="1:16" ht="14.4" x14ac:dyDescent="0.3">
      <c r="A1934">
        <v>130898</v>
      </c>
      <c r="B1934" t="str">
        <f t="shared" si="60"/>
        <v>S-S50 dolny listwa alu surowa 2m</v>
      </c>
      <c r="C1934" s="185" t="e">
        <f t="shared" si="61"/>
        <v>#N/A</v>
      </c>
      <c r="D1934" s="407" t="s">
        <v>8280</v>
      </c>
      <c r="E1934" s="407" t="s">
        <v>8281</v>
      </c>
      <c r="F1934" s="407" t="s">
        <v>8282</v>
      </c>
      <c r="G1934" s="407" t="s">
        <v>8283</v>
      </c>
      <c r="H1934" s="460" t="e">
        <v>#N/A</v>
      </c>
      <c r="I1934" s="460" t="e">
        <v>#N/A</v>
      </c>
      <c r="J1934" s="460" t="e">
        <v>#N/A</v>
      </c>
      <c r="K1934" s="460" t="e">
        <v>#N/A</v>
      </c>
      <c r="L1934" s="459" t="e">
        <v>#N/A</v>
      </c>
      <c r="O1934">
        <v>0</v>
      </c>
      <c r="P1934" t="s">
        <v>10145</v>
      </c>
    </row>
    <row r="1935" spans="1:16" ht="14.4" x14ac:dyDescent="0.3">
      <c r="A1935">
        <v>303056</v>
      </c>
      <c r="B1935" t="e">
        <f t="shared" si="60"/>
        <v>#N/A</v>
      </c>
      <c r="C1935" s="185" t="e">
        <f t="shared" si="61"/>
        <v>#N/A</v>
      </c>
      <c r="D1935" s="407" t="e">
        <v>#N/A</v>
      </c>
      <c r="E1935" s="407" t="e">
        <v>#N/A</v>
      </c>
      <c r="F1935" s="407" t="e">
        <v>#N/A</v>
      </c>
      <c r="G1935" s="407" t="e">
        <v>#N/A</v>
      </c>
      <c r="H1935" s="460" t="e">
        <v>#N/A</v>
      </c>
      <c r="I1935" s="460" t="e">
        <v>#N/A</v>
      </c>
      <c r="J1935" s="460" t="e">
        <v>#N/A</v>
      </c>
      <c r="K1935" s="460" t="e">
        <v>#N/A</v>
      </c>
      <c r="L1935" s="459" t="e">
        <v>#N/A</v>
      </c>
      <c r="O1935" t="e">
        <v>#N/A</v>
      </c>
      <c r="P1935" t="e">
        <v>#N/A</v>
      </c>
    </row>
    <row r="1936" spans="1:16" ht="14.4" x14ac:dyDescent="0.3">
      <c r="A1936">
        <v>303057</v>
      </c>
      <c r="B1936" t="e">
        <f t="shared" si="60"/>
        <v>#N/A</v>
      </c>
      <c r="C1936" s="185" t="e">
        <f t="shared" si="61"/>
        <v>#N/A</v>
      </c>
      <c r="D1936" s="407" t="e">
        <v>#N/A</v>
      </c>
      <c r="E1936" s="407" t="e">
        <v>#N/A</v>
      </c>
      <c r="F1936" s="407" t="e">
        <v>#N/A</v>
      </c>
      <c r="G1936" s="407" t="e">
        <v>#N/A</v>
      </c>
      <c r="H1936" s="460" t="e">
        <v>#N/A</v>
      </c>
      <c r="I1936" s="460" t="e">
        <v>#N/A</v>
      </c>
      <c r="J1936" s="460" t="e">
        <v>#N/A</v>
      </c>
      <c r="K1936" s="460" t="e">
        <v>#N/A</v>
      </c>
      <c r="L1936" s="459" t="e">
        <v>#N/A</v>
      </c>
      <c r="O1936" t="e">
        <v>#N/A</v>
      </c>
      <c r="P1936" t="e">
        <v>#N/A</v>
      </c>
    </row>
    <row r="1937" spans="1:16" ht="14.4" x14ac:dyDescent="0.3">
      <c r="A1937">
        <v>303058</v>
      </c>
      <c r="B1937" t="e">
        <f t="shared" si="60"/>
        <v>#N/A</v>
      </c>
      <c r="C1937" s="185" t="e">
        <f t="shared" si="61"/>
        <v>#N/A</v>
      </c>
      <c r="D1937" s="407" t="e">
        <v>#N/A</v>
      </c>
      <c r="E1937" s="407" t="e">
        <v>#N/A</v>
      </c>
      <c r="F1937" s="407" t="e">
        <v>#N/A</v>
      </c>
      <c r="G1937" s="407" t="e">
        <v>#N/A</v>
      </c>
      <c r="H1937" s="460" t="e">
        <v>#N/A</v>
      </c>
      <c r="I1937" s="460" t="e">
        <v>#N/A</v>
      </c>
      <c r="J1937" s="460" t="e">
        <v>#N/A</v>
      </c>
      <c r="K1937" s="460" t="e">
        <v>#N/A</v>
      </c>
      <c r="L1937" s="459" t="e">
        <v>#N/A</v>
      </c>
      <c r="O1937" t="e">
        <v>#N/A</v>
      </c>
      <c r="P1937" t="e">
        <v>#N/A</v>
      </c>
    </row>
    <row r="1938" spans="1:16" ht="14.4" x14ac:dyDescent="0.3">
      <c r="A1938">
        <v>303059</v>
      </c>
      <c r="B1938" t="e">
        <f t="shared" si="60"/>
        <v>#N/A</v>
      </c>
      <c r="C1938" s="185" t="e">
        <f t="shared" si="61"/>
        <v>#N/A</v>
      </c>
      <c r="D1938" s="407" t="e">
        <v>#N/A</v>
      </c>
      <c r="E1938" s="407" t="e">
        <v>#N/A</v>
      </c>
      <c r="F1938" s="407" t="e">
        <v>#N/A</v>
      </c>
      <c r="G1938" s="407" t="e">
        <v>#N/A</v>
      </c>
      <c r="H1938" s="460" t="e">
        <v>#N/A</v>
      </c>
      <c r="I1938" s="460" t="e">
        <v>#N/A</v>
      </c>
      <c r="J1938" s="460" t="e">
        <v>#N/A</v>
      </c>
      <c r="K1938" s="460" t="e">
        <v>#N/A</v>
      </c>
      <c r="L1938" s="459" t="e">
        <v>#N/A</v>
      </c>
      <c r="O1938" t="e">
        <v>#N/A</v>
      </c>
      <c r="P1938" t="e">
        <v>#N/A</v>
      </c>
    </row>
    <row r="1939" spans="1:16" ht="14.4" x14ac:dyDescent="0.3">
      <c r="A1939">
        <v>303060</v>
      </c>
      <c r="B1939" t="e">
        <f t="shared" si="60"/>
        <v>#N/A</v>
      </c>
      <c r="C1939" s="185" t="e">
        <f t="shared" si="61"/>
        <v>#N/A</v>
      </c>
      <c r="D1939" s="407" t="e">
        <v>#N/A</v>
      </c>
      <c r="E1939" s="407" t="e">
        <v>#N/A</v>
      </c>
      <c r="F1939" s="407" t="e">
        <v>#N/A</v>
      </c>
      <c r="G1939" s="407" t="e">
        <v>#N/A</v>
      </c>
      <c r="H1939" s="460" t="e">
        <v>#N/A</v>
      </c>
      <c r="I1939" s="460" t="e">
        <v>#N/A</v>
      </c>
      <c r="J1939" s="460" t="e">
        <v>#N/A</v>
      </c>
      <c r="K1939" s="460" t="e">
        <v>#N/A</v>
      </c>
      <c r="L1939" s="459" t="e">
        <v>#N/A</v>
      </c>
      <c r="O1939" t="e">
        <v>#N/A</v>
      </c>
      <c r="P1939" t="e">
        <v>#N/A</v>
      </c>
    </row>
    <row r="1940" spans="1:16" ht="14.4" x14ac:dyDescent="0.3">
      <c r="A1940">
        <v>303061</v>
      </c>
      <c r="B1940" t="e">
        <f t="shared" si="60"/>
        <v>#N/A</v>
      </c>
      <c r="C1940" s="185" t="e">
        <f t="shared" si="61"/>
        <v>#N/A</v>
      </c>
      <c r="D1940" s="407" t="e">
        <v>#N/A</v>
      </c>
      <c r="E1940" s="407" t="e">
        <v>#N/A</v>
      </c>
      <c r="F1940" s="407" t="e">
        <v>#N/A</v>
      </c>
      <c r="G1940" s="407" t="e">
        <v>#N/A</v>
      </c>
      <c r="H1940" s="460" t="e">
        <v>#N/A</v>
      </c>
      <c r="I1940" s="460" t="e">
        <v>#N/A</v>
      </c>
      <c r="J1940" s="460" t="e">
        <v>#N/A</v>
      </c>
      <c r="K1940" s="460" t="e">
        <v>#N/A</v>
      </c>
      <c r="L1940" s="459" t="e">
        <v>#N/A</v>
      </c>
      <c r="O1940" t="e">
        <v>#N/A</v>
      </c>
      <c r="P1940" t="e">
        <v>#N/A</v>
      </c>
    </row>
    <row r="1941" spans="1:16" ht="14.4" x14ac:dyDescent="0.3">
      <c r="A1941">
        <v>303360</v>
      </c>
      <c r="B1941" t="str">
        <f t="shared" si="60"/>
        <v>S-komplet okuć S65-2</v>
      </c>
      <c r="C1941" s="185" t="e">
        <f t="shared" si="61"/>
        <v>#N/A</v>
      </c>
      <c r="D1941" s="407" t="s">
        <v>8284</v>
      </c>
      <c r="E1941" s="407" t="s">
        <v>8285</v>
      </c>
      <c r="F1941" s="407" t="s">
        <v>8286</v>
      </c>
      <c r="G1941" s="407" t="s">
        <v>8287</v>
      </c>
      <c r="H1941" s="460" t="e">
        <v>#N/A</v>
      </c>
      <c r="I1941" s="460" t="e">
        <v>#N/A</v>
      </c>
      <c r="J1941" s="460" t="e">
        <v>#N/A</v>
      </c>
      <c r="K1941" s="460" t="e">
        <v>#N/A</v>
      </c>
      <c r="L1941" s="459" t="e">
        <v>#N/A</v>
      </c>
      <c r="O1941">
        <v>0</v>
      </c>
      <c r="P1941" t="s">
        <v>10146</v>
      </c>
    </row>
    <row r="1942" spans="1:16" ht="14.4" x14ac:dyDescent="0.3">
      <c r="A1942">
        <v>303361</v>
      </c>
      <c r="B1942" t="str">
        <f t="shared" si="60"/>
        <v>S-profil S10 srebrny elox 2,7m</v>
      </c>
      <c r="C1942" s="185">
        <f t="shared" si="61"/>
        <v>129.81219999999999</v>
      </c>
      <c r="D1942" s="407" t="s">
        <v>8288</v>
      </c>
      <c r="E1942" s="407" t="s">
        <v>8289</v>
      </c>
      <c r="F1942" s="407" t="s">
        <v>8290</v>
      </c>
      <c r="G1942" s="407" t="s">
        <v>8291</v>
      </c>
      <c r="H1942" s="460">
        <v>689.43</v>
      </c>
      <c r="I1942" s="460">
        <v>29.42464</v>
      </c>
      <c r="J1942" s="460">
        <v>129.81219999999999</v>
      </c>
      <c r="K1942" s="460" t="e">
        <v>#N/A</v>
      </c>
      <c r="L1942" s="459" t="s">
        <v>537</v>
      </c>
      <c r="O1942">
        <v>25.860050000000001</v>
      </c>
      <c r="P1942" t="s">
        <v>10147</v>
      </c>
    </row>
    <row r="1943" spans="1:16" ht="14.4" x14ac:dyDescent="0.3">
      <c r="A1943">
        <v>351439</v>
      </c>
      <c r="B1943" t="str">
        <f t="shared" si="60"/>
        <v/>
      </c>
      <c r="C1943" s="185" t="e">
        <f t="shared" si="61"/>
        <v>#N/A</v>
      </c>
      <c r="D1943" s="407" t="s">
        <v>1539</v>
      </c>
      <c r="E1943" s="407" t="s">
        <v>6044</v>
      </c>
      <c r="F1943" s="407" t="s">
        <v>6045</v>
      </c>
      <c r="G1943" s="407" t="s">
        <v>68</v>
      </c>
      <c r="H1943" s="460" t="e">
        <v>#N/A</v>
      </c>
      <c r="I1943" s="460" t="e">
        <v>#N/A</v>
      </c>
      <c r="J1943" s="460" t="e">
        <v>#N/A</v>
      </c>
      <c r="K1943" s="460" t="e">
        <v>#N/A</v>
      </c>
      <c r="L1943" s="459" t="e">
        <v>#N/A</v>
      </c>
      <c r="O1943" t="e">
        <v>#N/A</v>
      </c>
      <c r="P1943" t="e">
        <v>#N/A</v>
      </c>
    </row>
    <row r="1944" spans="1:16" ht="14.4" x14ac:dyDescent="0.3">
      <c r="A1944">
        <v>351706</v>
      </c>
      <c r="B1944" t="str">
        <f t="shared" si="60"/>
        <v>StrongLine Wzmocnienie drzwi maks. 2250mm czarny</v>
      </c>
      <c r="C1944" s="185">
        <f t="shared" si="61"/>
        <v>36.19802</v>
      </c>
      <c r="D1944" s="407" t="s">
        <v>8292</v>
      </c>
      <c r="E1944" s="407" t="s">
        <v>8293</v>
      </c>
      <c r="F1944" s="407" t="s">
        <v>8294</v>
      </c>
      <c r="G1944" s="407" t="s">
        <v>8295</v>
      </c>
      <c r="H1944" s="460">
        <v>218.75585000000001</v>
      </c>
      <c r="I1944" s="460">
        <v>7.8904800000000002</v>
      </c>
      <c r="J1944" s="460">
        <v>36.19802</v>
      </c>
      <c r="K1944" s="460" t="e">
        <v>#N/A</v>
      </c>
      <c r="L1944" s="459" t="s">
        <v>538</v>
      </c>
      <c r="O1944">
        <v>6.1820000000000004</v>
      </c>
      <c r="P1944" t="s">
        <v>10148</v>
      </c>
    </row>
    <row r="1945" spans="1:16" ht="14.4" x14ac:dyDescent="0.3">
      <c r="A1945">
        <v>351707</v>
      </c>
      <c r="B1945" t="str">
        <f t="shared" si="60"/>
        <v>StrongLine Wzmocnienie drzwi maks. 2250mm białe</v>
      </c>
      <c r="C1945" s="185">
        <f t="shared" si="61"/>
        <v>36.19802</v>
      </c>
      <c r="D1945" s="407" t="s">
        <v>8296</v>
      </c>
      <c r="E1945" s="407" t="s">
        <v>8297</v>
      </c>
      <c r="F1945" s="407" t="s">
        <v>8298</v>
      </c>
      <c r="G1945" s="407" t="s">
        <v>8299</v>
      </c>
      <c r="H1945" s="460">
        <v>218.75585000000001</v>
      </c>
      <c r="I1945" s="460">
        <v>7.8904800000000002</v>
      </c>
      <c r="J1945" s="460">
        <v>36.19802</v>
      </c>
      <c r="K1945" s="460" t="e">
        <v>#N/A</v>
      </c>
      <c r="L1945" s="459" t="s">
        <v>538</v>
      </c>
      <c r="O1945">
        <v>6.1820000000000004</v>
      </c>
      <c r="P1945" t="s">
        <v>10149</v>
      </c>
    </row>
    <row r="1946" spans="1:16" ht="14.4" x14ac:dyDescent="0.3">
      <c r="A1946">
        <v>351806</v>
      </c>
      <c r="B1946" t="e">
        <f t="shared" si="60"/>
        <v>#N/A</v>
      </c>
      <c r="C1946" s="185" t="e">
        <f t="shared" si="61"/>
        <v>#N/A</v>
      </c>
      <c r="D1946" s="407" t="e">
        <v>#N/A</v>
      </c>
      <c r="E1946" s="407" t="e">
        <v>#N/A</v>
      </c>
      <c r="F1946" s="407" t="e">
        <v>#N/A</v>
      </c>
      <c r="G1946" s="407" t="e">
        <v>#N/A</v>
      </c>
      <c r="H1946" s="460" t="e">
        <v>#N/A</v>
      </c>
      <c r="I1946" s="460" t="e">
        <v>#N/A</v>
      </c>
      <c r="J1946" s="460" t="e">
        <v>#N/A</v>
      </c>
      <c r="K1946" s="460" t="e">
        <v>#N/A</v>
      </c>
      <c r="L1946" s="459" t="e">
        <v>#N/A</v>
      </c>
      <c r="O1946" t="e">
        <v>#N/A</v>
      </c>
      <c r="P1946" t="e">
        <v>#N/A</v>
      </c>
    </row>
    <row r="1947" spans="1:16" ht="14.4" x14ac:dyDescent="0.3">
      <c r="A1947">
        <v>351809</v>
      </c>
      <c r="B1947" t="e">
        <f t="shared" si="60"/>
        <v>#N/A</v>
      </c>
      <c r="C1947" s="185" t="e">
        <f t="shared" si="61"/>
        <v>#N/A</v>
      </c>
      <c r="D1947" s="407" t="e">
        <v>#N/A</v>
      </c>
      <c r="E1947" s="407" t="e">
        <v>#N/A</v>
      </c>
      <c r="F1947" s="407" t="e">
        <v>#N/A</v>
      </c>
      <c r="G1947" s="407" t="e">
        <v>#N/A</v>
      </c>
      <c r="H1947" s="460" t="e">
        <v>#N/A</v>
      </c>
      <c r="I1947" s="460" t="e">
        <v>#N/A</v>
      </c>
      <c r="J1947" s="460" t="e">
        <v>#N/A</v>
      </c>
      <c r="K1947" s="460" t="e">
        <v>#N/A</v>
      </c>
      <c r="L1947" s="459" t="e">
        <v>#N/A</v>
      </c>
      <c r="O1947" t="e">
        <v>#N/A</v>
      </c>
      <c r="P1947" t="e">
        <v>#N/A</v>
      </c>
    </row>
    <row r="1948" spans="1:16" ht="14.4" x14ac:dyDescent="0.3">
      <c r="A1948">
        <v>340733</v>
      </c>
      <c r="B1948" t="e">
        <f t="shared" si="60"/>
        <v>#N/A</v>
      </c>
      <c r="C1948" s="185" t="e">
        <f t="shared" si="61"/>
        <v>#N/A</v>
      </c>
      <c r="D1948" s="407" t="e">
        <v>#N/A</v>
      </c>
      <c r="E1948" s="407" t="e">
        <v>#N/A</v>
      </c>
      <c r="F1948" s="407" t="e">
        <v>#N/A</v>
      </c>
      <c r="G1948" s="407" t="e">
        <v>#N/A</v>
      </c>
      <c r="H1948" s="460" t="e">
        <v>#N/A</v>
      </c>
      <c r="I1948" s="460" t="e">
        <v>#N/A</v>
      </c>
      <c r="J1948" s="460" t="e">
        <v>#N/A</v>
      </c>
      <c r="K1948" s="460" t="e">
        <v>#N/A</v>
      </c>
      <c r="L1948" s="459" t="e">
        <v>#N/A</v>
      </c>
      <c r="O1948" t="e">
        <v>#N/A</v>
      </c>
      <c r="P1948" t="e">
        <v>#N/A</v>
      </c>
    </row>
    <row r="1949" spans="1:16" ht="14.4" x14ac:dyDescent="0.3">
      <c r="A1949">
        <v>340734</v>
      </c>
      <c r="B1949" t="e">
        <f t="shared" si="60"/>
        <v>#N/A</v>
      </c>
      <c r="C1949" s="185" t="e">
        <f t="shared" si="61"/>
        <v>#N/A</v>
      </c>
      <c r="D1949" s="407" t="e">
        <v>#N/A</v>
      </c>
      <c r="E1949" s="407" t="e">
        <v>#N/A</v>
      </c>
      <c r="F1949" s="407" t="e">
        <v>#N/A</v>
      </c>
      <c r="G1949" s="407" t="e">
        <v>#N/A</v>
      </c>
      <c r="H1949" s="460" t="e">
        <v>#N/A</v>
      </c>
      <c r="I1949" s="460" t="e">
        <v>#N/A</v>
      </c>
      <c r="J1949" s="460" t="e">
        <v>#N/A</v>
      </c>
      <c r="K1949" s="460" t="e">
        <v>#N/A</v>
      </c>
      <c r="L1949" s="459" t="e">
        <v>#N/A</v>
      </c>
      <c r="O1949" t="e">
        <v>#N/A</v>
      </c>
      <c r="P1949" t="e">
        <v>#N/A</v>
      </c>
    </row>
    <row r="1950" spans="1:16" ht="14.4" x14ac:dyDescent="0.3">
      <c r="A1950">
        <v>340884</v>
      </c>
      <c r="B1950" t="str">
        <f t="shared" si="60"/>
        <v>Wzornik rączek 2017 zeszyt SPRZEDAŻ</v>
      </c>
      <c r="C1950" s="185" t="e">
        <f t="shared" si="61"/>
        <v>#N/A</v>
      </c>
      <c r="D1950" s="407" t="s">
        <v>1540</v>
      </c>
      <c r="E1950" s="407" t="s">
        <v>1968</v>
      </c>
      <c r="F1950" s="407" t="s">
        <v>68</v>
      </c>
      <c r="G1950" s="407" t="s">
        <v>2478</v>
      </c>
      <c r="H1950" s="460" t="e">
        <v>#N/A</v>
      </c>
      <c r="I1950" s="460" t="e">
        <v>#N/A</v>
      </c>
      <c r="J1950" s="460" t="e">
        <v>#N/A</v>
      </c>
      <c r="K1950" s="460" t="e">
        <v>#N/A</v>
      </c>
      <c r="L1950" s="459" t="e">
        <v>#N/A</v>
      </c>
      <c r="O1950">
        <v>0</v>
      </c>
      <c r="P1950" t="s">
        <v>10150</v>
      </c>
    </row>
    <row r="1951" spans="1:16" ht="14.4" x14ac:dyDescent="0.3">
      <c r="A1951">
        <v>341562</v>
      </c>
      <c r="B1951" t="str">
        <f t="shared" si="60"/>
        <v>S-Softclose S60/S60N (Slidix T40) tłumienie</v>
      </c>
      <c r="C1951" s="185" t="e">
        <f t="shared" si="61"/>
        <v>#N/A</v>
      </c>
      <c r="D1951" s="407" t="s">
        <v>8300</v>
      </c>
      <c r="E1951" s="407" t="s">
        <v>8301</v>
      </c>
      <c r="F1951" s="407" t="s">
        <v>8302</v>
      </c>
      <c r="G1951" s="407" t="s">
        <v>8303</v>
      </c>
      <c r="H1951" s="460" t="e">
        <v>#N/A</v>
      </c>
      <c r="I1951" s="460" t="e">
        <v>#N/A</v>
      </c>
      <c r="J1951" s="460" t="e">
        <v>#N/A</v>
      </c>
      <c r="K1951" s="460" t="e">
        <v>#N/A</v>
      </c>
      <c r="L1951" s="459" t="e">
        <v>#N/A</v>
      </c>
      <c r="O1951">
        <v>0</v>
      </c>
      <c r="P1951" t="s">
        <v>10151</v>
      </c>
    </row>
    <row r="1952" spans="1:16" ht="14.4" x14ac:dyDescent="0.3">
      <c r="A1952">
        <v>412038</v>
      </c>
      <c r="B1952" t="e">
        <f t="shared" si="60"/>
        <v>#N/A</v>
      </c>
      <c r="C1952" s="185" t="e">
        <f t="shared" si="61"/>
        <v>#N/A</v>
      </c>
      <c r="D1952" s="407" t="e">
        <v>#N/A</v>
      </c>
      <c r="E1952" s="407" t="e">
        <v>#N/A</v>
      </c>
      <c r="F1952" s="407" t="e">
        <v>#N/A</v>
      </c>
      <c r="G1952" s="407" t="e">
        <v>#N/A</v>
      </c>
      <c r="H1952" s="460" t="e">
        <v>#N/A</v>
      </c>
      <c r="I1952" s="460" t="e">
        <v>#N/A</v>
      </c>
      <c r="J1952" s="460" t="e">
        <v>#N/A</v>
      </c>
      <c r="K1952" s="460" t="e">
        <v>#N/A</v>
      </c>
      <c r="L1952" s="459" t="e">
        <v>#N/A</v>
      </c>
      <c r="O1952" t="e">
        <v>#N/A</v>
      </c>
      <c r="P1952" t="e">
        <v>#N/A</v>
      </c>
    </row>
    <row r="1953" spans="1:16" ht="14.4" x14ac:dyDescent="0.3">
      <c r="A1953">
        <v>412039</v>
      </c>
      <c r="B1953" t="e">
        <f t="shared" si="60"/>
        <v>#N/A</v>
      </c>
      <c r="C1953" s="185" t="e">
        <f t="shared" si="61"/>
        <v>#N/A</v>
      </c>
      <c r="D1953" s="407" t="e">
        <v>#N/A</v>
      </c>
      <c r="E1953" s="407" t="e">
        <v>#N/A</v>
      </c>
      <c r="F1953" s="407" t="e">
        <v>#N/A</v>
      </c>
      <c r="G1953" s="407" t="e">
        <v>#N/A</v>
      </c>
      <c r="H1953" s="460" t="e">
        <v>#N/A</v>
      </c>
      <c r="I1953" s="460" t="e">
        <v>#N/A</v>
      </c>
      <c r="J1953" s="460" t="e">
        <v>#N/A</v>
      </c>
      <c r="K1953" s="460" t="e">
        <v>#N/A</v>
      </c>
      <c r="L1953" s="459" t="e">
        <v>#N/A</v>
      </c>
      <c r="O1953" t="e">
        <v>#N/A</v>
      </c>
      <c r="P1953" t="e">
        <v>#N/A</v>
      </c>
    </row>
    <row r="1954" spans="1:16" ht="14.4" x14ac:dyDescent="0.3">
      <c r="A1954">
        <v>412123</v>
      </c>
      <c r="B1954" t="e">
        <f t="shared" si="60"/>
        <v>#N/A</v>
      </c>
      <c r="C1954" s="185" t="e">
        <f t="shared" si="61"/>
        <v>#N/A</v>
      </c>
      <c r="D1954" s="407" t="e">
        <v>#N/A</v>
      </c>
      <c r="E1954" s="407" t="e">
        <v>#N/A</v>
      </c>
      <c r="F1954" s="407" t="e">
        <v>#N/A</v>
      </c>
      <c r="G1954" s="407" t="e">
        <v>#N/A</v>
      </c>
      <c r="H1954" s="460" t="e">
        <v>#N/A</v>
      </c>
      <c r="I1954" s="460" t="e">
        <v>#N/A</v>
      </c>
      <c r="J1954" s="460" t="e">
        <v>#N/A</v>
      </c>
      <c r="K1954" s="460" t="e">
        <v>#N/A</v>
      </c>
      <c r="L1954" s="459" t="e">
        <v>#N/A</v>
      </c>
      <c r="O1954" t="e">
        <v>#N/A</v>
      </c>
      <c r="P1954" t="e">
        <v>#N/A</v>
      </c>
    </row>
    <row r="1955" spans="1:16" ht="14.4" x14ac:dyDescent="0.3">
      <c r="A1955">
        <v>412125</v>
      </c>
      <c r="B1955" t="e">
        <f t="shared" si="60"/>
        <v>#N/A</v>
      </c>
      <c r="C1955" s="185" t="e">
        <f t="shared" si="61"/>
        <v>#N/A</v>
      </c>
      <c r="D1955" s="407" t="e">
        <v>#N/A</v>
      </c>
      <c r="E1955" s="407" t="e">
        <v>#N/A</v>
      </c>
      <c r="F1955" s="407" t="e">
        <v>#N/A</v>
      </c>
      <c r="G1955" s="407" t="e">
        <v>#N/A</v>
      </c>
      <c r="H1955" s="460" t="e">
        <v>#N/A</v>
      </c>
      <c r="I1955" s="460" t="e">
        <v>#N/A</v>
      </c>
      <c r="J1955" s="460" t="e">
        <v>#N/A</v>
      </c>
      <c r="K1955" s="460" t="e">
        <v>#N/A</v>
      </c>
      <c r="L1955" s="459" t="e">
        <v>#N/A</v>
      </c>
      <c r="O1955" t="e">
        <v>#N/A</v>
      </c>
      <c r="P1955" t="e">
        <v>#N/A</v>
      </c>
    </row>
    <row r="1956" spans="1:16" ht="14.4" x14ac:dyDescent="0.3">
      <c r="A1956">
        <v>412126</v>
      </c>
      <c r="B1956" t="e">
        <f t="shared" si="60"/>
        <v>#N/A</v>
      </c>
      <c r="C1956" s="185" t="e">
        <f t="shared" si="61"/>
        <v>#N/A</v>
      </c>
      <c r="D1956" s="407" t="e">
        <v>#N/A</v>
      </c>
      <c r="E1956" s="407" t="e">
        <v>#N/A</v>
      </c>
      <c r="F1956" s="407" t="e">
        <v>#N/A</v>
      </c>
      <c r="G1956" s="407" t="e">
        <v>#N/A</v>
      </c>
      <c r="H1956" s="460" t="e">
        <v>#N/A</v>
      </c>
      <c r="I1956" s="460" t="e">
        <v>#N/A</v>
      </c>
      <c r="J1956" s="460" t="e">
        <v>#N/A</v>
      </c>
      <c r="K1956" s="460" t="e">
        <v>#N/A</v>
      </c>
      <c r="L1956" s="459" t="e">
        <v>#N/A</v>
      </c>
      <c r="O1956" t="e">
        <v>#N/A</v>
      </c>
      <c r="P1956" t="e">
        <v>#N/A</v>
      </c>
    </row>
    <row r="1957" spans="1:16" ht="14.4" x14ac:dyDescent="0.3">
      <c r="A1957">
        <v>412127</v>
      </c>
      <c r="B1957" t="e">
        <f t="shared" si="60"/>
        <v>#N/A</v>
      </c>
      <c r="C1957" s="185" t="e">
        <f t="shared" si="61"/>
        <v>#N/A</v>
      </c>
      <c r="D1957" s="407" t="e">
        <v>#N/A</v>
      </c>
      <c r="E1957" s="407" t="e">
        <v>#N/A</v>
      </c>
      <c r="F1957" s="407" t="e">
        <v>#N/A</v>
      </c>
      <c r="G1957" s="407" t="e">
        <v>#N/A</v>
      </c>
      <c r="H1957" s="460" t="e">
        <v>#N/A</v>
      </c>
      <c r="I1957" s="460" t="e">
        <v>#N/A</v>
      </c>
      <c r="J1957" s="460" t="e">
        <v>#N/A</v>
      </c>
      <c r="K1957" s="460" t="e">
        <v>#N/A</v>
      </c>
      <c r="L1957" s="459" t="e">
        <v>#N/A</v>
      </c>
      <c r="O1957" t="e">
        <v>#N/A</v>
      </c>
      <c r="P1957" t="e">
        <v>#N/A</v>
      </c>
    </row>
    <row r="1958" spans="1:16" ht="14.4" x14ac:dyDescent="0.3">
      <c r="A1958">
        <v>412128</v>
      </c>
      <c r="B1958" t="e">
        <f t="shared" si="60"/>
        <v>#N/A</v>
      </c>
      <c r="C1958" s="185" t="e">
        <f t="shared" si="61"/>
        <v>#N/A</v>
      </c>
      <c r="D1958" s="407" t="e">
        <v>#N/A</v>
      </c>
      <c r="E1958" s="407" t="e">
        <v>#N/A</v>
      </c>
      <c r="F1958" s="407" t="e">
        <v>#N/A</v>
      </c>
      <c r="G1958" s="407" t="e">
        <v>#N/A</v>
      </c>
      <c r="H1958" s="460" t="e">
        <v>#N/A</v>
      </c>
      <c r="I1958" s="460" t="e">
        <v>#N/A</v>
      </c>
      <c r="J1958" s="460" t="e">
        <v>#N/A</v>
      </c>
      <c r="K1958" s="460" t="e">
        <v>#N/A</v>
      </c>
      <c r="L1958" s="459" t="e">
        <v>#N/A</v>
      </c>
      <c r="O1958" t="e">
        <v>#N/A</v>
      </c>
      <c r="P1958" t="e">
        <v>#N/A</v>
      </c>
    </row>
    <row r="1959" spans="1:16" ht="14.4" x14ac:dyDescent="0.3">
      <c r="A1959">
        <v>412226</v>
      </c>
      <c r="B1959" t="str">
        <f t="shared" si="60"/>
        <v>SEVROLL kątownik Mini 17x11 mm 3 m czarny mat</v>
      </c>
      <c r="C1959" s="185">
        <f t="shared" si="61"/>
        <v>21.583200000000001</v>
      </c>
      <c r="D1959" s="407" t="s">
        <v>6046</v>
      </c>
      <c r="E1959" s="407" t="s">
        <v>6047</v>
      </c>
      <c r="F1959" s="407" t="s">
        <v>6048</v>
      </c>
      <c r="G1959" s="407" t="s">
        <v>6049</v>
      </c>
      <c r="H1959" s="460">
        <v>156.32956999999999</v>
      </c>
      <c r="I1959" s="460">
        <v>5.6208799999999997</v>
      </c>
      <c r="J1959" s="460">
        <v>21.583200000000001</v>
      </c>
      <c r="K1959" s="460">
        <v>2163.3967400000001</v>
      </c>
      <c r="L1959" s="459" t="s">
        <v>538</v>
      </c>
      <c r="O1959">
        <v>5.7640000000000002</v>
      </c>
      <c r="P1959" t="s">
        <v>10152</v>
      </c>
    </row>
    <row r="1960" spans="1:16" ht="14.4" x14ac:dyDescent="0.3">
      <c r="A1960">
        <v>412229</v>
      </c>
      <c r="B1960" t="str">
        <f t="shared" si="60"/>
        <v>SEVROLL Gemini tor górny 3 m czarny mat</v>
      </c>
      <c r="C1960" s="185">
        <f t="shared" si="61"/>
        <v>131.79419999999999</v>
      </c>
      <c r="D1960" s="407" t="s">
        <v>1541</v>
      </c>
      <c r="E1960" s="407" t="s">
        <v>1969</v>
      </c>
      <c r="F1960" s="407" t="s">
        <v>6050</v>
      </c>
      <c r="G1960" s="407" t="s">
        <v>6051</v>
      </c>
      <c r="H1960" s="460">
        <v>903.23748000000001</v>
      </c>
      <c r="I1960" s="460">
        <v>32.476199999999999</v>
      </c>
      <c r="J1960" s="460">
        <v>131.79419999999999</v>
      </c>
      <c r="K1960" s="460">
        <v>12499.626490000001</v>
      </c>
      <c r="L1960" s="459" t="s">
        <v>538</v>
      </c>
      <c r="O1960">
        <v>34.341999999999999</v>
      </c>
      <c r="P1960" t="s">
        <v>10153</v>
      </c>
    </row>
    <row r="1961" spans="1:16" ht="14.4" x14ac:dyDescent="0.3">
      <c r="A1961">
        <v>412231</v>
      </c>
      <c r="B1961" t="str">
        <f t="shared" si="60"/>
        <v>SEVROLL Elegant II tor dolny 3 m czarny mat</v>
      </c>
      <c r="C1961" s="185">
        <f t="shared" si="61"/>
        <v>71.808000000000007</v>
      </c>
      <c r="D1961" s="407" t="s">
        <v>1542</v>
      </c>
      <c r="E1961" s="407" t="s">
        <v>1970</v>
      </c>
      <c r="F1961" s="407" t="s">
        <v>6052</v>
      </c>
      <c r="G1961" s="407" t="s">
        <v>6053</v>
      </c>
      <c r="H1961" s="460">
        <v>526.88854000000003</v>
      </c>
      <c r="I1961" s="460">
        <v>18.94445</v>
      </c>
      <c r="J1961" s="460">
        <v>71.808000000000007</v>
      </c>
      <c r="K1961" s="460">
        <v>7291.4487600000002</v>
      </c>
      <c r="L1961" s="459" t="s">
        <v>538</v>
      </c>
      <c r="O1961">
        <v>18.876000000000001</v>
      </c>
      <c r="P1961" t="s">
        <v>10154</v>
      </c>
    </row>
    <row r="1962" spans="1:16" ht="14.4" x14ac:dyDescent="0.3">
      <c r="A1962">
        <v>412605</v>
      </c>
      <c r="B1962" t="e">
        <f t="shared" si="60"/>
        <v>#N/A</v>
      </c>
      <c r="C1962" s="185" t="e">
        <f t="shared" si="61"/>
        <v>#N/A</v>
      </c>
      <c r="D1962" s="407" t="e">
        <v>#N/A</v>
      </c>
      <c r="E1962" s="407" t="e">
        <v>#N/A</v>
      </c>
      <c r="F1962" s="407" t="e">
        <v>#N/A</v>
      </c>
      <c r="G1962" s="407" t="e">
        <v>#N/A</v>
      </c>
      <c r="H1962" s="460" t="e">
        <v>#N/A</v>
      </c>
      <c r="I1962" s="460" t="e">
        <v>#N/A</v>
      </c>
      <c r="J1962" s="460" t="e">
        <v>#N/A</v>
      </c>
      <c r="K1962" s="460" t="e">
        <v>#N/A</v>
      </c>
      <c r="L1962" s="459" t="e">
        <v>#N/A</v>
      </c>
      <c r="O1962" t="e">
        <v>#N/A</v>
      </c>
      <c r="P1962" t="e">
        <v>#N/A</v>
      </c>
    </row>
    <row r="1963" spans="1:16" ht="14.4" x14ac:dyDescent="0.3">
      <c r="A1963">
        <v>412841</v>
      </c>
      <c r="B1963" t="str">
        <f t="shared" si="60"/>
        <v>S-profil S22 2,7m srebrny</v>
      </c>
      <c r="C1963" s="185" t="e">
        <f t="shared" si="61"/>
        <v>#N/A</v>
      </c>
      <c r="D1963" s="407" t="s">
        <v>8304</v>
      </c>
      <c r="E1963" s="407" t="s">
        <v>8305</v>
      </c>
      <c r="F1963" s="407" t="s">
        <v>8306</v>
      </c>
      <c r="G1963" s="407" t="s">
        <v>8307</v>
      </c>
      <c r="H1963" s="460" t="e">
        <v>#N/A</v>
      </c>
      <c r="I1963" s="460" t="e">
        <v>#N/A</v>
      </c>
      <c r="J1963" s="460" t="e">
        <v>#N/A</v>
      </c>
      <c r="K1963" s="460" t="e">
        <v>#N/A</v>
      </c>
      <c r="L1963" s="459" t="e">
        <v>#N/A</v>
      </c>
      <c r="O1963">
        <v>26.224419999999999</v>
      </c>
      <c r="P1963" t="s">
        <v>10155</v>
      </c>
    </row>
    <row r="1964" spans="1:16" ht="14.4" x14ac:dyDescent="0.3">
      <c r="A1964">
        <v>412844</v>
      </c>
      <c r="B1964" t="str">
        <f t="shared" si="60"/>
        <v/>
      </c>
      <c r="C1964" s="185" t="e">
        <f t="shared" si="61"/>
        <v>#N/A</v>
      </c>
      <c r="D1964" s="407" t="s">
        <v>8308</v>
      </c>
      <c r="E1964" s="407" t="s">
        <v>8309</v>
      </c>
      <c r="F1964" s="407" t="s">
        <v>8310</v>
      </c>
      <c r="G1964" s="407" t="s">
        <v>68</v>
      </c>
      <c r="H1964" s="460" t="e">
        <v>#N/A</v>
      </c>
      <c r="I1964" s="460" t="e">
        <v>#N/A</v>
      </c>
      <c r="J1964" s="460" t="e">
        <v>#N/A</v>
      </c>
      <c r="K1964" s="460" t="e">
        <v>#N/A</v>
      </c>
      <c r="L1964" s="459" t="e">
        <v>#N/A</v>
      </c>
      <c r="O1964">
        <v>0</v>
      </c>
      <c r="P1964" t="s">
        <v>10156</v>
      </c>
    </row>
    <row r="1965" spans="1:16" ht="14.4" x14ac:dyDescent="0.3">
      <c r="A1965">
        <v>412845</v>
      </c>
      <c r="B1965" t="str">
        <f t="shared" si="60"/>
        <v>S-S55 dolny poprzeczka 3m srebrny</v>
      </c>
      <c r="C1965" s="185" t="e">
        <f t="shared" si="61"/>
        <v>#N/A</v>
      </c>
      <c r="D1965" s="407" t="s">
        <v>8311</v>
      </c>
      <c r="E1965" s="407" t="s">
        <v>8154</v>
      </c>
      <c r="F1965" s="407" t="s">
        <v>8312</v>
      </c>
      <c r="G1965" s="407" t="s">
        <v>8156</v>
      </c>
      <c r="H1965" s="460" t="e">
        <v>#N/A</v>
      </c>
      <c r="I1965" s="460" t="e">
        <v>#N/A</v>
      </c>
      <c r="J1965" s="460" t="e">
        <v>#N/A</v>
      </c>
      <c r="K1965" s="460" t="e">
        <v>#N/A</v>
      </c>
      <c r="L1965" s="459" t="e">
        <v>#N/A</v>
      </c>
      <c r="O1965">
        <v>0</v>
      </c>
      <c r="P1965" t="s">
        <v>10157</v>
      </c>
    </row>
    <row r="1966" spans="1:16" ht="14.4" x14ac:dyDescent="0.3">
      <c r="A1966">
        <v>412846</v>
      </c>
      <c r="B1966" t="str">
        <f t="shared" si="60"/>
        <v>S-S06N dolny profil prowadzący 2,5m srebrny</v>
      </c>
      <c r="C1966" s="185" t="e">
        <f t="shared" si="61"/>
        <v>#N/A</v>
      </c>
      <c r="D1966" s="407" t="s">
        <v>8313</v>
      </c>
      <c r="E1966" s="407" t="s">
        <v>8314</v>
      </c>
      <c r="F1966" s="407" t="s">
        <v>8315</v>
      </c>
      <c r="G1966" s="407" t="s">
        <v>8316</v>
      </c>
      <c r="H1966" s="460" t="e">
        <v>#N/A</v>
      </c>
      <c r="I1966" s="460" t="e">
        <v>#N/A</v>
      </c>
      <c r="J1966" s="460" t="e">
        <v>#N/A</v>
      </c>
      <c r="K1966" s="460" t="e">
        <v>#N/A</v>
      </c>
      <c r="L1966" s="459" t="e">
        <v>#N/A</v>
      </c>
      <c r="O1966">
        <v>0</v>
      </c>
      <c r="P1966" t="s">
        <v>10158</v>
      </c>
    </row>
    <row r="1967" spans="1:16" ht="14.4" x14ac:dyDescent="0.3">
      <c r="A1967">
        <v>412909</v>
      </c>
      <c r="B1967" t="str">
        <f t="shared" si="60"/>
        <v>S-komplet okuć S90-W1 inox 2,0m</v>
      </c>
      <c r="C1967" s="185" t="e">
        <f t="shared" si="61"/>
        <v>#N/A</v>
      </c>
      <c r="D1967" s="407" t="s">
        <v>8317</v>
      </c>
      <c r="E1967" s="407" t="s">
        <v>8318</v>
      </c>
      <c r="F1967" s="407" t="s">
        <v>8319</v>
      </c>
      <c r="G1967" s="407" t="s">
        <v>8320</v>
      </c>
      <c r="H1967" s="460" t="e">
        <v>#N/A</v>
      </c>
      <c r="I1967" s="460" t="e">
        <v>#N/A</v>
      </c>
      <c r="J1967" s="460" t="e">
        <v>#N/A</v>
      </c>
      <c r="K1967" s="460" t="e">
        <v>#N/A</v>
      </c>
      <c r="L1967" s="459" t="e">
        <v>#N/A</v>
      </c>
      <c r="O1967">
        <v>209.94140999999999</v>
      </c>
      <c r="P1967" t="s">
        <v>10159</v>
      </c>
    </row>
    <row r="1968" spans="1:16" ht="14.4" x14ac:dyDescent="0.3">
      <c r="A1968">
        <v>288252</v>
      </c>
      <c r="B1968" t="str">
        <f t="shared" si="60"/>
        <v>SEVROLL Alfa II rączka 18mm 2,7m czarny mat</v>
      </c>
      <c r="C1968" s="185">
        <f t="shared" si="61"/>
        <v>66.463200000000001</v>
      </c>
      <c r="D1968" s="407" t="s">
        <v>1543</v>
      </c>
      <c r="E1968" s="407" t="s">
        <v>1971</v>
      </c>
      <c r="F1968" s="407" t="s">
        <v>6054</v>
      </c>
      <c r="G1968" s="407" t="s">
        <v>2480</v>
      </c>
      <c r="H1968" s="460">
        <v>457.40872000000002</v>
      </c>
      <c r="I1968" s="460">
        <v>16.44107</v>
      </c>
      <c r="J1968" s="460">
        <v>66.463200000000001</v>
      </c>
      <c r="K1968" s="460">
        <v>6329.9391800000003</v>
      </c>
      <c r="L1968" s="459" t="s">
        <v>538</v>
      </c>
      <c r="O1968">
        <v>17.666</v>
      </c>
      <c r="P1968" t="s">
        <v>10160</v>
      </c>
    </row>
    <row r="1969" spans="1:16" ht="14.4" x14ac:dyDescent="0.3">
      <c r="A1969">
        <v>288255</v>
      </c>
      <c r="B1969" t="e">
        <f t="shared" si="60"/>
        <v>#N/A</v>
      </c>
      <c r="C1969" s="185" t="e">
        <f t="shared" si="61"/>
        <v>#N/A</v>
      </c>
      <c r="D1969" s="407" t="e">
        <v>#N/A</v>
      </c>
      <c r="E1969" s="407" t="e">
        <v>#N/A</v>
      </c>
      <c r="F1969" s="407" t="e">
        <v>#N/A</v>
      </c>
      <c r="G1969" s="407" t="e">
        <v>#N/A</v>
      </c>
      <c r="H1969" s="460" t="e">
        <v>#N/A</v>
      </c>
      <c r="I1969" s="460" t="e">
        <v>#N/A</v>
      </c>
      <c r="J1969" s="460" t="e">
        <v>#N/A</v>
      </c>
      <c r="K1969" s="460" t="e">
        <v>#N/A</v>
      </c>
      <c r="L1969" s="459" t="e">
        <v>#N/A</v>
      </c>
      <c r="O1969" t="e">
        <v>#N/A</v>
      </c>
      <c r="P1969" t="e">
        <v>#N/A</v>
      </c>
    </row>
    <row r="1970" spans="1:16" ht="14.4" x14ac:dyDescent="0.3">
      <c r="A1970">
        <v>288256</v>
      </c>
      <c r="B1970" t="e">
        <f t="shared" si="60"/>
        <v>#N/A</v>
      </c>
      <c r="C1970" s="185" t="e">
        <f t="shared" si="61"/>
        <v>#N/A</v>
      </c>
      <c r="D1970" s="407" t="e">
        <v>#N/A</v>
      </c>
      <c r="E1970" s="407" t="e">
        <v>#N/A</v>
      </c>
      <c r="F1970" s="407" t="e">
        <v>#N/A</v>
      </c>
      <c r="G1970" s="407" t="e">
        <v>#N/A</v>
      </c>
      <c r="H1970" s="460" t="e">
        <v>#N/A</v>
      </c>
      <c r="I1970" s="460" t="e">
        <v>#N/A</v>
      </c>
      <c r="J1970" s="460" t="e">
        <v>#N/A</v>
      </c>
      <c r="K1970" s="460" t="e">
        <v>#N/A</v>
      </c>
      <c r="L1970" s="459" t="e">
        <v>#N/A</v>
      </c>
      <c r="O1970" t="e">
        <v>#N/A</v>
      </c>
      <c r="P1970" t="e">
        <v>#N/A</v>
      </c>
    </row>
    <row r="1971" spans="1:16" ht="14.4" x14ac:dyDescent="0.3">
      <c r="A1971">
        <v>288566</v>
      </c>
      <c r="B1971" t="str">
        <f t="shared" si="60"/>
        <v>S-komplet okuć S80SC dopełnienie</v>
      </c>
      <c r="C1971" s="185" t="e">
        <f t="shared" si="61"/>
        <v>#N/A</v>
      </c>
      <c r="D1971" s="407" t="s">
        <v>8321</v>
      </c>
      <c r="E1971" s="407" t="s">
        <v>8322</v>
      </c>
      <c r="F1971" s="407" t="s">
        <v>8323</v>
      </c>
      <c r="G1971" s="407" t="s">
        <v>8324</v>
      </c>
      <c r="H1971" s="460" t="e">
        <v>#N/A</v>
      </c>
      <c r="I1971" s="460" t="e">
        <v>#N/A</v>
      </c>
      <c r="J1971" s="460" t="e">
        <v>#N/A</v>
      </c>
      <c r="K1971" s="460" t="e">
        <v>#N/A</v>
      </c>
      <c r="L1971" s="459" t="e">
        <v>#N/A</v>
      </c>
      <c r="O1971">
        <v>0</v>
      </c>
      <c r="P1971" t="s">
        <v>10161</v>
      </c>
    </row>
    <row r="1972" spans="1:16" ht="14.4" x14ac:dyDescent="0.3">
      <c r="A1972">
        <v>288579</v>
      </c>
      <c r="B1972" t="str">
        <f t="shared" si="60"/>
        <v>S-komplet okuć S36</v>
      </c>
      <c r="C1972" s="185" t="e">
        <f t="shared" si="61"/>
        <v>#N/A</v>
      </c>
      <c r="D1972" s="407" t="s">
        <v>8325</v>
      </c>
      <c r="E1972" s="407" t="s">
        <v>8326</v>
      </c>
      <c r="F1972" s="407" t="s">
        <v>8327</v>
      </c>
      <c r="G1972" s="407" t="s">
        <v>8328</v>
      </c>
      <c r="H1972" s="460" t="e">
        <v>#N/A</v>
      </c>
      <c r="I1972" s="460" t="e">
        <v>#N/A</v>
      </c>
      <c r="J1972" s="460" t="e">
        <v>#N/A</v>
      </c>
      <c r="K1972" s="460" t="e">
        <v>#N/A</v>
      </c>
      <c r="L1972" s="459" t="e">
        <v>#N/A</v>
      </c>
      <c r="O1972">
        <v>14.452579999999999</v>
      </c>
      <c r="P1972" t="s">
        <v>10162</v>
      </c>
    </row>
    <row r="1973" spans="1:16" ht="14.4" x14ac:dyDescent="0.3">
      <c r="A1973">
        <v>288675</v>
      </c>
      <c r="B1973" t="str">
        <f t="shared" si="60"/>
        <v>SEVROLL Linea drążek meblowy owalny 3m srebrny</v>
      </c>
      <c r="C1973" s="185">
        <f t="shared" si="61"/>
        <v>50.887799999999999</v>
      </c>
      <c r="D1973" s="407" t="s">
        <v>1544</v>
      </c>
      <c r="E1973" s="407" t="s">
        <v>1972</v>
      </c>
      <c r="F1973" s="407" t="s">
        <v>2183</v>
      </c>
      <c r="G1973" s="407" t="s">
        <v>2481</v>
      </c>
      <c r="H1973" s="460">
        <v>406.02260999999999</v>
      </c>
      <c r="I1973" s="460">
        <v>14.59868</v>
      </c>
      <c r="J1973" s="460">
        <v>50.887799999999999</v>
      </c>
      <c r="K1973" s="460">
        <v>5618.8223600000001</v>
      </c>
      <c r="L1973" s="459" t="s">
        <v>539</v>
      </c>
      <c r="O1973">
        <v>13.662000000000001</v>
      </c>
      <c r="P1973" t="s">
        <v>10163</v>
      </c>
    </row>
    <row r="1974" spans="1:16" ht="14.4" x14ac:dyDescent="0.3">
      <c r="A1974">
        <v>288676</v>
      </c>
      <c r="B1974" t="str">
        <f t="shared" si="60"/>
        <v>SEVROLL Linea łącznik kątowy profili</v>
      </c>
      <c r="C1974" s="185">
        <f t="shared" si="61"/>
        <v>4.5084</v>
      </c>
      <c r="D1974" s="407" t="s">
        <v>3274</v>
      </c>
      <c r="E1974" s="407" t="s">
        <v>1973</v>
      </c>
      <c r="F1974" s="407" t="s">
        <v>1545</v>
      </c>
      <c r="G1974" s="407" t="s">
        <v>2482</v>
      </c>
      <c r="H1974" s="460">
        <v>36.187399999999997</v>
      </c>
      <c r="I1974" s="460">
        <v>1.3011299999999999</v>
      </c>
      <c r="J1974" s="460">
        <v>4.5084</v>
      </c>
      <c r="K1974" s="460">
        <v>500.78631000000001</v>
      </c>
      <c r="L1974" s="459" t="s">
        <v>539</v>
      </c>
      <c r="O1974">
        <v>1.21</v>
      </c>
      <c r="P1974" t="s">
        <v>10164</v>
      </c>
    </row>
    <row r="1975" spans="1:16" ht="14.4" x14ac:dyDescent="0.3">
      <c r="A1975">
        <v>288677</v>
      </c>
      <c r="B1975" t="str">
        <f t="shared" si="60"/>
        <v>SEVROLL Linea mocowanie ścienne / sufitowe</v>
      </c>
      <c r="C1975" s="185">
        <f t="shared" si="61"/>
        <v>3.9066000000000001</v>
      </c>
      <c r="D1975" s="407" t="s">
        <v>1546</v>
      </c>
      <c r="E1975" s="407" t="s">
        <v>1974</v>
      </c>
      <c r="F1975" s="407" t="s">
        <v>2184</v>
      </c>
      <c r="G1975" s="407" t="s">
        <v>2483</v>
      </c>
      <c r="H1975" s="460">
        <v>31.12115</v>
      </c>
      <c r="I1975" s="460">
        <v>1.11897</v>
      </c>
      <c r="J1975" s="460">
        <v>3.9066000000000001</v>
      </c>
      <c r="K1975" s="460">
        <v>430.67615999999998</v>
      </c>
      <c r="L1975" s="459" t="s">
        <v>539</v>
      </c>
      <c r="O1975">
        <v>1.056</v>
      </c>
      <c r="P1975" t="s">
        <v>10165</v>
      </c>
    </row>
    <row r="1976" spans="1:16" ht="14.4" x14ac:dyDescent="0.3">
      <c r="A1976">
        <v>288678</v>
      </c>
      <c r="B1976" t="str">
        <f t="shared" si="60"/>
        <v>SEVROLL Linea nóżka z regulacją</v>
      </c>
      <c r="C1976" s="185">
        <f t="shared" si="61"/>
        <v>9.9857999999999993</v>
      </c>
      <c r="D1976" s="407" t="s">
        <v>1547</v>
      </c>
      <c r="E1976" s="407" t="s">
        <v>1975</v>
      </c>
      <c r="F1976" s="407" t="s">
        <v>2185</v>
      </c>
      <c r="G1976" s="407" t="s">
        <v>2484</v>
      </c>
      <c r="H1976" s="460">
        <v>79.612279999999998</v>
      </c>
      <c r="I1976" s="460">
        <v>2.8624900000000002</v>
      </c>
      <c r="J1976" s="460">
        <v>9.9857999999999993</v>
      </c>
      <c r="K1976" s="460">
        <v>1101.7299</v>
      </c>
      <c r="L1976" s="459" t="s">
        <v>539</v>
      </c>
      <c r="O1976">
        <v>2.6840000000000002</v>
      </c>
      <c r="P1976" t="s">
        <v>10166</v>
      </c>
    </row>
    <row r="1977" spans="1:16" ht="14.4" x14ac:dyDescent="0.3">
      <c r="A1977">
        <v>288679</v>
      </c>
      <c r="B1977" t="str">
        <f t="shared" si="60"/>
        <v>SEVROLL Linea drążek meblowy okrągły 3 m alu srebrny</v>
      </c>
      <c r="C1977" s="185">
        <f t="shared" si="61"/>
        <v>32.4831</v>
      </c>
      <c r="D1977" s="407" t="s">
        <v>1548</v>
      </c>
      <c r="E1977" s="407" t="s">
        <v>1976</v>
      </c>
      <c r="F1977" s="407" t="s">
        <v>2186</v>
      </c>
      <c r="G1977" s="407" t="s">
        <v>2485</v>
      </c>
      <c r="H1977" s="460">
        <v>262.72050999999999</v>
      </c>
      <c r="I1977" s="460">
        <v>9.4461999999999993</v>
      </c>
      <c r="J1977" s="460">
        <v>32.4831</v>
      </c>
      <c r="K1977" s="460">
        <v>3635.7085999999999</v>
      </c>
      <c r="L1977" s="459" t="s">
        <v>539</v>
      </c>
      <c r="O1977">
        <v>8.4039999999999999</v>
      </c>
      <c r="P1977" t="s">
        <v>10167</v>
      </c>
    </row>
    <row r="1978" spans="1:16" ht="14.4" x14ac:dyDescent="0.3">
      <c r="A1978">
        <v>288680</v>
      </c>
      <c r="B1978" t="str">
        <f t="shared" si="60"/>
        <v>SEVROLL Linea drążek meblowy okrągły 4 m, srebrny</v>
      </c>
      <c r="C1978" s="185" t="e">
        <f t="shared" si="61"/>
        <v>#N/A</v>
      </c>
      <c r="D1978" s="407" t="s">
        <v>1549</v>
      </c>
      <c r="E1978" s="407" t="s">
        <v>1977</v>
      </c>
      <c r="F1978" s="407" t="s">
        <v>2187</v>
      </c>
      <c r="G1978" s="407" t="s">
        <v>2486</v>
      </c>
      <c r="H1978" s="460" t="e">
        <v>#N/A</v>
      </c>
      <c r="I1978" s="460" t="e">
        <v>#N/A</v>
      </c>
      <c r="J1978" s="460" t="e">
        <v>#N/A</v>
      </c>
      <c r="K1978" s="460" t="e">
        <v>#N/A</v>
      </c>
      <c r="L1978" s="459" t="e">
        <v>#N/A</v>
      </c>
      <c r="O1978">
        <v>0</v>
      </c>
      <c r="P1978" t="s">
        <v>10168</v>
      </c>
    </row>
    <row r="1979" spans="1:16" ht="14.4" x14ac:dyDescent="0.3">
      <c r="A1979">
        <v>288681</v>
      </c>
      <c r="B1979" t="str">
        <f t="shared" si="60"/>
        <v>SEVROLL Linea Profil wnętrza 3 m, srebrny</v>
      </c>
      <c r="C1979" s="185">
        <f t="shared" si="61"/>
        <v>117.40448000000001</v>
      </c>
      <c r="D1979" s="407" t="s">
        <v>1550</v>
      </c>
      <c r="E1979" s="407" t="s">
        <v>1978</v>
      </c>
      <c r="F1979" s="407" t="s">
        <v>2188</v>
      </c>
      <c r="G1979" s="407" t="s">
        <v>6055</v>
      </c>
      <c r="H1979" s="460">
        <v>949.55733999999995</v>
      </c>
      <c r="I1979" s="460">
        <v>34.141649999999998</v>
      </c>
      <c r="J1979" s="460">
        <v>117.40448000000001</v>
      </c>
      <c r="K1979" s="460">
        <v>13140.63315</v>
      </c>
      <c r="L1979" s="459" t="s">
        <v>539</v>
      </c>
      <c r="O1979">
        <v>30.382000000000001</v>
      </c>
      <c r="P1979" t="s">
        <v>10169</v>
      </c>
    </row>
    <row r="1980" spans="1:16" ht="14.4" x14ac:dyDescent="0.3">
      <c r="A1980">
        <v>288682</v>
      </c>
      <c r="B1980" t="str">
        <f t="shared" si="60"/>
        <v>SEVROLL Linea wspornik drążka</v>
      </c>
      <c r="C1980" s="185">
        <f t="shared" si="61"/>
        <v>5.1901400000000004</v>
      </c>
      <c r="D1980" s="407" t="s">
        <v>1551</v>
      </c>
      <c r="E1980" s="407" t="s">
        <v>1979</v>
      </c>
      <c r="F1980" s="407" t="s">
        <v>2189</v>
      </c>
      <c r="G1980" s="407" t="s">
        <v>2487</v>
      </c>
      <c r="H1980" s="460">
        <v>41.97739</v>
      </c>
      <c r="I1980" s="460">
        <v>1.5093099999999999</v>
      </c>
      <c r="J1980" s="460">
        <v>5.1901400000000004</v>
      </c>
      <c r="K1980" s="460">
        <v>580.91206</v>
      </c>
      <c r="L1980" s="459" t="s">
        <v>539</v>
      </c>
      <c r="O1980">
        <v>1.3420000000000001</v>
      </c>
      <c r="P1980" t="s">
        <v>10170</v>
      </c>
    </row>
    <row r="1981" spans="1:16" ht="14.4" x14ac:dyDescent="0.3">
      <c r="A1981">
        <v>288683</v>
      </c>
      <c r="B1981" t="str">
        <f t="shared" si="60"/>
        <v>SEVROLL Linea wspornik półki</v>
      </c>
      <c r="C1981" s="185">
        <f t="shared" si="61"/>
        <v>9.5749200000000005</v>
      </c>
      <c r="D1981" s="407" t="s">
        <v>1552</v>
      </c>
      <c r="E1981" s="407" t="s">
        <v>1980</v>
      </c>
      <c r="F1981" s="407" t="s">
        <v>2190</v>
      </c>
      <c r="G1981" s="407" t="s">
        <v>2488</v>
      </c>
      <c r="H1981" s="460">
        <v>77.441040000000001</v>
      </c>
      <c r="I1981" s="460">
        <v>2.7844199999999999</v>
      </c>
      <c r="J1981" s="460">
        <v>9.5749200000000005</v>
      </c>
      <c r="K1981" s="460">
        <v>1071.68281</v>
      </c>
      <c r="L1981" s="459" t="s">
        <v>539</v>
      </c>
      <c r="O1981">
        <v>2.4860000000000002</v>
      </c>
      <c r="P1981" t="s">
        <v>10171</v>
      </c>
    </row>
    <row r="1982" spans="1:16" ht="14.4" x14ac:dyDescent="0.3">
      <c r="A1982">
        <v>288684</v>
      </c>
      <c r="B1982" t="str">
        <f t="shared" si="60"/>
        <v>SEVROLL Linea wspornik półki na buty</v>
      </c>
      <c r="C1982" s="185">
        <f t="shared" si="61"/>
        <v>11.81203</v>
      </c>
      <c r="D1982" s="407" t="s">
        <v>1553</v>
      </c>
      <c r="E1982" s="407" t="s">
        <v>1981</v>
      </c>
      <c r="F1982" s="407" t="s">
        <v>2191</v>
      </c>
      <c r="G1982" s="407" t="s">
        <v>2489</v>
      </c>
      <c r="H1982" s="460">
        <v>95.534729999999996</v>
      </c>
      <c r="I1982" s="460">
        <v>3.4349799999999999</v>
      </c>
      <c r="J1982" s="460">
        <v>11.81203</v>
      </c>
      <c r="K1982" s="460">
        <v>1322.0759599999999</v>
      </c>
      <c r="L1982" s="459" t="s">
        <v>539</v>
      </c>
      <c r="O1982">
        <v>3.0579999999999998</v>
      </c>
      <c r="P1982" t="s">
        <v>10172</v>
      </c>
    </row>
    <row r="1983" spans="1:16" ht="14.4" x14ac:dyDescent="0.3">
      <c r="A1983">
        <v>288685</v>
      </c>
      <c r="B1983" t="str">
        <f t="shared" si="60"/>
        <v>SEVROLL Linea záslepka okrągłego drążka meblowego</v>
      </c>
      <c r="C1983" s="185">
        <f t="shared" si="61"/>
        <v>1.1832</v>
      </c>
      <c r="D1983" s="407" t="s">
        <v>1554</v>
      </c>
      <c r="E1983" s="407" t="s">
        <v>1982</v>
      </c>
      <c r="F1983" s="407" t="s">
        <v>2192</v>
      </c>
      <c r="G1983" s="407" t="s">
        <v>2490</v>
      </c>
      <c r="H1983" s="460">
        <v>9.9840699999999991</v>
      </c>
      <c r="I1983" s="460">
        <v>0.33828999999999998</v>
      </c>
      <c r="J1983" s="460">
        <v>1.1832</v>
      </c>
      <c r="K1983" s="460">
        <v>133.26801</v>
      </c>
      <c r="L1983" s="459" t="s">
        <v>539</v>
      </c>
      <c r="O1983">
        <v>0.308</v>
      </c>
      <c r="P1983" t="s">
        <v>10173</v>
      </c>
    </row>
    <row r="1984" spans="1:16" ht="14.4" x14ac:dyDescent="0.3">
      <c r="A1984">
        <v>288686</v>
      </c>
      <c r="B1984" t="str">
        <f t="shared" si="60"/>
        <v>SEVROLL Linea Zaślepka do profilu wewnętrznego</v>
      </c>
      <c r="C1984" s="185">
        <f t="shared" si="61"/>
        <v>4.6104000000000003</v>
      </c>
      <c r="D1984" s="407" t="s">
        <v>1555</v>
      </c>
      <c r="E1984" s="407" t="s">
        <v>1983</v>
      </c>
      <c r="F1984" s="407" t="s">
        <v>2193</v>
      </c>
      <c r="G1984" s="407" t="s">
        <v>6056</v>
      </c>
      <c r="H1984" s="460">
        <v>39.936300000000003</v>
      </c>
      <c r="I1984" s="460">
        <v>1.35318</v>
      </c>
      <c r="J1984" s="460">
        <v>4.6104000000000003</v>
      </c>
      <c r="K1984" s="460">
        <v>533.07240000000002</v>
      </c>
      <c r="L1984" s="459" t="s">
        <v>539</v>
      </c>
      <c r="O1984">
        <v>1.21</v>
      </c>
      <c r="P1984" t="s">
        <v>10174</v>
      </c>
    </row>
    <row r="1985" spans="1:16" ht="14.4" x14ac:dyDescent="0.3">
      <c r="A1985">
        <v>288687</v>
      </c>
      <c r="B1985" t="str">
        <f t="shared" si="60"/>
        <v>SEVROLL Linea sada 8 szt kątowników mocujących</v>
      </c>
      <c r="C1985" s="185">
        <f t="shared" si="61"/>
        <v>69.261480000000006</v>
      </c>
      <c r="D1985" s="407" t="s">
        <v>1556</v>
      </c>
      <c r="E1985" s="407" t="s">
        <v>1984</v>
      </c>
      <c r="F1985" s="407" t="s">
        <v>2194</v>
      </c>
      <c r="G1985" s="407" t="s">
        <v>6057</v>
      </c>
      <c r="H1985" s="460">
        <v>560.18092999999999</v>
      </c>
      <c r="I1985" s="460">
        <v>20.141490000000001</v>
      </c>
      <c r="J1985" s="460">
        <v>69.261480000000006</v>
      </c>
      <c r="K1985" s="460">
        <v>7752.1724100000001</v>
      </c>
      <c r="L1985" s="459" t="s">
        <v>539</v>
      </c>
      <c r="O1985">
        <v>17.027999999999999</v>
      </c>
      <c r="P1985" t="s">
        <v>10175</v>
      </c>
    </row>
    <row r="1986" spans="1:16" ht="14.4" x14ac:dyDescent="0.3">
      <c r="A1986">
        <v>288725</v>
      </c>
      <c r="B1986" t="e">
        <f t="shared" si="60"/>
        <v>#N/A</v>
      </c>
      <c r="C1986" s="185" t="e">
        <f t="shared" si="61"/>
        <v>#N/A</v>
      </c>
      <c r="D1986" s="407" t="e">
        <v>#N/A</v>
      </c>
      <c r="E1986" s="407" t="e">
        <v>#N/A</v>
      </c>
      <c r="F1986" s="407" t="e">
        <v>#N/A</v>
      </c>
      <c r="G1986" s="407" t="e">
        <v>#N/A</v>
      </c>
      <c r="H1986" s="460" t="e">
        <v>#N/A</v>
      </c>
      <c r="I1986" s="460" t="e">
        <v>#N/A</v>
      </c>
      <c r="J1986" s="460" t="e">
        <v>#N/A</v>
      </c>
      <c r="K1986" s="460" t="e">
        <v>#N/A</v>
      </c>
      <c r="L1986" s="459" t="e">
        <v>#N/A</v>
      </c>
      <c r="O1986" t="e">
        <v>#N/A</v>
      </c>
      <c r="P1986" t="e">
        <v>#N/A</v>
      </c>
    </row>
    <row r="1987" spans="1:16" ht="14.4" x14ac:dyDescent="0.3">
      <c r="A1987">
        <v>288728</v>
      </c>
      <c r="B1987" t="e">
        <f t="shared" si="60"/>
        <v>#N/A</v>
      </c>
      <c r="C1987" s="185" t="e">
        <f t="shared" si="61"/>
        <v>#N/A</v>
      </c>
      <c r="D1987" s="407" t="e">
        <v>#N/A</v>
      </c>
      <c r="E1987" s="407" t="e">
        <v>#N/A</v>
      </c>
      <c r="F1987" s="407" t="e">
        <v>#N/A</v>
      </c>
      <c r="G1987" s="407" t="e">
        <v>#N/A</v>
      </c>
      <c r="H1987" s="460" t="e">
        <v>#N/A</v>
      </c>
      <c r="I1987" s="460" t="e">
        <v>#N/A</v>
      </c>
      <c r="J1987" s="460" t="e">
        <v>#N/A</v>
      </c>
      <c r="K1987" s="460" t="e">
        <v>#N/A</v>
      </c>
      <c r="L1987" s="459" t="e">
        <v>#N/A</v>
      </c>
      <c r="O1987" t="e">
        <v>#N/A</v>
      </c>
      <c r="P1987" t="e">
        <v>#N/A</v>
      </c>
    </row>
    <row r="1988" spans="1:16" ht="14.4" x14ac:dyDescent="0.3">
      <c r="A1988">
        <v>288729</v>
      </c>
      <c r="B1988" t="e">
        <f t="shared" ref="B1988:B2051" si="62">IF($A$2=1,D1988,IF($A$2=2,F1988,IF($A$2=3,G1988,IF($A$2=4,E1988,IF($A$2&gt;4,P1988,"zadat jazyk")))))</f>
        <v>#N/A</v>
      </c>
      <c r="C1988" s="185" t="e">
        <f t="shared" ref="C1988:C2051" si="63">IF($A$2=1,H1988,IF($A$2=2,I1988,IF($A$2=3,J1988,IF($A$2=4,K1988,IF($A$2&gt;4,O1988,"zadat jazyk")))))</f>
        <v>#N/A</v>
      </c>
      <c r="D1988" s="407" t="e">
        <v>#N/A</v>
      </c>
      <c r="E1988" s="407" t="e">
        <v>#N/A</v>
      </c>
      <c r="F1988" s="407" t="e">
        <v>#N/A</v>
      </c>
      <c r="G1988" s="407" t="e">
        <v>#N/A</v>
      </c>
      <c r="H1988" s="460" t="e">
        <v>#N/A</v>
      </c>
      <c r="I1988" s="460" t="e">
        <v>#N/A</v>
      </c>
      <c r="J1988" s="460" t="e">
        <v>#N/A</v>
      </c>
      <c r="K1988" s="460" t="e">
        <v>#N/A</v>
      </c>
      <c r="L1988" s="459" t="e">
        <v>#N/A</v>
      </c>
      <c r="O1988" t="e">
        <v>#N/A</v>
      </c>
      <c r="P1988" t="e">
        <v>#N/A</v>
      </c>
    </row>
    <row r="1989" spans="1:16" ht="14.4" x14ac:dyDescent="0.3">
      <c r="A1989">
        <v>389653</v>
      </c>
      <c r="B1989" t="e">
        <f t="shared" si="62"/>
        <v>#N/A</v>
      </c>
      <c r="C1989" s="185" t="e">
        <f t="shared" si="63"/>
        <v>#N/A</v>
      </c>
      <c r="D1989" s="407" t="e">
        <v>#N/A</v>
      </c>
      <c r="E1989" s="407" t="e">
        <v>#N/A</v>
      </c>
      <c r="F1989" s="407" t="e">
        <v>#N/A</v>
      </c>
      <c r="G1989" s="407" t="e">
        <v>#N/A</v>
      </c>
      <c r="H1989" s="460" t="e">
        <v>#N/A</v>
      </c>
      <c r="I1989" s="460" t="e">
        <v>#N/A</v>
      </c>
      <c r="J1989" s="460" t="e">
        <v>#N/A</v>
      </c>
      <c r="K1989" s="460" t="e">
        <v>#N/A</v>
      </c>
      <c r="L1989" s="459" t="e">
        <v>#N/A</v>
      </c>
      <c r="O1989" t="e">
        <v>#N/A</v>
      </c>
      <c r="P1989" t="e">
        <v>#N/A</v>
      </c>
    </row>
    <row r="1990" spans="1:16" ht="14.4" x14ac:dyDescent="0.3">
      <c r="A1990">
        <v>389654</v>
      </c>
      <c r="B1990" t="e">
        <f t="shared" si="62"/>
        <v>#N/A</v>
      </c>
      <c r="C1990" s="185" t="e">
        <f t="shared" si="63"/>
        <v>#N/A</v>
      </c>
      <c r="D1990" s="407" t="e">
        <v>#N/A</v>
      </c>
      <c r="E1990" s="407" t="e">
        <v>#N/A</v>
      </c>
      <c r="F1990" s="407" t="e">
        <v>#N/A</v>
      </c>
      <c r="G1990" s="407" t="e">
        <v>#N/A</v>
      </c>
      <c r="H1990" s="460" t="e">
        <v>#N/A</v>
      </c>
      <c r="I1990" s="460" t="e">
        <v>#N/A</v>
      </c>
      <c r="J1990" s="460" t="e">
        <v>#N/A</v>
      </c>
      <c r="K1990" s="460" t="e">
        <v>#N/A</v>
      </c>
      <c r="L1990" s="459" t="e">
        <v>#N/A</v>
      </c>
      <c r="O1990" t="e">
        <v>#N/A</v>
      </c>
      <c r="P1990" t="e">
        <v>#N/A</v>
      </c>
    </row>
    <row r="1991" spans="1:16" ht="14.4" x14ac:dyDescent="0.3">
      <c r="A1991">
        <v>389655</v>
      </c>
      <c r="B1991" t="e">
        <f t="shared" si="62"/>
        <v>#N/A</v>
      </c>
      <c r="C1991" s="185" t="e">
        <f t="shared" si="63"/>
        <v>#N/A</v>
      </c>
      <c r="D1991" s="407" t="e">
        <v>#N/A</v>
      </c>
      <c r="E1991" s="407" t="e">
        <v>#N/A</v>
      </c>
      <c r="F1991" s="407" t="e">
        <v>#N/A</v>
      </c>
      <c r="G1991" s="407" t="e">
        <v>#N/A</v>
      </c>
      <c r="H1991" s="460" t="e">
        <v>#N/A</v>
      </c>
      <c r="I1991" s="460" t="e">
        <v>#N/A</v>
      </c>
      <c r="J1991" s="460" t="e">
        <v>#N/A</v>
      </c>
      <c r="K1991" s="460" t="e">
        <v>#N/A</v>
      </c>
      <c r="L1991" s="459" t="e">
        <v>#N/A</v>
      </c>
      <c r="O1991" t="e">
        <v>#N/A</v>
      </c>
      <c r="P1991" t="e">
        <v>#N/A</v>
      </c>
    </row>
    <row r="1992" spans="1:16" ht="14.4" x14ac:dyDescent="0.3">
      <c r="A1992">
        <v>390262</v>
      </c>
      <c r="B1992" t="str">
        <f t="shared" si="62"/>
        <v/>
      </c>
      <c r="C1992" s="185" t="e">
        <f t="shared" si="63"/>
        <v>#N/A</v>
      </c>
      <c r="D1992" s="407" t="s">
        <v>8329</v>
      </c>
      <c r="E1992" s="407" t="s">
        <v>8330</v>
      </c>
      <c r="F1992" s="407" t="s">
        <v>8331</v>
      </c>
      <c r="G1992" s="407" t="s">
        <v>68</v>
      </c>
      <c r="H1992" s="460" t="e">
        <v>#N/A</v>
      </c>
      <c r="I1992" s="460" t="e">
        <v>#N/A</v>
      </c>
      <c r="J1992" s="460" t="e">
        <v>#N/A</v>
      </c>
      <c r="K1992" s="460" t="e">
        <v>#N/A</v>
      </c>
      <c r="L1992" s="459" t="e">
        <v>#N/A</v>
      </c>
      <c r="O1992">
        <v>0</v>
      </c>
      <c r="P1992" t="s">
        <v>10176</v>
      </c>
    </row>
    <row r="1993" spans="1:16" ht="14.4" x14ac:dyDescent="0.3">
      <c r="A1993">
        <v>390266</v>
      </c>
      <c r="B1993" t="str">
        <f t="shared" si="62"/>
        <v/>
      </c>
      <c r="C1993" s="185" t="e">
        <f t="shared" si="63"/>
        <v>#N/A</v>
      </c>
      <c r="D1993" s="407" t="s">
        <v>8332</v>
      </c>
      <c r="E1993" s="407" t="s">
        <v>8333</v>
      </c>
      <c r="F1993" s="407" t="s">
        <v>8334</v>
      </c>
      <c r="G1993" s="407" t="s">
        <v>68</v>
      </c>
      <c r="H1993" s="460" t="e">
        <v>#N/A</v>
      </c>
      <c r="I1993" s="460" t="e">
        <v>#N/A</v>
      </c>
      <c r="J1993" s="460" t="e">
        <v>#N/A</v>
      </c>
      <c r="K1993" s="460" t="e">
        <v>#N/A</v>
      </c>
      <c r="L1993" s="459" t="e">
        <v>#N/A</v>
      </c>
      <c r="O1993">
        <v>0</v>
      </c>
      <c r="P1993" t="s">
        <v>10177</v>
      </c>
    </row>
    <row r="1994" spans="1:16" ht="14.4" x14ac:dyDescent="0.3">
      <c r="A1994">
        <v>390442</v>
      </c>
      <c r="B1994" t="e">
        <f t="shared" si="62"/>
        <v>#N/A</v>
      </c>
      <c r="C1994" s="185" t="e">
        <f t="shared" si="63"/>
        <v>#N/A</v>
      </c>
      <c r="D1994" s="407" t="e">
        <v>#N/A</v>
      </c>
      <c r="E1994" s="407" t="e">
        <v>#N/A</v>
      </c>
      <c r="F1994" s="407" t="e">
        <v>#N/A</v>
      </c>
      <c r="G1994" s="407" t="e">
        <v>#N/A</v>
      </c>
      <c r="H1994" s="460" t="e">
        <v>#N/A</v>
      </c>
      <c r="I1994" s="460" t="e">
        <v>#N/A</v>
      </c>
      <c r="J1994" s="460" t="e">
        <v>#N/A</v>
      </c>
      <c r="K1994" s="460" t="e">
        <v>#N/A</v>
      </c>
      <c r="L1994" s="459" t="e">
        <v>#N/A</v>
      </c>
      <c r="O1994" t="e">
        <v>#N/A</v>
      </c>
      <c r="P1994" t="e">
        <v>#N/A</v>
      </c>
    </row>
    <row r="1995" spans="1:16" ht="14.4" x14ac:dyDescent="0.3">
      <c r="A1995">
        <v>461424</v>
      </c>
      <c r="B1995" t="e">
        <f t="shared" si="62"/>
        <v>#N/A</v>
      </c>
      <c r="C1995" s="185" t="e">
        <f t="shared" si="63"/>
        <v>#N/A</v>
      </c>
      <c r="D1995" s="407" t="e">
        <v>#N/A</v>
      </c>
      <c r="E1995" s="407" t="e">
        <v>#N/A</v>
      </c>
      <c r="F1995" s="407" t="e">
        <v>#N/A</v>
      </c>
      <c r="G1995" s="407" t="e">
        <v>#N/A</v>
      </c>
      <c r="H1995" s="460" t="e">
        <v>#N/A</v>
      </c>
      <c r="I1995" s="460" t="e">
        <v>#N/A</v>
      </c>
      <c r="J1995" s="460" t="e">
        <v>#N/A</v>
      </c>
      <c r="K1995" s="460" t="e">
        <v>#N/A</v>
      </c>
      <c r="L1995" s="459" t="e">
        <v>#N/A</v>
      </c>
      <c r="O1995" t="e">
        <v>#N/A</v>
      </c>
      <c r="P1995" t="e">
        <v>#N/A</v>
      </c>
    </row>
    <row r="1996" spans="1:16" ht="14.4" x14ac:dyDescent="0.3">
      <c r="A1996">
        <v>461425</v>
      </c>
      <c r="B1996" t="str">
        <f t="shared" si="62"/>
        <v>WC Górny zacisk montażowy T 18 mm (bez śruby)</v>
      </c>
      <c r="C1996" s="185">
        <f t="shared" si="63"/>
        <v>87.029309999999995</v>
      </c>
      <c r="D1996" s="407" t="s">
        <v>8335</v>
      </c>
      <c r="E1996" s="407" t="s">
        <v>68</v>
      </c>
      <c r="F1996" s="407" t="s">
        <v>68</v>
      </c>
      <c r="G1996" s="407" t="s">
        <v>8336</v>
      </c>
      <c r="H1996" s="460">
        <v>616.10609999999997</v>
      </c>
      <c r="I1996" s="460">
        <v>23.634450000000001</v>
      </c>
      <c r="J1996" s="460">
        <v>87.029309999999995</v>
      </c>
      <c r="K1996" s="460" t="e">
        <v>#N/A</v>
      </c>
      <c r="L1996" s="459" t="s">
        <v>538</v>
      </c>
      <c r="O1996">
        <v>18.407330000000002</v>
      </c>
      <c r="P1996" t="s">
        <v>10178</v>
      </c>
    </row>
    <row r="1997" spans="1:16" ht="14.4" x14ac:dyDescent="0.3">
      <c r="A1997">
        <v>461426</v>
      </c>
      <c r="B1997" t="e">
        <f t="shared" si="62"/>
        <v>#N/A</v>
      </c>
      <c r="C1997" s="185" t="e">
        <f t="shared" si="63"/>
        <v>#N/A</v>
      </c>
      <c r="D1997" s="407" t="e">
        <v>#N/A</v>
      </c>
      <c r="E1997" s="407" t="e">
        <v>#N/A</v>
      </c>
      <c r="F1997" s="407" t="e">
        <v>#N/A</v>
      </c>
      <c r="G1997" s="407" t="e">
        <v>#N/A</v>
      </c>
      <c r="H1997" s="460" t="e">
        <v>#N/A</v>
      </c>
      <c r="I1997" s="460" t="e">
        <v>#N/A</v>
      </c>
      <c r="J1997" s="460" t="e">
        <v>#N/A</v>
      </c>
      <c r="K1997" s="460" t="e">
        <v>#N/A</v>
      </c>
      <c r="L1997" s="459" t="e">
        <v>#N/A</v>
      </c>
      <c r="O1997" t="e">
        <v>#N/A</v>
      </c>
      <c r="P1997" t="e">
        <v>#N/A</v>
      </c>
    </row>
    <row r="1998" spans="1:16" ht="14.4" x14ac:dyDescent="0.3">
      <c r="A1998">
        <v>461427</v>
      </c>
      <c r="B1998" t="str">
        <f t="shared" si="62"/>
        <v>WC Zawias lewy (śrubki) H70 18 mm</v>
      </c>
      <c r="C1998" s="185" t="e">
        <f t="shared" si="63"/>
        <v>#N/A</v>
      </c>
      <c r="D1998" s="407" t="s">
        <v>8337</v>
      </c>
      <c r="E1998" s="407" t="s">
        <v>8338</v>
      </c>
      <c r="F1998" s="407" t="s">
        <v>8339</v>
      </c>
      <c r="G1998" s="407" t="s">
        <v>8340</v>
      </c>
      <c r="H1998" s="460" t="e">
        <v>#N/A</v>
      </c>
      <c r="I1998" s="460" t="e">
        <v>#N/A</v>
      </c>
      <c r="J1998" s="460" t="e">
        <v>#N/A</v>
      </c>
      <c r="K1998" s="460" t="e">
        <v>#N/A</v>
      </c>
      <c r="L1998" s="459" t="e">
        <v>#N/A</v>
      </c>
      <c r="O1998">
        <v>21.34</v>
      </c>
      <c r="P1998" t="s">
        <v>10179</v>
      </c>
    </row>
    <row r="1999" spans="1:16" ht="14.4" x14ac:dyDescent="0.3">
      <c r="A1999">
        <v>461687</v>
      </c>
      <c r="B1999" t="str">
        <f t="shared" si="62"/>
        <v>SEVROLL Harmony zestaw okuć dla 2 drzwi</v>
      </c>
      <c r="C1999" s="185" t="e">
        <f t="shared" si="63"/>
        <v>#N/A</v>
      </c>
      <c r="D1999" s="407" t="s">
        <v>1557</v>
      </c>
      <c r="E1999" s="407" t="s">
        <v>1812</v>
      </c>
      <c r="F1999" s="407" t="s">
        <v>2160</v>
      </c>
      <c r="G1999" s="407" t="s">
        <v>2377</v>
      </c>
      <c r="H1999" s="460" t="e">
        <v>#N/A</v>
      </c>
      <c r="I1999" s="460" t="e">
        <v>#N/A</v>
      </c>
      <c r="J1999" s="460" t="e">
        <v>#N/A</v>
      </c>
      <c r="K1999" s="460" t="e">
        <v>#N/A</v>
      </c>
      <c r="L1999" s="459" t="e">
        <v>#N/A</v>
      </c>
      <c r="O1999">
        <v>987.05200000000002</v>
      </c>
      <c r="P1999" t="s">
        <v>10180</v>
      </c>
    </row>
    <row r="2000" spans="1:16" ht="14.4" x14ac:dyDescent="0.3">
      <c r="A2000">
        <v>461712</v>
      </c>
      <c r="B2000" t="str">
        <f t="shared" si="62"/>
        <v>SEVROLL Hide N tor dolny 3 m jasny braz new</v>
      </c>
      <c r="C2000" s="185" t="e">
        <f t="shared" si="63"/>
        <v>#N/A</v>
      </c>
      <c r="D2000" s="407" t="s">
        <v>1558</v>
      </c>
      <c r="E2000" s="407" t="s">
        <v>1985</v>
      </c>
      <c r="F2000" s="407" t="s">
        <v>2195</v>
      </c>
      <c r="G2000" s="407" t="s">
        <v>2491</v>
      </c>
      <c r="H2000" s="460" t="e">
        <v>#N/A</v>
      </c>
      <c r="I2000" s="460" t="e">
        <v>#N/A</v>
      </c>
      <c r="J2000" s="460" t="e">
        <v>#N/A</v>
      </c>
      <c r="K2000" s="460" t="e">
        <v>#N/A</v>
      </c>
      <c r="L2000" s="459" t="e">
        <v>#N/A</v>
      </c>
      <c r="O2000" t="e">
        <v>#N/A</v>
      </c>
      <c r="P2000" t="e">
        <v>#N/A</v>
      </c>
    </row>
    <row r="2001" spans="1:16" ht="14.4" x14ac:dyDescent="0.3">
      <c r="A2001">
        <v>461882</v>
      </c>
      <c r="B2001" t="str">
        <f t="shared" si="62"/>
        <v>SEVROLL Exclusive tor górny 1,2m jasny brąz new</v>
      </c>
      <c r="C2001" s="185" t="e">
        <f t="shared" si="63"/>
        <v>#N/A</v>
      </c>
      <c r="D2001" s="407" t="s">
        <v>1559</v>
      </c>
      <c r="E2001" s="407" t="s">
        <v>1986</v>
      </c>
      <c r="F2001" s="407" t="s">
        <v>2196</v>
      </c>
      <c r="G2001" s="407" t="s">
        <v>2492</v>
      </c>
      <c r="H2001" s="460" t="e">
        <v>#N/A</v>
      </c>
      <c r="I2001" s="460" t="e">
        <v>#N/A</v>
      </c>
      <c r="J2001" s="460" t="e">
        <v>#N/A</v>
      </c>
      <c r="K2001" s="460" t="e">
        <v>#N/A</v>
      </c>
      <c r="L2001" s="459" t="e">
        <v>#N/A</v>
      </c>
      <c r="O2001" t="e">
        <v>#N/A</v>
      </c>
      <c r="P2001" t="e">
        <v>#N/A</v>
      </c>
    </row>
    <row r="2002" spans="1:16" ht="14.4" x14ac:dyDescent="0.3">
      <c r="A2002">
        <v>461890</v>
      </c>
      <c r="B2002" t="str">
        <f t="shared" si="62"/>
        <v>SEVROLL Hide M tor dolny 3 m jasny brąz new</v>
      </c>
      <c r="C2002" s="185" t="e">
        <f t="shared" si="63"/>
        <v>#N/A</v>
      </c>
      <c r="D2002" s="407" t="s">
        <v>1560</v>
      </c>
      <c r="E2002" s="407" t="s">
        <v>1987</v>
      </c>
      <c r="F2002" s="407" t="s">
        <v>2197</v>
      </c>
      <c r="G2002" s="407" t="s">
        <v>2493</v>
      </c>
      <c r="H2002" s="460" t="e">
        <v>#N/A</v>
      </c>
      <c r="I2002" s="460" t="e">
        <v>#N/A</v>
      </c>
      <c r="J2002" s="460" t="e">
        <v>#N/A</v>
      </c>
      <c r="K2002" s="460" t="e">
        <v>#N/A</v>
      </c>
      <c r="L2002" s="459" t="e">
        <v>#N/A</v>
      </c>
      <c r="O2002" t="e">
        <v>#N/A</v>
      </c>
      <c r="P2002" t="e">
        <v>#N/A</v>
      </c>
    </row>
    <row r="2003" spans="1:16" ht="14.4" x14ac:dyDescent="0.3">
      <c r="A2003">
        <v>461891</v>
      </c>
      <c r="B2003" t="str">
        <f t="shared" si="62"/>
        <v>SEVROLL Exclusive tor górny 1,8m jasny brąz new</v>
      </c>
      <c r="C2003" s="185" t="e">
        <f t="shared" si="63"/>
        <v>#N/A</v>
      </c>
      <c r="D2003" s="407" t="s">
        <v>1561</v>
      </c>
      <c r="E2003" s="407" t="s">
        <v>1988</v>
      </c>
      <c r="F2003" s="407" t="s">
        <v>2198</v>
      </c>
      <c r="G2003" s="407" t="s">
        <v>2494</v>
      </c>
      <c r="H2003" s="460" t="e">
        <v>#N/A</v>
      </c>
      <c r="I2003" s="460" t="e">
        <v>#N/A</v>
      </c>
      <c r="J2003" s="460" t="e">
        <v>#N/A</v>
      </c>
      <c r="K2003" s="460" t="e">
        <v>#N/A</v>
      </c>
      <c r="L2003" s="459" t="e">
        <v>#N/A</v>
      </c>
      <c r="O2003" t="e">
        <v>#N/A</v>
      </c>
      <c r="P2003" t="e">
        <v>#N/A</v>
      </c>
    </row>
    <row r="2004" spans="1:16" ht="14.4" x14ac:dyDescent="0.3">
      <c r="A2004">
        <v>461892</v>
      </c>
      <c r="B2004" t="str">
        <f t="shared" si="62"/>
        <v>SEVROLL 04534-A Universal 18 rączka 2,7 m, jasny brąz new</v>
      </c>
      <c r="C2004" s="185" t="e">
        <f t="shared" si="63"/>
        <v>#N/A</v>
      </c>
      <c r="D2004" s="407" t="s">
        <v>1562</v>
      </c>
      <c r="E2004" s="407" t="s">
        <v>1989</v>
      </c>
      <c r="F2004" s="407" t="s">
        <v>1562</v>
      </c>
      <c r="G2004" s="407" t="s">
        <v>6058</v>
      </c>
      <c r="H2004" s="460" t="e">
        <v>#N/A</v>
      </c>
      <c r="I2004" s="460" t="e">
        <v>#N/A</v>
      </c>
      <c r="J2004" s="460" t="e">
        <v>#N/A</v>
      </c>
      <c r="K2004" s="460" t="e">
        <v>#N/A</v>
      </c>
      <c r="L2004" s="459" t="e">
        <v>#N/A</v>
      </c>
      <c r="O2004" t="e">
        <v>#N/A</v>
      </c>
      <c r="P2004" t="e">
        <v>#N/A</v>
      </c>
    </row>
    <row r="2005" spans="1:16" ht="14.4" x14ac:dyDescent="0.3">
      <c r="A2005">
        <v>461893</v>
      </c>
      <c r="B2005" t="str">
        <f t="shared" si="62"/>
        <v>SEVROLL First tor górny / dolny 1,2m jasny brąz new</v>
      </c>
      <c r="C2005" s="185" t="e">
        <f t="shared" si="63"/>
        <v>#N/A</v>
      </c>
      <c r="D2005" s="407" t="s">
        <v>1563</v>
      </c>
      <c r="E2005" s="407" t="s">
        <v>1990</v>
      </c>
      <c r="F2005" s="407" t="s">
        <v>6059</v>
      </c>
      <c r="G2005" s="407" t="s">
        <v>2495</v>
      </c>
      <c r="H2005" s="460" t="e">
        <v>#N/A</v>
      </c>
      <c r="I2005" s="460" t="e">
        <v>#N/A</v>
      </c>
      <c r="J2005" s="460" t="e">
        <v>#N/A</v>
      </c>
      <c r="K2005" s="460" t="e">
        <v>#N/A</v>
      </c>
      <c r="L2005" s="459" t="e">
        <v>#N/A</v>
      </c>
      <c r="O2005" t="e">
        <v>#N/A</v>
      </c>
      <c r="P2005" t="e">
        <v>#N/A</v>
      </c>
    </row>
    <row r="2006" spans="1:16" ht="14.4" x14ac:dyDescent="0.3">
      <c r="A2006">
        <v>461894</v>
      </c>
      <c r="B2006" t="str">
        <f t="shared" si="62"/>
        <v>SEVROLL Gemini-2 rączka 2,7m jasny brąz new</v>
      </c>
      <c r="C2006" s="185" t="e">
        <f t="shared" si="63"/>
        <v>#N/A</v>
      </c>
      <c r="D2006" s="407" t="s">
        <v>1564</v>
      </c>
      <c r="E2006" s="407" t="s">
        <v>1991</v>
      </c>
      <c r="F2006" s="407" t="s">
        <v>2199</v>
      </c>
      <c r="G2006" s="407" t="s">
        <v>2496</v>
      </c>
      <c r="H2006" s="460" t="e">
        <v>#N/A</v>
      </c>
      <c r="I2006" s="460" t="e">
        <v>#N/A</v>
      </c>
      <c r="J2006" s="460" t="e">
        <v>#N/A</v>
      </c>
      <c r="K2006" s="460" t="e">
        <v>#N/A</v>
      </c>
      <c r="L2006" s="459" t="e">
        <v>#N/A</v>
      </c>
      <c r="O2006" t="e">
        <v>#N/A</v>
      </c>
      <c r="P2006" t="e">
        <v>#N/A</v>
      </c>
    </row>
    <row r="2007" spans="1:16" ht="14.4" x14ac:dyDescent="0.3">
      <c r="A2007">
        <v>461895</v>
      </c>
      <c r="B2007" t="str">
        <f t="shared" si="62"/>
        <v>SEVROLL System 10 II rączka 2,7 m, jasny brąz new</v>
      </c>
      <c r="C2007" s="185" t="e">
        <f t="shared" si="63"/>
        <v>#N/A</v>
      </c>
      <c r="D2007" s="407" t="s">
        <v>1565</v>
      </c>
      <c r="E2007" s="407" t="s">
        <v>1992</v>
      </c>
      <c r="F2007" s="407" t="s">
        <v>2200</v>
      </c>
      <c r="G2007" s="407" t="s">
        <v>2497</v>
      </c>
      <c r="H2007" s="460" t="e">
        <v>#N/A</v>
      </c>
      <c r="I2007" s="460" t="e">
        <v>#N/A</v>
      </c>
      <c r="J2007" s="460" t="e">
        <v>#N/A</v>
      </c>
      <c r="K2007" s="460" t="e">
        <v>#N/A</v>
      </c>
      <c r="L2007" s="459" t="e">
        <v>#N/A</v>
      </c>
      <c r="O2007" t="e">
        <v>#N/A</v>
      </c>
      <c r="P2007" t="e">
        <v>#N/A</v>
      </c>
    </row>
    <row r="2008" spans="1:16" ht="14.4" x14ac:dyDescent="0.3">
      <c r="A2008">
        <v>461896</v>
      </c>
      <c r="B2008" t="str">
        <f t="shared" si="62"/>
        <v>SEVROLL Fox II rączka 2,7 m, jasny brąz new</v>
      </c>
      <c r="C2008" s="185" t="e">
        <f t="shared" si="63"/>
        <v>#N/A</v>
      </c>
      <c r="D2008" s="407" t="s">
        <v>1566</v>
      </c>
      <c r="E2008" s="407" t="s">
        <v>1993</v>
      </c>
      <c r="F2008" s="407" t="s">
        <v>1566</v>
      </c>
      <c r="G2008" s="407" t="s">
        <v>2498</v>
      </c>
      <c r="H2008" s="460" t="e">
        <v>#N/A</v>
      </c>
      <c r="I2008" s="460" t="e">
        <v>#N/A</v>
      </c>
      <c r="J2008" s="460" t="e">
        <v>#N/A</v>
      </c>
      <c r="K2008" s="460" t="e">
        <v>#N/A</v>
      </c>
      <c r="L2008" s="459" t="e">
        <v>#N/A</v>
      </c>
      <c r="O2008" t="e">
        <v>#N/A</v>
      </c>
      <c r="P2008" t="e">
        <v>#N/A</v>
      </c>
    </row>
    <row r="2009" spans="1:16" ht="14.4" x14ac:dyDescent="0.3">
      <c r="A2009">
        <v>461897</v>
      </c>
      <c r="B2009" t="str">
        <f t="shared" si="62"/>
        <v>SEVROLL Hide N tor dolny 6 m jasny brąz new</v>
      </c>
      <c r="C2009" s="185" t="e">
        <f t="shared" si="63"/>
        <v>#N/A</v>
      </c>
      <c r="D2009" s="407" t="s">
        <v>1567</v>
      </c>
      <c r="E2009" s="407" t="s">
        <v>1994</v>
      </c>
      <c r="F2009" s="407" t="s">
        <v>2201</v>
      </c>
      <c r="G2009" s="407" t="s">
        <v>2499</v>
      </c>
      <c r="H2009" s="460" t="e">
        <v>#N/A</v>
      </c>
      <c r="I2009" s="460" t="e">
        <v>#N/A</v>
      </c>
      <c r="J2009" s="460" t="e">
        <v>#N/A</v>
      </c>
      <c r="K2009" s="460" t="e">
        <v>#N/A</v>
      </c>
      <c r="L2009" s="459" t="e">
        <v>#N/A</v>
      </c>
      <c r="O2009" t="e">
        <v>#N/A</v>
      </c>
      <c r="P2009" t="e">
        <v>#N/A</v>
      </c>
    </row>
    <row r="2010" spans="1:16" ht="14.4" x14ac:dyDescent="0.3">
      <c r="A2010">
        <v>461898</v>
      </c>
      <c r="B2010" t="str">
        <f t="shared" si="62"/>
        <v>SEVROLL Gemini tor górny 1,7m jasny brąz new</v>
      </c>
      <c r="C2010" s="185" t="e">
        <f t="shared" si="63"/>
        <v>#N/A</v>
      </c>
      <c r="D2010" s="407" t="s">
        <v>1568</v>
      </c>
      <c r="E2010" s="407" t="s">
        <v>1995</v>
      </c>
      <c r="F2010" s="407" t="s">
        <v>6060</v>
      </c>
      <c r="G2010" s="407" t="s">
        <v>2500</v>
      </c>
      <c r="H2010" s="460" t="e">
        <v>#N/A</v>
      </c>
      <c r="I2010" s="460" t="e">
        <v>#N/A</v>
      </c>
      <c r="J2010" s="460" t="e">
        <v>#N/A</v>
      </c>
      <c r="K2010" s="460" t="e">
        <v>#N/A</v>
      </c>
      <c r="L2010" s="459" t="e">
        <v>#N/A</v>
      </c>
      <c r="O2010" t="e">
        <v>#N/A</v>
      </c>
      <c r="P2010" t="e">
        <v>#N/A</v>
      </c>
    </row>
    <row r="2011" spans="1:16" ht="14.4" x14ac:dyDescent="0.3">
      <c r="A2011">
        <v>461899</v>
      </c>
      <c r="B2011" t="str">
        <f t="shared" si="62"/>
        <v>SEVROLL Gemini tor górny 2,35m jasny brąz new</v>
      </c>
      <c r="C2011" s="185" t="e">
        <f t="shared" si="63"/>
        <v>#N/A</v>
      </c>
      <c r="D2011" s="407" t="s">
        <v>1569</v>
      </c>
      <c r="E2011" s="407" t="s">
        <v>1996</v>
      </c>
      <c r="F2011" s="407" t="s">
        <v>6061</v>
      </c>
      <c r="G2011" s="407" t="s">
        <v>2501</v>
      </c>
      <c r="H2011" s="460" t="e">
        <v>#N/A</v>
      </c>
      <c r="I2011" s="460" t="e">
        <v>#N/A</v>
      </c>
      <c r="J2011" s="460" t="e">
        <v>#N/A</v>
      </c>
      <c r="K2011" s="460" t="e">
        <v>#N/A</v>
      </c>
      <c r="L2011" s="459" t="e">
        <v>#N/A</v>
      </c>
      <c r="O2011" t="e">
        <v>#N/A</v>
      </c>
      <c r="P2011" t="e">
        <v>#N/A</v>
      </c>
    </row>
    <row r="2012" spans="1:16" ht="14.4" x14ac:dyDescent="0.3">
      <c r="A2012">
        <v>461900</v>
      </c>
      <c r="B2012" t="str">
        <f t="shared" si="62"/>
        <v>SEVROLL Gemini tor górny 3m jasny brąz new</v>
      </c>
      <c r="C2012" s="185" t="e">
        <f t="shared" si="63"/>
        <v>#N/A</v>
      </c>
      <c r="D2012" s="407" t="s">
        <v>1570</v>
      </c>
      <c r="E2012" s="407" t="s">
        <v>1997</v>
      </c>
      <c r="F2012" s="407" t="s">
        <v>6062</v>
      </c>
      <c r="G2012" s="407" t="s">
        <v>2502</v>
      </c>
      <c r="H2012" s="460" t="e">
        <v>#N/A</v>
      </c>
      <c r="I2012" s="460" t="e">
        <v>#N/A</v>
      </c>
      <c r="J2012" s="460" t="e">
        <v>#N/A</v>
      </c>
      <c r="K2012" s="460" t="e">
        <v>#N/A</v>
      </c>
      <c r="L2012" s="459" t="e">
        <v>#N/A</v>
      </c>
      <c r="O2012" t="e">
        <v>#N/A</v>
      </c>
      <c r="P2012" t="e">
        <v>#N/A</v>
      </c>
    </row>
    <row r="2013" spans="1:16" ht="14.4" x14ac:dyDescent="0.3">
      <c r="A2013">
        <v>461901</v>
      </c>
      <c r="B2013" t="str">
        <f t="shared" si="62"/>
        <v>SEVROLL Gemini tor górny 4,05m jasny brąz new</v>
      </c>
      <c r="C2013" s="185" t="e">
        <f t="shared" si="63"/>
        <v>#N/A</v>
      </c>
      <c r="D2013" s="407" t="s">
        <v>1571</v>
      </c>
      <c r="E2013" s="407" t="s">
        <v>1998</v>
      </c>
      <c r="F2013" s="407" t="s">
        <v>6063</v>
      </c>
      <c r="G2013" s="407" t="s">
        <v>2503</v>
      </c>
      <c r="H2013" s="460" t="e">
        <v>#N/A</v>
      </c>
      <c r="I2013" s="460" t="e">
        <v>#N/A</v>
      </c>
      <c r="J2013" s="460" t="e">
        <v>#N/A</v>
      </c>
      <c r="K2013" s="460" t="e">
        <v>#N/A</v>
      </c>
      <c r="L2013" s="459" t="e">
        <v>#N/A</v>
      </c>
      <c r="O2013" t="e">
        <v>#N/A</v>
      </c>
      <c r="P2013" t="e">
        <v>#N/A</v>
      </c>
    </row>
    <row r="2014" spans="1:16" ht="14.4" x14ac:dyDescent="0.3">
      <c r="A2014">
        <v>461902</v>
      </c>
      <c r="B2014" t="str">
        <f t="shared" si="62"/>
        <v>SEVROLL 00093-A kątownik Mini 17x11mm 1,7m jasny brąz new</v>
      </c>
      <c r="C2014" s="185" t="e">
        <f t="shared" si="63"/>
        <v>#N/A</v>
      </c>
      <c r="D2014" s="407" t="s">
        <v>6064</v>
      </c>
      <c r="E2014" s="407" t="s">
        <v>6065</v>
      </c>
      <c r="F2014" s="407" t="s">
        <v>6066</v>
      </c>
      <c r="G2014" s="407" t="s">
        <v>6067</v>
      </c>
      <c r="H2014" s="460" t="e">
        <v>#N/A</v>
      </c>
      <c r="I2014" s="460" t="e">
        <v>#N/A</v>
      </c>
      <c r="J2014" s="460" t="e">
        <v>#N/A</v>
      </c>
      <c r="K2014" s="460" t="e">
        <v>#N/A</v>
      </c>
      <c r="L2014" s="459" t="e">
        <v>#N/A</v>
      </c>
      <c r="O2014" t="e">
        <v>#N/A</v>
      </c>
      <c r="P2014" t="e">
        <v>#N/A</v>
      </c>
    </row>
    <row r="2015" spans="1:16" ht="14.4" x14ac:dyDescent="0.3">
      <c r="A2015">
        <v>461903</v>
      </c>
      <c r="B2015" t="str">
        <f t="shared" si="62"/>
        <v>SEVROLL 00094-A kątownik Mini 17x11mm 2,35m jasny brąz new</v>
      </c>
      <c r="C2015" s="185" t="e">
        <f t="shared" si="63"/>
        <v>#N/A</v>
      </c>
      <c r="D2015" s="407" t="s">
        <v>6068</v>
      </c>
      <c r="E2015" s="407" t="s">
        <v>6069</v>
      </c>
      <c r="F2015" s="407" t="s">
        <v>6070</v>
      </c>
      <c r="G2015" s="407" t="s">
        <v>6071</v>
      </c>
      <c r="H2015" s="460" t="e">
        <v>#N/A</v>
      </c>
      <c r="I2015" s="460" t="e">
        <v>#N/A</v>
      </c>
      <c r="J2015" s="460" t="e">
        <v>#N/A</v>
      </c>
      <c r="K2015" s="460" t="e">
        <v>#N/A</v>
      </c>
      <c r="L2015" s="459" t="e">
        <v>#N/A</v>
      </c>
      <c r="O2015" t="e">
        <v>#N/A</v>
      </c>
      <c r="P2015" t="e">
        <v>#N/A</v>
      </c>
    </row>
    <row r="2016" spans="1:16" ht="14.4" x14ac:dyDescent="0.3">
      <c r="A2016">
        <v>461904</v>
      </c>
      <c r="B2016" t="str">
        <f t="shared" si="62"/>
        <v>SEVROLL 00703-A listwa łącząca "T" 3m jasny brąz new</v>
      </c>
      <c r="C2016" s="185" t="e">
        <f t="shared" si="63"/>
        <v>#N/A</v>
      </c>
      <c r="D2016" s="407" t="s">
        <v>1572</v>
      </c>
      <c r="E2016" s="407" t="s">
        <v>1999</v>
      </c>
      <c r="F2016" s="407" t="s">
        <v>2202</v>
      </c>
      <c r="G2016" s="407" t="s">
        <v>6072</v>
      </c>
      <c r="H2016" s="460" t="e">
        <v>#N/A</v>
      </c>
      <c r="I2016" s="460" t="e">
        <v>#N/A</v>
      </c>
      <c r="J2016" s="460" t="e">
        <v>#N/A</v>
      </c>
      <c r="K2016" s="460" t="e">
        <v>#N/A</v>
      </c>
      <c r="L2016" s="459" t="e">
        <v>#N/A</v>
      </c>
      <c r="O2016" t="e">
        <v>#N/A</v>
      </c>
      <c r="P2016" t="e">
        <v>#N/A</v>
      </c>
    </row>
    <row r="2017" spans="1:16" ht="14.4" x14ac:dyDescent="0.3">
      <c r="A2017">
        <v>461905</v>
      </c>
      <c r="B2017" t="str">
        <f t="shared" si="62"/>
        <v>SEVROLL 00155-A maskownica  dolna 3m 10mm jasny brąz new</v>
      </c>
      <c r="C2017" s="185" t="e">
        <f t="shared" si="63"/>
        <v>#N/A</v>
      </c>
      <c r="D2017" s="407" t="s">
        <v>1573</v>
      </c>
      <c r="E2017" s="407" t="s">
        <v>2000</v>
      </c>
      <c r="F2017" s="407" t="s">
        <v>2203</v>
      </c>
      <c r="G2017" s="407" t="s">
        <v>6073</v>
      </c>
      <c r="H2017" s="460" t="e">
        <v>#N/A</v>
      </c>
      <c r="I2017" s="460" t="e">
        <v>#N/A</v>
      </c>
      <c r="J2017" s="460" t="e">
        <v>#N/A</v>
      </c>
      <c r="K2017" s="460" t="e">
        <v>#N/A</v>
      </c>
      <c r="L2017" s="459" t="e">
        <v>#N/A</v>
      </c>
      <c r="O2017" t="e">
        <v>#N/A</v>
      </c>
      <c r="P2017" t="e">
        <v>#N/A</v>
      </c>
    </row>
    <row r="2018" spans="1:16" ht="14.4" x14ac:dyDescent="0.3">
      <c r="A2018">
        <v>461906</v>
      </c>
      <c r="B2018" t="str">
        <f t="shared" si="62"/>
        <v>SEVROLL 00153-A maskownica dolna 2,35m 10mm jasny brąz new</v>
      </c>
      <c r="C2018" s="185" t="e">
        <f t="shared" si="63"/>
        <v>#N/A</v>
      </c>
      <c r="D2018" s="407" t="s">
        <v>1574</v>
      </c>
      <c r="E2018" s="407" t="s">
        <v>2001</v>
      </c>
      <c r="F2018" s="407" t="s">
        <v>2204</v>
      </c>
      <c r="G2018" s="407" t="s">
        <v>6074</v>
      </c>
      <c r="H2018" s="460" t="e">
        <v>#N/A</v>
      </c>
      <c r="I2018" s="460" t="e">
        <v>#N/A</v>
      </c>
      <c r="J2018" s="460" t="e">
        <v>#N/A</v>
      </c>
      <c r="K2018" s="460" t="e">
        <v>#N/A</v>
      </c>
      <c r="L2018" s="459" t="e">
        <v>#N/A</v>
      </c>
      <c r="O2018" t="e">
        <v>#N/A</v>
      </c>
      <c r="P2018" t="e">
        <v>#N/A</v>
      </c>
    </row>
    <row r="2019" spans="1:16" ht="14.4" x14ac:dyDescent="0.3">
      <c r="A2019">
        <v>461907</v>
      </c>
      <c r="B2019" t="str">
        <f t="shared" si="62"/>
        <v>SEVROLL 00152 maskownica dolna 1,7m 10mm jasny brąz new</v>
      </c>
      <c r="C2019" s="185" t="e">
        <f t="shared" si="63"/>
        <v>#N/A</v>
      </c>
      <c r="D2019" s="407" t="s">
        <v>1575</v>
      </c>
      <c r="E2019" s="407" t="s">
        <v>2002</v>
      </c>
      <c r="F2019" s="407" t="s">
        <v>2205</v>
      </c>
      <c r="G2019" s="407" t="s">
        <v>6075</v>
      </c>
      <c r="H2019" s="460" t="e">
        <v>#N/A</v>
      </c>
      <c r="I2019" s="460" t="e">
        <v>#N/A</v>
      </c>
      <c r="J2019" s="460" t="e">
        <v>#N/A</v>
      </c>
      <c r="K2019" s="460" t="e">
        <v>#N/A</v>
      </c>
      <c r="L2019" s="459" t="e">
        <v>#N/A</v>
      </c>
      <c r="O2019" t="e">
        <v>#N/A</v>
      </c>
      <c r="P2019" t="e">
        <v>#N/A</v>
      </c>
    </row>
    <row r="2020" spans="1:16" ht="14.4" x14ac:dyDescent="0.3">
      <c r="A2020">
        <v>461908</v>
      </c>
      <c r="B2020" t="str">
        <f t="shared" si="62"/>
        <v>SEVROLL 02908-A tor górny 1,7m jasny brąz new</v>
      </c>
      <c r="C2020" s="185" t="e">
        <f t="shared" si="63"/>
        <v>#N/A</v>
      </c>
      <c r="D2020" s="407" t="s">
        <v>1576</v>
      </c>
      <c r="E2020" s="407" t="s">
        <v>2003</v>
      </c>
      <c r="F2020" s="407" t="s">
        <v>2206</v>
      </c>
      <c r="G2020" s="407" t="s">
        <v>6076</v>
      </c>
      <c r="H2020" s="460" t="e">
        <v>#N/A</v>
      </c>
      <c r="I2020" s="460" t="e">
        <v>#N/A</v>
      </c>
      <c r="J2020" s="460" t="e">
        <v>#N/A</v>
      </c>
      <c r="K2020" s="460" t="e">
        <v>#N/A</v>
      </c>
      <c r="L2020" s="459" t="e">
        <v>#N/A</v>
      </c>
      <c r="O2020" t="e">
        <v>#N/A</v>
      </c>
      <c r="P2020" t="e">
        <v>#N/A</v>
      </c>
    </row>
    <row r="2021" spans="1:16" ht="14.4" x14ac:dyDescent="0.3">
      <c r="A2021">
        <v>461909</v>
      </c>
      <c r="B2021" t="str">
        <f t="shared" si="62"/>
        <v>SEVROLL 02909-A tor górny 2,35m jasny brąz new</v>
      </c>
      <c r="C2021" s="185" t="e">
        <f t="shared" si="63"/>
        <v>#N/A</v>
      </c>
      <c r="D2021" s="407" t="s">
        <v>1577</v>
      </c>
      <c r="E2021" s="407" t="s">
        <v>2004</v>
      </c>
      <c r="F2021" s="407" t="s">
        <v>2207</v>
      </c>
      <c r="G2021" s="407" t="s">
        <v>6077</v>
      </c>
      <c r="H2021" s="460" t="e">
        <v>#N/A</v>
      </c>
      <c r="I2021" s="460" t="e">
        <v>#N/A</v>
      </c>
      <c r="J2021" s="460" t="e">
        <v>#N/A</v>
      </c>
      <c r="K2021" s="460" t="e">
        <v>#N/A</v>
      </c>
      <c r="L2021" s="459" t="e">
        <v>#N/A</v>
      </c>
      <c r="O2021" t="e">
        <v>#N/A</v>
      </c>
      <c r="P2021" t="e">
        <v>#N/A</v>
      </c>
    </row>
    <row r="2022" spans="1:16" ht="14.4" x14ac:dyDescent="0.3">
      <c r="A2022">
        <v>461910</v>
      </c>
      <c r="B2022" t="str">
        <f t="shared" si="62"/>
        <v>SEVROLL 02910-A tor górny 3m jasny brąz new</v>
      </c>
      <c r="C2022" s="185" t="e">
        <f t="shared" si="63"/>
        <v>#N/A</v>
      </c>
      <c r="D2022" s="407" t="s">
        <v>1578</v>
      </c>
      <c r="E2022" s="407" t="s">
        <v>2005</v>
      </c>
      <c r="F2022" s="407" t="s">
        <v>2208</v>
      </c>
      <c r="G2022" s="407" t="s">
        <v>6078</v>
      </c>
      <c r="H2022" s="460" t="e">
        <v>#N/A</v>
      </c>
      <c r="I2022" s="460" t="e">
        <v>#N/A</v>
      </c>
      <c r="J2022" s="460" t="e">
        <v>#N/A</v>
      </c>
      <c r="K2022" s="460" t="e">
        <v>#N/A</v>
      </c>
      <c r="L2022" s="459" t="e">
        <v>#N/A</v>
      </c>
      <c r="O2022" t="e">
        <v>#N/A</v>
      </c>
      <c r="P2022" t="e">
        <v>#N/A</v>
      </c>
    </row>
    <row r="2023" spans="1:16" ht="14.4" x14ac:dyDescent="0.3">
      <c r="A2023">
        <v>461911</v>
      </c>
      <c r="B2023" t="str">
        <f t="shared" si="62"/>
        <v>SEVROLL 00204-A listwa łącząca H10 3m jasny brąz new</v>
      </c>
      <c r="C2023" s="185" t="e">
        <f t="shared" si="63"/>
        <v>#N/A</v>
      </c>
      <c r="D2023" s="407" t="s">
        <v>1579</v>
      </c>
      <c r="E2023" s="407" t="s">
        <v>2006</v>
      </c>
      <c r="F2023" s="407" t="s">
        <v>2209</v>
      </c>
      <c r="G2023" s="407" t="s">
        <v>6079</v>
      </c>
      <c r="H2023" s="460" t="e">
        <v>#N/A</v>
      </c>
      <c r="I2023" s="460" t="e">
        <v>#N/A</v>
      </c>
      <c r="J2023" s="460" t="e">
        <v>#N/A</v>
      </c>
      <c r="K2023" s="460" t="e">
        <v>#N/A</v>
      </c>
      <c r="L2023" s="459" t="e">
        <v>#N/A</v>
      </c>
      <c r="O2023" t="e">
        <v>#N/A</v>
      </c>
      <c r="P2023" t="e">
        <v>#N/A</v>
      </c>
    </row>
    <row r="2024" spans="1:16" ht="14.4" x14ac:dyDescent="0.3">
      <c r="A2024">
        <v>461912</v>
      </c>
      <c r="B2024" t="str">
        <f t="shared" si="62"/>
        <v>SEVROLL Focus 16mm rączka 2,7m jasny brąz new</v>
      </c>
      <c r="C2024" s="185" t="e">
        <f t="shared" si="63"/>
        <v>#N/A</v>
      </c>
      <c r="D2024" s="407" t="s">
        <v>1580</v>
      </c>
      <c r="E2024" s="407" t="s">
        <v>2007</v>
      </c>
      <c r="F2024" s="407" t="s">
        <v>2210</v>
      </c>
      <c r="G2024" s="407" t="s">
        <v>2504</v>
      </c>
      <c r="H2024" s="460" t="e">
        <v>#N/A</v>
      </c>
      <c r="I2024" s="460" t="e">
        <v>#N/A</v>
      </c>
      <c r="J2024" s="460" t="e">
        <v>#N/A</v>
      </c>
      <c r="K2024" s="460" t="e">
        <v>#N/A</v>
      </c>
      <c r="L2024" s="459" t="e">
        <v>#N/A</v>
      </c>
      <c r="O2024" t="e">
        <v>#N/A</v>
      </c>
      <c r="P2024" t="e">
        <v>#N/A</v>
      </c>
    </row>
    <row r="2025" spans="1:16" ht="14.4" x14ac:dyDescent="0.3">
      <c r="A2025">
        <v>461913</v>
      </c>
      <c r="B2025" t="str">
        <f t="shared" si="62"/>
        <v>SEVROLL 00635-A Tytan rączka 18 mm 2,7 m, jasny brąz new</v>
      </c>
      <c r="C2025" s="185" t="e">
        <f t="shared" si="63"/>
        <v>#N/A</v>
      </c>
      <c r="D2025" s="407" t="s">
        <v>1581</v>
      </c>
      <c r="E2025" s="407" t="s">
        <v>2008</v>
      </c>
      <c r="F2025" s="407" t="s">
        <v>2211</v>
      </c>
      <c r="G2025" s="407" t="s">
        <v>6080</v>
      </c>
      <c r="H2025" s="460" t="e">
        <v>#N/A</v>
      </c>
      <c r="I2025" s="460" t="e">
        <v>#N/A</v>
      </c>
      <c r="J2025" s="460" t="e">
        <v>#N/A</v>
      </c>
      <c r="K2025" s="460" t="e">
        <v>#N/A</v>
      </c>
      <c r="L2025" s="459" t="e">
        <v>#N/A</v>
      </c>
      <c r="O2025" t="e">
        <v>#N/A</v>
      </c>
      <c r="P2025" t="e">
        <v>#N/A</v>
      </c>
    </row>
    <row r="2026" spans="1:16" ht="14.4" x14ac:dyDescent="0.3">
      <c r="A2026">
        <v>461914</v>
      </c>
      <c r="B2026" t="str">
        <f t="shared" si="62"/>
        <v>SEVROLL Comfort tor górny 2,35m jasny brąz new</v>
      </c>
      <c r="C2026" s="185" t="e">
        <f t="shared" si="63"/>
        <v>#N/A</v>
      </c>
      <c r="D2026" s="407" t="s">
        <v>1582</v>
      </c>
      <c r="E2026" s="407" t="s">
        <v>2009</v>
      </c>
      <c r="F2026" s="407" t="s">
        <v>2212</v>
      </c>
      <c r="G2026" s="407" t="s">
        <v>2505</v>
      </c>
      <c r="H2026" s="460" t="e">
        <v>#N/A</v>
      </c>
      <c r="I2026" s="460" t="e">
        <v>#N/A</v>
      </c>
      <c r="J2026" s="460" t="e">
        <v>#N/A</v>
      </c>
      <c r="K2026" s="460" t="e">
        <v>#N/A</v>
      </c>
      <c r="L2026" s="459" t="e">
        <v>#N/A</v>
      </c>
      <c r="O2026" t="e">
        <v>#N/A</v>
      </c>
      <c r="P2026" t="e">
        <v>#N/A</v>
      </c>
    </row>
    <row r="2027" spans="1:16" ht="14.4" x14ac:dyDescent="0.3">
      <c r="A2027">
        <v>461915</v>
      </c>
      <c r="B2027" t="str">
        <f t="shared" si="62"/>
        <v>SEVROLL Comfort tor górny 3m jasny brąz new</v>
      </c>
      <c r="C2027" s="185" t="e">
        <f t="shared" si="63"/>
        <v>#N/A</v>
      </c>
      <c r="D2027" s="407" t="s">
        <v>1583</v>
      </c>
      <c r="E2027" s="407" t="s">
        <v>2010</v>
      </c>
      <c r="F2027" s="407" t="s">
        <v>2213</v>
      </c>
      <c r="G2027" s="407" t="s">
        <v>2506</v>
      </c>
      <c r="H2027" s="460" t="e">
        <v>#N/A</v>
      </c>
      <c r="I2027" s="460" t="e">
        <v>#N/A</v>
      </c>
      <c r="J2027" s="460" t="e">
        <v>#N/A</v>
      </c>
      <c r="K2027" s="460" t="e">
        <v>#N/A</v>
      </c>
      <c r="L2027" s="459" t="e">
        <v>#N/A</v>
      </c>
      <c r="O2027" t="e">
        <v>#N/A</v>
      </c>
      <c r="P2027" t="e">
        <v>#N/A</v>
      </c>
    </row>
    <row r="2028" spans="1:16" ht="14.4" x14ac:dyDescent="0.3">
      <c r="A2028">
        <v>461916</v>
      </c>
      <c r="B2028" t="str">
        <f t="shared" si="62"/>
        <v>SEVROLL Comfort tor górny 4,05m jasny brąz new</v>
      </c>
      <c r="C2028" s="185" t="e">
        <f t="shared" si="63"/>
        <v>#N/A</v>
      </c>
      <c r="D2028" s="407" t="s">
        <v>1584</v>
      </c>
      <c r="E2028" s="407" t="s">
        <v>2011</v>
      </c>
      <c r="F2028" s="407" t="s">
        <v>2214</v>
      </c>
      <c r="G2028" s="407" t="s">
        <v>2507</v>
      </c>
      <c r="H2028" s="460" t="e">
        <v>#N/A</v>
      </c>
      <c r="I2028" s="460" t="e">
        <v>#N/A</v>
      </c>
      <c r="J2028" s="460" t="e">
        <v>#N/A</v>
      </c>
      <c r="K2028" s="460" t="e">
        <v>#N/A</v>
      </c>
      <c r="L2028" s="459" t="e">
        <v>#N/A</v>
      </c>
      <c r="O2028" t="e">
        <v>#N/A</v>
      </c>
      <c r="P2028" t="e">
        <v>#N/A</v>
      </c>
    </row>
    <row r="2029" spans="1:16" ht="14.4" x14ac:dyDescent="0.3">
      <c r="A2029">
        <v>461917</v>
      </c>
      <c r="B2029" t="str">
        <f t="shared" si="62"/>
        <v>SEVROLL 00029-A profil "U" do płyty laminowanej 18mm 3m jasny brąz new</v>
      </c>
      <c r="C2029" s="185" t="e">
        <f t="shared" si="63"/>
        <v>#N/A</v>
      </c>
      <c r="D2029" s="407" t="s">
        <v>1398</v>
      </c>
      <c r="E2029" s="407" t="s">
        <v>2012</v>
      </c>
      <c r="F2029" s="407" t="s">
        <v>2215</v>
      </c>
      <c r="G2029" s="407" t="s">
        <v>2399</v>
      </c>
      <c r="H2029" s="460" t="e">
        <v>#N/A</v>
      </c>
      <c r="I2029" s="460" t="e">
        <v>#N/A</v>
      </c>
      <c r="J2029" s="460" t="e">
        <v>#N/A</v>
      </c>
      <c r="K2029" s="460" t="e">
        <v>#N/A</v>
      </c>
      <c r="L2029" s="459" t="e">
        <v>#N/A</v>
      </c>
      <c r="O2029" t="e">
        <v>#N/A</v>
      </c>
      <c r="P2029" t="e">
        <v>#N/A</v>
      </c>
    </row>
    <row r="2030" spans="1:16" ht="14.4" x14ac:dyDescent="0.3">
      <c r="A2030">
        <v>461918</v>
      </c>
      <c r="B2030" t="str">
        <f t="shared" si="62"/>
        <v>SEVROLL listwa łącząca H30 3 m, jasny brąz new</v>
      </c>
      <c r="C2030" s="185" t="e">
        <f t="shared" si="63"/>
        <v>#N/A</v>
      </c>
      <c r="D2030" s="407" t="s">
        <v>1585</v>
      </c>
      <c r="E2030" s="407" t="s">
        <v>2013</v>
      </c>
      <c r="F2030" s="407" t="s">
        <v>6081</v>
      </c>
      <c r="G2030" s="407" t="s">
        <v>2508</v>
      </c>
      <c r="H2030" s="460" t="e">
        <v>#N/A</v>
      </c>
      <c r="I2030" s="460" t="e">
        <v>#N/A</v>
      </c>
      <c r="J2030" s="460" t="e">
        <v>#N/A</v>
      </c>
      <c r="K2030" s="460" t="e">
        <v>#N/A</v>
      </c>
      <c r="L2030" s="459" t="e">
        <v>#N/A</v>
      </c>
      <c r="O2030" t="e">
        <v>#N/A</v>
      </c>
      <c r="P2030" t="e">
        <v>#N/A</v>
      </c>
    </row>
    <row r="2031" spans="1:16" ht="14.4" x14ac:dyDescent="0.3">
      <c r="A2031">
        <v>461919</v>
      </c>
      <c r="B2031" t="str">
        <f t="shared" si="62"/>
        <v>SEVROLL Master rączka 2,7m jasny brąz new</v>
      </c>
      <c r="C2031" s="185" t="e">
        <f t="shared" si="63"/>
        <v>#N/A</v>
      </c>
      <c r="D2031" s="407" t="s">
        <v>1586</v>
      </c>
      <c r="E2031" s="407" t="s">
        <v>2014</v>
      </c>
      <c r="F2031" s="407" t="s">
        <v>2216</v>
      </c>
      <c r="G2031" s="407" t="s">
        <v>2509</v>
      </c>
      <c r="H2031" s="460" t="e">
        <v>#N/A</v>
      </c>
      <c r="I2031" s="460" t="e">
        <v>#N/A</v>
      </c>
      <c r="J2031" s="460" t="e">
        <v>#N/A</v>
      </c>
      <c r="K2031" s="460" t="e">
        <v>#N/A</v>
      </c>
      <c r="L2031" s="459" t="e">
        <v>#N/A</v>
      </c>
      <c r="O2031" t="e">
        <v>#N/A</v>
      </c>
      <c r="P2031" t="e">
        <v>#N/A</v>
      </c>
    </row>
    <row r="2032" spans="1:16" ht="14.4" x14ac:dyDescent="0.3">
      <c r="A2032">
        <v>461920</v>
      </c>
      <c r="B2032" t="str">
        <f t="shared" si="62"/>
        <v>SEVROLL Master rączka 3m jasny brąz new</v>
      </c>
      <c r="C2032" s="185" t="e">
        <f t="shared" si="63"/>
        <v>#N/A</v>
      </c>
      <c r="D2032" s="407" t="s">
        <v>1587</v>
      </c>
      <c r="E2032" s="407" t="s">
        <v>2015</v>
      </c>
      <c r="F2032" s="407" t="s">
        <v>2217</v>
      </c>
      <c r="G2032" s="407" t="s">
        <v>2510</v>
      </c>
      <c r="H2032" s="460" t="e">
        <v>#N/A</v>
      </c>
      <c r="I2032" s="460" t="e">
        <v>#N/A</v>
      </c>
      <c r="J2032" s="460" t="e">
        <v>#N/A</v>
      </c>
      <c r="K2032" s="460" t="e">
        <v>#N/A</v>
      </c>
      <c r="L2032" s="459" t="e">
        <v>#N/A</v>
      </c>
      <c r="O2032" t="e">
        <v>#N/A</v>
      </c>
      <c r="P2032" t="e">
        <v>#N/A</v>
      </c>
    </row>
    <row r="2033" spans="1:16" ht="14.4" x14ac:dyDescent="0.3">
      <c r="A2033">
        <v>461921</v>
      </c>
      <c r="B2033" t="str">
        <f t="shared" si="62"/>
        <v>SEVROLL 00070-A kątownik K2 Decor 2,35m jasny brąz new</v>
      </c>
      <c r="C2033" s="185" t="e">
        <f t="shared" si="63"/>
        <v>#N/A</v>
      </c>
      <c r="D2033" s="407" t="s">
        <v>1588</v>
      </c>
      <c r="E2033" s="407" t="s">
        <v>2016</v>
      </c>
      <c r="F2033" s="407" t="s">
        <v>6082</v>
      </c>
      <c r="G2033" s="407" t="s">
        <v>6083</v>
      </c>
      <c r="H2033" s="460" t="e">
        <v>#N/A</v>
      </c>
      <c r="I2033" s="460" t="e">
        <v>#N/A</v>
      </c>
      <c r="J2033" s="460" t="e">
        <v>#N/A</v>
      </c>
      <c r="K2033" s="460" t="e">
        <v>#N/A</v>
      </c>
      <c r="L2033" s="459" t="e">
        <v>#N/A</v>
      </c>
      <c r="O2033" t="e">
        <v>#N/A</v>
      </c>
      <c r="P2033" t="e">
        <v>#N/A</v>
      </c>
    </row>
    <row r="2034" spans="1:16" ht="14.4" x14ac:dyDescent="0.3">
      <c r="A2034">
        <v>461922</v>
      </c>
      <c r="B2034" t="str">
        <f t="shared" si="62"/>
        <v>SEVROLL 00071-A kątownik K2 Decor 3m jasny brąz new</v>
      </c>
      <c r="C2034" s="185" t="e">
        <f t="shared" si="63"/>
        <v>#N/A</v>
      </c>
      <c r="D2034" s="407" t="s">
        <v>1589</v>
      </c>
      <c r="E2034" s="407" t="s">
        <v>2017</v>
      </c>
      <c r="F2034" s="407" t="s">
        <v>6084</v>
      </c>
      <c r="G2034" s="407" t="s">
        <v>6085</v>
      </c>
      <c r="H2034" s="460" t="e">
        <v>#N/A</v>
      </c>
      <c r="I2034" s="460" t="e">
        <v>#N/A</v>
      </c>
      <c r="J2034" s="460" t="e">
        <v>#N/A</v>
      </c>
      <c r="K2034" s="460" t="e">
        <v>#N/A</v>
      </c>
      <c r="L2034" s="459" t="e">
        <v>#N/A</v>
      </c>
      <c r="O2034" t="e">
        <v>#N/A</v>
      </c>
      <c r="P2034" t="e">
        <v>#N/A</v>
      </c>
    </row>
    <row r="2035" spans="1:16" ht="14.4" x14ac:dyDescent="0.3">
      <c r="A2035">
        <v>461923</v>
      </c>
      <c r="B2035" t="str">
        <f t="shared" si="62"/>
        <v>SEVROLL 00212-A listwa łącząca H18 3m jasny brąz new</v>
      </c>
      <c r="C2035" s="185" t="e">
        <f t="shared" si="63"/>
        <v>#N/A</v>
      </c>
      <c r="D2035" s="407" t="s">
        <v>1590</v>
      </c>
      <c r="E2035" s="407" t="s">
        <v>2018</v>
      </c>
      <c r="F2035" s="407" t="s">
        <v>2218</v>
      </c>
      <c r="G2035" s="407" t="s">
        <v>6086</v>
      </c>
      <c r="H2035" s="460" t="e">
        <v>#N/A</v>
      </c>
      <c r="I2035" s="460" t="e">
        <v>#N/A</v>
      </c>
      <c r="J2035" s="460" t="e">
        <v>#N/A</v>
      </c>
      <c r="K2035" s="460" t="e">
        <v>#N/A</v>
      </c>
      <c r="L2035" s="459" t="e">
        <v>#N/A</v>
      </c>
      <c r="O2035" t="e">
        <v>#N/A</v>
      </c>
      <c r="P2035" t="e">
        <v>#N/A</v>
      </c>
    </row>
    <row r="2036" spans="1:16" ht="14.4" x14ac:dyDescent="0.3">
      <c r="A2036">
        <v>461924</v>
      </c>
      <c r="B2036" t="str">
        <f t="shared" si="62"/>
        <v>SEVROLL listwa łącząca T Decor 3 m, jasny brąz new</v>
      </c>
      <c r="C2036" s="185" t="e">
        <f t="shared" si="63"/>
        <v>#N/A</v>
      </c>
      <c r="D2036" s="407" t="s">
        <v>1591</v>
      </c>
      <c r="E2036" s="407" t="s">
        <v>2019</v>
      </c>
      <c r="F2036" s="407" t="s">
        <v>6087</v>
      </c>
      <c r="G2036" s="407" t="s">
        <v>2511</v>
      </c>
      <c r="H2036" s="460" t="e">
        <v>#N/A</v>
      </c>
      <c r="I2036" s="460" t="e">
        <v>#N/A</v>
      </c>
      <c r="J2036" s="460" t="e">
        <v>#N/A</v>
      </c>
      <c r="K2036" s="460" t="e">
        <v>#N/A</v>
      </c>
      <c r="L2036" s="459" t="e">
        <v>#N/A</v>
      </c>
      <c r="O2036" t="e">
        <v>#N/A</v>
      </c>
      <c r="P2036" t="e">
        <v>#N/A</v>
      </c>
    </row>
    <row r="2037" spans="1:16" ht="14.4" x14ac:dyDescent="0.3">
      <c r="A2037">
        <v>461925</v>
      </c>
      <c r="B2037" t="str">
        <f t="shared" si="62"/>
        <v>SEVROLL profil "U" Decor 18mm 3m jasny brąz new</v>
      </c>
      <c r="C2037" s="185" t="e">
        <f t="shared" si="63"/>
        <v>#N/A</v>
      </c>
      <c r="D2037" s="407" t="s">
        <v>1592</v>
      </c>
      <c r="E2037" s="407" t="s">
        <v>2020</v>
      </c>
      <c r="F2037" s="407" t="s">
        <v>1592</v>
      </c>
      <c r="G2037" s="407" t="s">
        <v>2512</v>
      </c>
      <c r="H2037" s="460" t="e">
        <v>#N/A</v>
      </c>
      <c r="I2037" s="460" t="e">
        <v>#N/A</v>
      </c>
      <c r="J2037" s="460" t="e">
        <v>#N/A</v>
      </c>
      <c r="K2037" s="460" t="e">
        <v>#N/A</v>
      </c>
      <c r="L2037" s="459" t="e">
        <v>#N/A</v>
      </c>
      <c r="O2037" t="e">
        <v>#N/A</v>
      </c>
      <c r="P2037" t="e">
        <v>#N/A</v>
      </c>
    </row>
    <row r="2038" spans="1:16" ht="14.4" x14ac:dyDescent="0.3">
      <c r="A2038">
        <v>461926</v>
      </c>
      <c r="B2038" t="str">
        <f t="shared" si="62"/>
        <v>SEVROLL Single tor górny 1,7m jasny brąz new</v>
      </c>
      <c r="C2038" s="185" t="e">
        <f t="shared" si="63"/>
        <v>#N/A</v>
      </c>
      <c r="D2038" s="407" t="s">
        <v>1593</v>
      </c>
      <c r="E2038" s="407" t="s">
        <v>2021</v>
      </c>
      <c r="F2038" s="407" t="s">
        <v>6088</v>
      </c>
      <c r="G2038" s="407" t="s">
        <v>2513</v>
      </c>
      <c r="H2038" s="460" t="e">
        <v>#N/A</v>
      </c>
      <c r="I2038" s="460" t="e">
        <v>#N/A</v>
      </c>
      <c r="J2038" s="460" t="e">
        <v>#N/A</v>
      </c>
      <c r="K2038" s="460" t="e">
        <v>#N/A</v>
      </c>
      <c r="L2038" s="459" t="e">
        <v>#N/A</v>
      </c>
      <c r="O2038" t="e">
        <v>#N/A</v>
      </c>
      <c r="P2038" t="e">
        <v>#N/A</v>
      </c>
    </row>
    <row r="2039" spans="1:16" ht="14.4" x14ac:dyDescent="0.3">
      <c r="A2039">
        <v>461927</v>
      </c>
      <c r="B2039" t="str">
        <f t="shared" si="62"/>
        <v>SEVROLL Single tor górny 3m jasny brąz new</v>
      </c>
      <c r="C2039" s="185" t="e">
        <f t="shared" si="63"/>
        <v>#N/A</v>
      </c>
      <c r="D2039" s="407" t="s">
        <v>1594</v>
      </c>
      <c r="E2039" s="407" t="s">
        <v>2022</v>
      </c>
      <c r="F2039" s="407" t="s">
        <v>6089</v>
      </c>
      <c r="G2039" s="407" t="s">
        <v>2514</v>
      </c>
      <c r="H2039" s="460" t="e">
        <v>#N/A</v>
      </c>
      <c r="I2039" s="460" t="e">
        <v>#N/A</v>
      </c>
      <c r="J2039" s="460" t="e">
        <v>#N/A</v>
      </c>
      <c r="K2039" s="460" t="e">
        <v>#N/A</v>
      </c>
      <c r="L2039" s="459" t="e">
        <v>#N/A</v>
      </c>
      <c r="O2039" t="e">
        <v>#N/A</v>
      </c>
      <c r="P2039" t="e">
        <v>#N/A</v>
      </c>
    </row>
    <row r="2040" spans="1:16" ht="14.4" x14ac:dyDescent="0.3">
      <c r="A2040">
        <v>461928</v>
      </c>
      <c r="B2040" t="str">
        <f t="shared" si="62"/>
        <v>SEVROLL Smart tor dolny 1,7m jasny brąz new</v>
      </c>
      <c r="C2040" s="185" t="e">
        <f t="shared" si="63"/>
        <v>#N/A</v>
      </c>
      <c r="D2040" s="407" t="s">
        <v>1595</v>
      </c>
      <c r="E2040" s="407" t="s">
        <v>2023</v>
      </c>
      <c r="F2040" s="407" t="s">
        <v>2219</v>
      </c>
      <c r="G2040" s="407" t="s">
        <v>2515</v>
      </c>
      <c r="H2040" s="460" t="e">
        <v>#N/A</v>
      </c>
      <c r="I2040" s="460" t="e">
        <v>#N/A</v>
      </c>
      <c r="J2040" s="460" t="e">
        <v>#N/A</v>
      </c>
      <c r="K2040" s="460" t="e">
        <v>#N/A</v>
      </c>
      <c r="L2040" s="459" t="e">
        <v>#N/A</v>
      </c>
      <c r="O2040" t="e">
        <v>#N/A</v>
      </c>
      <c r="P2040" t="e">
        <v>#N/A</v>
      </c>
    </row>
    <row r="2041" spans="1:16" ht="14.4" x14ac:dyDescent="0.3">
      <c r="A2041">
        <v>461929</v>
      </c>
      <c r="B2041" t="str">
        <f t="shared" si="62"/>
        <v>SEVROLL Smart tor dolny 2,35m jasny brąz new</v>
      </c>
      <c r="C2041" s="185" t="e">
        <f t="shared" si="63"/>
        <v>#N/A</v>
      </c>
      <c r="D2041" s="407" t="s">
        <v>1596</v>
      </c>
      <c r="E2041" s="407" t="s">
        <v>2024</v>
      </c>
      <c r="F2041" s="407" t="s">
        <v>2220</v>
      </c>
      <c r="G2041" s="407" t="s">
        <v>2516</v>
      </c>
      <c r="H2041" s="460" t="e">
        <v>#N/A</v>
      </c>
      <c r="I2041" s="460" t="e">
        <v>#N/A</v>
      </c>
      <c r="J2041" s="460" t="e">
        <v>#N/A</v>
      </c>
      <c r="K2041" s="460" t="e">
        <v>#N/A</v>
      </c>
      <c r="L2041" s="459" t="e">
        <v>#N/A</v>
      </c>
      <c r="O2041" t="e">
        <v>#N/A</v>
      </c>
      <c r="P2041" t="e">
        <v>#N/A</v>
      </c>
    </row>
    <row r="2042" spans="1:16" ht="14.4" x14ac:dyDescent="0.3">
      <c r="A2042">
        <v>461930</v>
      </c>
      <c r="B2042" t="str">
        <f t="shared" si="62"/>
        <v>SEVROLL Smart tor dolny 3m jasny brąz new</v>
      </c>
      <c r="C2042" s="185" t="e">
        <f t="shared" si="63"/>
        <v>#N/A</v>
      </c>
      <c r="D2042" s="407" t="s">
        <v>1597</v>
      </c>
      <c r="E2042" s="407" t="s">
        <v>2025</v>
      </c>
      <c r="F2042" s="407" t="s">
        <v>2221</v>
      </c>
      <c r="G2042" s="407" t="s">
        <v>2517</v>
      </c>
      <c r="H2042" s="460" t="e">
        <v>#N/A</v>
      </c>
      <c r="I2042" s="460" t="e">
        <v>#N/A</v>
      </c>
      <c r="J2042" s="460" t="e">
        <v>#N/A</v>
      </c>
      <c r="K2042" s="460" t="e">
        <v>#N/A</v>
      </c>
      <c r="L2042" s="459" t="e">
        <v>#N/A</v>
      </c>
      <c r="O2042" t="e">
        <v>#N/A</v>
      </c>
      <c r="P2042" t="e">
        <v>#N/A</v>
      </c>
    </row>
    <row r="2043" spans="1:16" ht="14.4" x14ac:dyDescent="0.3">
      <c r="A2043">
        <v>461931</v>
      </c>
      <c r="B2043" t="str">
        <f t="shared" si="62"/>
        <v>SEVROLL 04274-A Elegant II tor dolny 2,35m jasny brąz new</v>
      </c>
      <c r="C2043" s="185" t="e">
        <f t="shared" si="63"/>
        <v>#N/A</v>
      </c>
      <c r="D2043" s="407" t="s">
        <v>1598</v>
      </c>
      <c r="E2043" s="407" t="s">
        <v>2026</v>
      </c>
      <c r="F2043" s="407" t="s">
        <v>6090</v>
      </c>
      <c r="G2043" s="407" t="s">
        <v>6091</v>
      </c>
      <c r="H2043" s="460" t="e">
        <v>#N/A</v>
      </c>
      <c r="I2043" s="460" t="e">
        <v>#N/A</v>
      </c>
      <c r="J2043" s="460" t="e">
        <v>#N/A</v>
      </c>
      <c r="K2043" s="460" t="e">
        <v>#N/A</v>
      </c>
      <c r="L2043" s="459" t="e">
        <v>#N/A</v>
      </c>
      <c r="O2043" t="e">
        <v>#N/A</v>
      </c>
      <c r="P2043" t="e">
        <v>#N/A</v>
      </c>
    </row>
    <row r="2044" spans="1:16" ht="14.4" x14ac:dyDescent="0.3">
      <c r="A2044">
        <v>461932</v>
      </c>
      <c r="B2044" t="str">
        <f t="shared" si="62"/>
        <v>SEVROLL 04275-A Elegant II tor dolny 3m jasny brąz new</v>
      </c>
      <c r="C2044" s="185" t="e">
        <f t="shared" si="63"/>
        <v>#N/A</v>
      </c>
      <c r="D2044" s="407" t="s">
        <v>1599</v>
      </c>
      <c r="E2044" s="407" t="s">
        <v>2027</v>
      </c>
      <c r="F2044" s="407" t="s">
        <v>6092</v>
      </c>
      <c r="G2044" s="407" t="s">
        <v>6093</v>
      </c>
      <c r="H2044" s="460" t="e">
        <v>#N/A</v>
      </c>
      <c r="I2044" s="460" t="e">
        <v>#N/A</v>
      </c>
      <c r="J2044" s="460" t="e">
        <v>#N/A</v>
      </c>
      <c r="K2044" s="460" t="e">
        <v>#N/A</v>
      </c>
      <c r="L2044" s="459" t="e">
        <v>#N/A</v>
      </c>
      <c r="O2044" t="e">
        <v>#N/A</v>
      </c>
      <c r="P2044" t="e">
        <v>#N/A</v>
      </c>
    </row>
    <row r="2045" spans="1:16" ht="14.4" x14ac:dyDescent="0.3">
      <c r="A2045">
        <v>461933</v>
      </c>
      <c r="B2045" t="str">
        <f t="shared" si="62"/>
        <v>SEVROLL 04276-A Elegant II tor dolny 4,05m jasny brąz new</v>
      </c>
      <c r="C2045" s="185" t="e">
        <f t="shared" si="63"/>
        <v>#N/A</v>
      </c>
      <c r="D2045" s="407" t="s">
        <v>1600</v>
      </c>
      <c r="E2045" s="407" t="s">
        <v>2028</v>
      </c>
      <c r="F2045" s="407" t="s">
        <v>6094</v>
      </c>
      <c r="G2045" s="407" t="s">
        <v>6095</v>
      </c>
      <c r="H2045" s="460" t="e">
        <v>#N/A</v>
      </c>
      <c r="I2045" s="460" t="e">
        <v>#N/A</v>
      </c>
      <c r="J2045" s="460" t="e">
        <v>#N/A</v>
      </c>
      <c r="K2045" s="460" t="e">
        <v>#N/A</v>
      </c>
      <c r="L2045" s="459" t="e">
        <v>#N/A</v>
      </c>
      <c r="O2045" t="e">
        <v>#N/A</v>
      </c>
      <c r="P2045" t="e">
        <v>#N/A</v>
      </c>
    </row>
    <row r="2046" spans="1:16" ht="14.4" x14ac:dyDescent="0.3">
      <c r="A2046">
        <v>461934</v>
      </c>
      <c r="B2046" t="str">
        <f t="shared" si="62"/>
        <v>SEVROLL profil "U" do płyty laminowanej 16mm 3m jasny brąz new</v>
      </c>
      <c r="C2046" s="185" t="e">
        <f t="shared" si="63"/>
        <v>#N/A</v>
      </c>
      <c r="D2046" s="407" t="s">
        <v>1601</v>
      </c>
      <c r="E2046" s="407" t="s">
        <v>2029</v>
      </c>
      <c r="F2046" s="407" t="s">
        <v>6096</v>
      </c>
      <c r="G2046" s="407" t="s">
        <v>2518</v>
      </c>
      <c r="H2046" s="460" t="e">
        <v>#N/A</v>
      </c>
      <c r="I2046" s="460" t="e">
        <v>#N/A</v>
      </c>
      <c r="J2046" s="460" t="e">
        <v>#N/A</v>
      </c>
      <c r="K2046" s="460" t="e">
        <v>#N/A</v>
      </c>
      <c r="L2046" s="459" t="e">
        <v>#N/A</v>
      </c>
      <c r="O2046" t="e">
        <v>#N/A</v>
      </c>
      <c r="P2046" t="e">
        <v>#N/A</v>
      </c>
    </row>
    <row r="2047" spans="1:16" ht="14.4" x14ac:dyDescent="0.3">
      <c r="A2047">
        <v>461935</v>
      </c>
      <c r="B2047" t="str">
        <f t="shared" si="62"/>
        <v>SEVROLL 01711-A listwa łącząca H04 3m jasny brąz new</v>
      </c>
      <c r="C2047" s="185" t="e">
        <f t="shared" si="63"/>
        <v>#N/A</v>
      </c>
      <c r="D2047" s="407" t="s">
        <v>1602</v>
      </c>
      <c r="E2047" s="407" t="s">
        <v>2030</v>
      </c>
      <c r="F2047" s="407" t="s">
        <v>2222</v>
      </c>
      <c r="G2047" s="407" t="s">
        <v>6097</v>
      </c>
      <c r="H2047" s="460" t="e">
        <v>#N/A</v>
      </c>
      <c r="I2047" s="460" t="e">
        <v>#N/A</v>
      </c>
      <c r="J2047" s="460" t="e">
        <v>#N/A</v>
      </c>
      <c r="K2047" s="460" t="e">
        <v>#N/A</v>
      </c>
      <c r="L2047" s="459" t="e">
        <v>#N/A</v>
      </c>
      <c r="O2047" t="e">
        <v>#N/A</v>
      </c>
      <c r="P2047" t="e">
        <v>#N/A</v>
      </c>
    </row>
    <row r="2048" spans="1:16" ht="14.4" x14ac:dyDescent="0.3">
      <c r="A2048">
        <v>461936</v>
      </c>
      <c r="B2048" t="str">
        <f t="shared" si="62"/>
        <v>SEVROLL Gemini tor górny 6m jasny brąz new</v>
      </c>
      <c r="C2048" s="185" t="e">
        <f t="shared" si="63"/>
        <v>#N/A</v>
      </c>
      <c r="D2048" s="407" t="s">
        <v>1603</v>
      </c>
      <c r="E2048" s="407" t="s">
        <v>2031</v>
      </c>
      <c r="F2048" s="407" t="s">
        <v>2223</v>
      </c>
      <c r="G2048" s="407" t="s">
        <v>2519</v>
      </c>
      <c r="H2048" s="460" t="e">
        <v>#N/A</v>
      </c>
      <c r="I2048" s="460" t="e">
        <v>#N/A</v>
      </c>
      <c r="J2048" s="460" t="e">
        <v>#N/A</v>
      </c>
      <c r="K2048" s="460" t="e">
        <v>#N/A</v>
      </c>
      <c r="L2048" s="459" t="e">
        <v>#N/A</v>
      </c>
      <c r="O2048" t="e">
        <v>#N/A</v>
      </c>
      <c r="P2048" t="e">
        <v>#N/A</v>
      </c>
    </row>
    <row r="2049" spans="1:16" ht="14.4" x14ac:dyDescent="0.3">
      <c r="A2049">
        <v>461937</v>
      </c>
      <c r="B2049" t="str">
        <f t="shared" si="62"/>
        <v>SEVROLL 02292-A Szpros S20 3m jasny brąz new</v>
      </c>
      <c r="C2049" s="185" t="e">
        <f t="shared" si="63"/>
        <v>#N/A</v>
      </c>
      <c r="D2049" s="407" t="s">
        <v>1604</v>
      </c>
      <c r="E2049" s="407" t="s">
        <v>2032</v>
      </c>
      <c r="F2049" s="407" t="s">
        <v>2224</v>
      </c>
      <c r="G2049" s="407" t="s">
        <v>6098</v>
      </c>
      <c r="H2049" s="460" t="e">
        <v>#N/A</v>
      </c>
      <c r="I2049" s="460" t="e">
        <v>#N/A</v>
      </c>
      <c r="J2049" s="460" t="e">
        <v>#N/A</v>
      </c>
      <c r="K2049" s="460" t="e">
        <v>#N/A</v>
      </c>
      <c r="L2049" s="459" t="e">
        <v>#N/A</v>
      </c>
      <c r="O2049" t="e">
        <v>#N/A</v>
      </c>
      <c r="P2049" t="e">
        <v>#N/A</v>
      </c>
    </row>
    <row r="2050" spans="1:16" ht="14.4" x14ac:dyDescent="0.3">
      <c r="A2050">
        <v>461938</v>
      </c>
      <c r="B2050" t="str">
        <f t="shared" si="62"/>
        <v>SEVROLL Szpros S10 3m jasny brąz new</v>
      </c>
      <c r="C2050" s="185" t="e">
        <f t="shared" si="63"/>
        <v>#N/A</v>
      </c>
      <c r="D2050" s="407" t="s">
        <v>1605</v>
      </c>
      <c r="E2050" s="407" t="s">
        <v>2033</v>
      </c>
      <c r="F2050" s="407" t="s">
        <v>2225</v>
      </c>
      <c r="G2050" s="407" t="s">
        <v>2520</v>
      </c>
      <c r="H2050" s="460" t="e">
        <v>#N/A</v>
      </c>
      <c r="I2050" s="460" t="e">
        <v>#N/A</v>
      </c>
      <c r="J2050" s="460" t="e">
        <v>#N/A</v>
      </c>
      <c r="K2050" s="460" t="e">
        <v>#N/A</v>
      </c>
      <c r="L2050" s="459" t="e">
        <v>#N/A</v>
      </c>
      <c r="O2050" t="e">
        <v>#N/A</v>
      </c>
      <c r="P2050" t="e">
        <v>#N/A</v>
      </c>
    </row>
    <row r="2051" spans="1:16" ht="14.4" x14ac:dyDescent="0.3">
      <c r="A2051">
        <v>461939</v>
      </c>
      <c r="B2051" t="str">
        <f t="shared" si="62"/>
        <v>SEVROLL Julia II rączka 2,7m jasny brąz new</v>
      </c>
      <c r="C2051" s="185" t="e">
        <f t="shared" si="63"/>
        <v>#N/A</v>
      </c>
      <c r="D2051" s="407" t="s">
        <v>1606</v>
      </c>
      <c r="E2051" s="407" t="s">
        <v>2034</v>
      </c>
      <c r="F2051" s="407" t="s">
        <v>2226</v>
      </c>
      <c r="G2051" s="407" t="s">
        <v>2521</v>
      </c>
      <c r="H2051" s="460" t="e">
        <v>#N/A</v>
      </c>
      <c r="I2051" s="460" t="e">
        <v>#N/A</v>
      </c>
      <c r="J2051" s="460" t="e">
        <v>#N/A</v>
      </c>
      <c r="K2051" s="460" t="e">
        <v>#N/A</v>
      </c>
      <c r="L2051" s="459" t="e">
        <v>#N/A</v>
      </c>
      <c r="O2051" t="e">
        <v>#N/A</v>
      </c>
      <c r="P2051" t="e">
        <v>#N/A</v>
      </c>
    </row>
    <row r="2052" spans="1:16" ht="14.4" x14ac:dyDescent="0.3">
      <c r="A2052">
        <v>461940</v>
      </c>
      <c r="B2052" t="str">
        <f t="shared" ref="B2052:B2115" si="64">IF($A$2=1,D2052,IF($A$2=2,F2052,IF($A$2=3,G2052,IF($A$2=4,E2052,IF($A$2&gt;4,P2052,"zadat jazyk")))))</f>
        <v>SEVROLL 02690-A Romeo II rączka 2,7m jasny brąz new</v>
      </c>
      <c r="C2052" s="185" t="e">
        <f t="shared" ref="C2052:C2115" si="65">IF($A$2=1,H2052,IF($A$2=2,I2052,IF($A$2=3,J2052,IF($A$2=4,K2052,IF($A$2&gt;4,O2052,"zadat jazyk")))))</f>
        <v>#N/A</v>
      </c>
      <c r="D2052" s="407" t="s">
        <v>1607</v>
      </c>
      <c r="E2052" s="407" t="s">
        <v>2035</v>
      </c>
      <c r="F2052" s="407" t="s">
        <v>2227</v>
      </c>
      <c r="G2052" s="407" t="s">
        <v>6099</v>
      </c>
      <c r="H2052" s="460" t="e">
        <v>#N/A</v>
      </c>
      <c r="I2052" s="460" t="e">
        <v>#N/A</v>
      </c>
      <c r="J2052" s="460" t="e">
        <v>#N/A</v>
      </c>
      <c r="K2052" s="460" t="e">
        <v>#N/A</v>
      </c>
      <c r="L2052" s="459" t="e">
        <v>#N/A</v>
      </c>
      <c r="O2052" t="e">
        <v>#N/A</v>
      </c>
      <c r="P2052" t="e">
        <v>#N/A</v>
      </c>
    </row>
    <row r="2053" spans="1:16" ht="14.4" x14ac:dyDescent="0.3">
      <c r="A2053">
        <v>461941</v>
      </c>
      <c r="B2053" t="str">
        <f t="shared" si="64"/>
        <v>SEVROLL 04548-A Factor 18 II rączka 2,7m jasny brąz new</v>
      </c>
      <c r="C2053" s="185" t="e">
        <f t="shared" si="65"/>
        <v>#N/A</v>
      </c>
      <c r="D2053" s="407" t="s">
        <v>1608</v>
      </c>
      <c r="E2053" s="407" t="s">
        <v>2036</v>
      </c>
      <c r="F2053" s="407" t="s">
        <v>1608</v>
      </c>
      <c r="G2053" s="407" t="s">
        <v>6100</v>
      </c>
      <c r="H2053" s="460" t="e">
        <v>#N/A</v>
      </c>
      <c r="I2053" s="460" t="e">
        <v>#N/A</v>
      </c>
      <c r="J2053" s="460" t="e">
        <v>#N/A</v>
      </c>
      <c r="K2053" s="460" t="e">
        <v>#N/A</v>
      </c>
      <c r="L2053" s="459" t="e">
        <v>#N/A</v>
      </c>
      <c r="O2053" t="e">
        <v>#N/A</v>
      </c>
      <c r="P2053" t="e">
        <v>#N/A</v>
      </c>
    </row>
    <row r="2054" spans="1:16" ht="14.4" x14ac:dyDescent="0.3">
      <c r="A2054">
        <v>461942</v>
      </c>
      <c r="B2054" t="str">
        <f t="shared" si="64"/>
        <v>SEVROLL Factor 16 II rączka 2,7m jasny brąz new</v>
      </c>
      <c r="C2054" s="185" t="e">
        <f t="shared" si="65"/>
        <v>#N/A</v>
      </c>
      <c r="D2054" s="407" t="s">
        <v>1609</v>
      </c>
      <c r="E2054" s="407" t="s">
        <v>2037</v>
      </c>
      <c r="F2054" s="407" t="s">
        <v>2228</v>
      </c>
      <c r="G2054" s="407" t="s">
        <v>2522</v>
      </c>
      <c r="H2054" s="460" t="e">
        <v>#N/A</v>
      </c>
      <c r="I2054" s="460" t="e">
        <v>#N/A</v>
      </c>
      <c r="J2054" s="460" t="e">
        <v>#N/A</v>
      </c>
      <c r="K2054" s="460" t="e">
        <v>#N/A</v>
      </c>
      <c r="L2054" s="459" t="e">
        <v>#N/A</v>
      </c>
      <c r="O2054" t="e">
        <v>#N/A</v>
      </c>
      <c r="P2054" t="e">
        <v>#N/A</v>
      </c>
    </row>
    <row r="2055" spans="1:16" ht="14.4" x14ac:dyDescent="0.3">
      <c r="A2055">
        <v>461943</v>
      </c>
      <c r="B2055" t="str">
        <f t="shared" si="64"/>
        <v>SEVROLL Victoria II rączka 18mm 2,7m jasny brąz new</v>
      </c>
      <c r="C2055" s="185" t="e">
        <f t="shared" si="65"/>
        <v>#N/A</v>
      </c>
      <c r="D2055" s="407" t="s">
        <v>1610</v>
      </c>
      <c r="E2055" s="407" t="s">
        <v>6101</v>
      </c>
      <c r="F2055" s="407" t="s">
        <v>1610</v>
      </c>
      <c r="G2055" s="407" t="s">
        <v>2523</v>
      </c>
      <c r="H2055" s="460" t="e">
        <v>#N/A</v>
      </c>
      <c r="I2055" s="460" t="e">
        <v>#N/A</v>
      </c>
      <c r="J2055" s="460" t="e">
        <v>#N/A</v>
      </c>
      <c r="K2055" s="460" t="e">
        <v>#N/A</v>
      </c>
      <c r="L2055" s="459" t="e">
        <v>#N/A</v>
      </c>
      <c r="O2055" t="e">
        <v>#N/A</v>
      </c>
      <c r="P2055" t="e">
        <v>#N/A</v>
      </c>
    </row>
    <row r="2056" spans="1:16" ht="14.4" x14ac:dyDescent="0.3">
      <c r="A2056">
        <v>461944</v>
      </c>
      <c r="B2056" t="str">
        <f t="shared" si="64"/>
        <v>SEVROLL Minicomfort II rączka 2,7m jasny brąz new</v>
      </c>
      <c r="C2056" s="185" t="e">
        <f t="shared" si="65"/>
        <v>#N/A</v>
      </c>
      <c r="D2056" s="407" t="s">
        <v>1611</v>
      </c>
      <c r="E2056" s="407" t="s">
        <v>2038</v>
      </c>
      <c r="F2056" s="407" t="s">
        <v>2229</v>
      </c>
      <c r="G2056" s="407" t="s">
        <v>2524</v>
      </c>
      <c r="H2056" s="460" t="e">
        <v>#N/A</v>
      </c>
      <c r="I2056" s="460" t="e">
        <v>#N/A</v>
      </c>
      <c r="J2056" s="460" t="e">
        <v>#N/A</v>
      </c>
      <c r="K2056" s="460" t="e">
        <v>#N/A</v>
      </c>
      <c r="L2056" s="459" t="e">
        <v>#N/A</v>
      </c>
      <c r="O2056" t="e">
        <v>#N/A</v>
      </c>
      <c r="P2056" t="e">
        <v>#N/A</v>
      </c>
    </row>
    <row r="2057" spans="1:16" ht="14.4" x14ac:dyDescent="0.3">
      <c r="A2057">
        <v>461945</v>
      </c>
      <c r="B2057" t="str">
        <f t="shared" si="64"/>
        <v>SEVROLL Comfort 18 II rączka 2,7m jasny brąz new</v>
      </c>
      <c r="C2057" s="185" t="e">
        <f t="shared" si="65"/>
        <v>#N/A</v>
      </c>
      <c r="D2057" s="407" t="s">
        <v>1612</v>
      </c>
      <c r="E2057" s="407" t="s">
        <v>2039</v>
      </c>
      <c r="F2057" s="407" t="s">
        <v>2230</v>
      </c>
      <c r="G2057" s="407" t="s">
        <v>2525</v>
      </c>
      <c r="H2057" s="460" t="e">
        <v>#N/A</v>
      </c>
      <c r="I2057" s="460" t="e">
        <v>#N/A</v>
      </c>
      <c r="J2057" s="460" t="e">
        <v>#N/A</v>
      </c>
      <c r="K2057" s="460" t="e">
        <v>#N/A</v>
      </c>
      <c r="L2057" s="459" t="e">
        <v>#N/A</v>
      </c>
      <c r="O2057" t="e">
        <v>#N/A</v>
      </c>
      <c r="P2057" t="e">
        <v>#N/A</v>
      </c>
    </row>
    <row r="2058" spans="1:16" ht="14.4" x14ac:dyDescent="0.3">
      <c r="A2058">
        <v>461946</v>
      </c>
      <c r="B2058" t="str">
        <f t="shared" si="64"/>
        <v>SEVROLL Unicomfort II rączka 2,7m jasny brąz new</v>
      </c>
      <c r="C2058" s="185" t="e">
        <f t="shared" si="65"/>
        <v>#N/A</v>
      </c>
      <c r="D2058" s="407" t="s">
        <v>1613</v>
      </c>
      <c r="E2058" s="407" t="s">
        <v>2040</v>
      </c>
      <c r="F2058" s="407" t="s">
        <v>2231</v>
      </c>
      <c r="G2058" s="407" t="s">
        <v>2526</v>
      </c>
      <c r="H2058" s="460" t="e">
        <v>#N/A</v>
      </c>
      <c r="I2058" s="460" t="e">
        <v>#N/A</v>
      </c>
      <c r="J2058" s="460" t="e">
        <v>#N/A</v>
      </c>
      <c r="K2058" s="460" t="e">
        <v>#N/A</v>
      </c>
      <c r="L2058" s="459" t="e">
        <v>#N/A</v>
      </c>
      <c r="O2058" t="e">
        <v>#N/A</v>
      </c>
      <c r="P2058" t="e">
        <v>#N/A</v>
      </c>
    </row>
    <row r="2059" spans="1:16" ht="14.4" x14ac:dyDescent="0.3">
      <c r="A2059">
        <v>461947</v>
      </c>
      <c r="B2059" t="str">
        <f t="shared" si="64"/>
        <v>SEVROLL Faworyt II rączka 2,7m jasny brąz new</v>
      </c>
      <c r="C2059" s="185" t="e">
        <f t="shared" si="65"/>
        <v>#N/A</v>
      </c>
      <c r="D2059" s="407" t="s">
        <v>1614</v>
      </c>
      <c r="E2059" s="407" t="s">
        <v>2041</v>
      </c>
      <c r="F2059" s="407" t="s">
        <v>2232</v>
      </c>
      <c r="G2059" s="407" t="s">
        <v>2527</v>
      </c>
      <c r="H2059" s="460" t="e">
        <v>#N/A</v>
      </c>
      <c r="I2059" s="460" t="e">
        <v>#N/A</v>
      </c>
      <c r="J2059" s="460" t="e">
        <v>#N/A</v>
      </c>
      <c r="K2059" s="460" t="e">
        <v>#N/A</v>
      </c>
      <c r="L2059" s="459" t="e">
        <v>#N/A</v>
      </c>
      <c r="O2059" t="e">
        <v>#N/A</v>
      </c>
      <c r="P2059" t="e">
        <v>#N/A</v>
      </c>
    </row>
    <row r="2060" spans="1:16" ht="14.4" x14ac:dyDescent="0.3">
      <c r="A2060">
        <v>461948</v>
      </c>
      <c r="B2060" t="str">
        <f t="shared" si="64"/>
        <v>SEVROLL Comfort 16 II rączka 2,7m jasny brąz new</v>
      </c>
      <c r="C2060" s="185" t="e">
        <f t="shared" si="65"/>
        <v>#N/A</v>
      </c>
      <c r="D2060" s="407" t="s">
        <v>1615</v>
      </c>
      <c r="E2060" s="407" t="s">
        <v>2042</v>
      </c>
      <c r="F2060" s="407" t="s">
        <v>2233</v>
      </c>
      <c r="G2060" s="407" t="s">
        <v>2528</v>
      </c>
      <c r="H2060" s="460" t="e">
        <v>#N/A</v>
      </c>
      <c r="I2060" s="460" t="e">
        <v>#N/A</v>
      </c>
      <c r="J2060" s="460" t="e">
        <v>#N/A</v>
      </c>
      <c r="K2060" s="460" t="e">
        <v>#N/A</v>
      </c>
      <c r="L2060" s="459" t="e">
        <v>#N/A</v>
      </c>
      <c r="O2060" t="e">
        <v>#N/A</v>
      </c>
      <c r="P2060" t="e">
        <v>#N/A</v>
      </c>
    </row>
    <row r="2061" spans="1:16" ht="14.4" x14ac:dyDescent="0.3">
      <c r="A2061">
        <v>461949</v>
      </c>
      <c r="B2061" t="str">
        <f t="shared" si="64"/>
        <v>SEVROLL 02776-A Ergo rączka 2,7m jasny brąz new</v>
      </c>
      <c r="C2061" s="185" t="e">
        <f t="shared" si="65"/>
        <v>#N/A</v>
      </c>
      <c r="D2061" s="407" t="s">
        <v>1616</v>
      </c>
      <c r="E2061" s="407" t="s">
        <v>2043</v>
      </c>
      <c r="F2061" s="407" t="s">
        <v>2234</v>
      </c>
      <c r="G2061" s="407" t="s">
        <v>6102</v>
      </c>
      <c r="H2061" s="460" t="e">
        <v>#N/A</v>
      </c>
      <c r="I2061" s="460" t="e">
        <v>#N/A</v>
      </c>
      <c r="J2061" s="460" t="e">
        <v>#N/A</v>
      </c>
      <c r="K2061" s="460" t="e">
        <v>#N/A</v>
      </c>
      <c r="L2061" s="459" t="e">
        <v>#N/A</v>
      </c>
      <c r="O2061" t="e">
        <v>#N/A</v>
      </c>
      <c r="P2061" t="e">
        <v>#N/A</v>
      </c>
    </row>
    <row r="2062" spans="1:16" ht="14.4" x14ac:dyDescent="0.3">
      <c r="A2062">
        <v>461950</v>
      </c>
      <c r="B2062" t="str">
        <f t="shared" si="64"/>
        <v>SEVROLL First tor górny / dolny 1,8m jasny brąz new</v>
      </c>
      <c r="C2062" s="185" t="e">
        <f t="shared" si="65"/>
        <v>#N/A</v>
      </c>
      <c r="D2062" s="407" t="s">
        <v>1617</v>
      </c>
      <c r="E2062" s="407" t="s">
        <v>2044</v>
      </c>
      <c r="F2062" s="407" t="s">
        <v>2235</v>
      </c>
      <c r="G2062" s="407" t="s">
        <v>2529</v>
      </c>
      <c r="H2062" s="460" t="e">
        <v>#N/A</v>
      </c>
      <c r="I2062" s="460" t="e">
        <v>#N/A</v>
      </c>
      <c r="J2062" s="460" t="e">
        <v>#N/A</v>
      </c>
      <c r="K2062" s="460" t="e">
        <v>#N/A</v>
      </c>
      <c r="L2062" s="459" t="e">
        <v>#N/A</v>
      </c>
      <c r="O2062" t="e">
        <v>#N/A</v>
      </c>
      <c r="P2062" t="e">
        <v>#N/A</v>
      </c>
    </row>
    <row r="2063" spans="1:16" ht="14.4" x14ac:dyDescent="0.3">
      <c r="A2063">
        <v>461951</v>
      </c>
      <c r="B2063" t="str">
        <f t="shared" si="64"/>
        <v>SEVROLL Doubler II tor dolny 1,7m jasny brąz new</v>
      </c>
      <c r="C2063" s="185" t="e">
        <f t="shared" si="65"/>
        <v>#N/A</v>
      </c>
      <c r="D2063" s="407" t="s">
        <v>1618</v>
      </c>
      <c r="E2063" s="407" t="s">
        <v>2045</v>
      </c>
      <c r="F2063" s="407" t="s">
        <v>2236</v>
      </c>
      <c r="G2063" s="407" t="s">
        <v>2530</v>
      </c>
      <c r="H2063" s="460" t="e">
        <v>#N/A</v>
      </c>
      <c r="I2063" s="460" t="e">
        <v>#N/A</v>
      </c>
      <c r="J2063" s="460" t="e">
        <v>#N/A</v>
      </c>
      <c r="K2063" s="460" t="e">
        <v>#N/A</v>
      </c>
      <c r="L2063" s="459" t="e">
        <v>#N/A</v>
      </c>
      <c r="O2063" t="e">
        <v>#N/A</v>
      </c>
      <c r="P2063" t="e">
        <v>#N/A</v>
      </c>
    </row>
    <row r="2064" spans="1:16" ht="14.4" x14ac:dyDescent="0.3">
      <c r="A2064">
        <v>461952</v>
      </c>
      <c r="B2064" t="str">
        <f t="shared" si="64"/>
        <v>SEVROLL Doubler II tor dolny 2,35m jasny brąz new</v>
      </c>
      <c r="C2064" s="185" t="e">
        <f t="shared" si="65"/>
        <v>#N/A</v>
      </c>
      <c r="D2064" s="407" t="s">
        <v>1619</v>
      </c>
      <c r="E2064" s="407" t="s">
        <v>2046</v>
      </c>
      <c r="F2064" s="407" t="s">
        <v>2237</v>
      </c>
      <c r="G2064" s="407" t="s">
        <v>2531</v>
      </c>
      <c r="H2064" s="460" t="e">
        <v>#N/A</v>
      </c>
      <c r="I2064" s="460" t="e">
        <v>#N/A</v>
      </c>
      <c r="J2064" s="460" t="e">
        <v>#N/A</v>
      </c>
      <c r="K2064" s="460" t="e">
        <v>#N/A</v>
      </c>
      <c r="L2064" s="459" t="e">
        <v>#N/A</v>
      </c>
      <c r="O2064" t="e">
        <v>#N/A</v>
      </c>
      <c r="P2064" t="e">
        <v>#N/A</v>
      </c>
    </row>
    <row r="2065" spans="1:16" ht="14.4" x14ac:dyDescent="0.3">
      <c r="A2065">
        <v>461953</v>
      </c>
      <c r="B2065" t="str">
        <f t="shared" si="64"/>
        <v>SEVROLL Doubler II tor dolny 3m jasny brąz new</v>
      </c>
      <c r="C2065" s="185" t="e">
        <f t="shared" si="65"/>
        <v>#N/A</v>
      </c>
      <c r="D2065" s="407" t="s">
        <v>1620</v>
      </c>
      <c r="E2065" s="407" t="s">
        <v>2047</v>
      </c>
      <c r="F2065" s="407" t="s">
        <v>2238</v>
      </c>
      <c r="G2065" s="407" t="s">
        <v>2532</v>
      </c>
      <c r="H2065" s="460" t="e">
        <v>#N/A</v>
      </c>
      <c r="I2065" s="460" t="e">
        <v>#N/A</v>
      </c>
      <c r="J2065" s="460" t="e">
        <v>#N/A</v>
      </c>
      <c r="K2065" s="460" t="e">
        <v>#N/A</v>
      </c>
      <c r="L2065" s="459" t="e">
        <v>#N/A</v>
      </c>
      <c r="O2065" t="e">
        <v>#N/A</v>
      </c>
      <c r="P2065" t="e">
        <v>#N/A</v>
      </c>
    </row>
    <row r="2066" spans="1:16" ht="14.4" x14ac:dyDescent="0.3">
      <c r="A2066">
        <v>461954</v>
      </c>
      <c r="B2066" t="str">
        <f t="shared" si="64"/>
        <v>SEVROLL Doubler II tor dolny 4,05m jasny brąz new</v>
      </c>
      <c r="C2066" s="185" t="e">
        <f t="shared" si="65"/>
        <v>#N/A</v>
      </c>
      <c r="D2066" s="407" t="s">
        <v>1621</v>
      </c>
      <c r="E2066" s="407" t="s">
        <v>2048</v>
      </c>
      <c r="F2066" s="407" t="s">
        <v>2239</v>
      </c>
      <c r="G2066" s="407" t="s">
        <v>2533</v>
      </c>
      <c r="H2066" s="460" t="e">
        <v>#N/A</v>
      </c>
      <c r="I2066" s="460" t="e">
        <v>#N/A</v>
      </c>
      <c r="J2066" s="460" t="e">
        <v>#N/A</v>
      </c>
      <c r="K2066" s="460" t="e">
        <v>#N/A</v>
      </c>
      <c r="L2066" s="459" t="e">
        <v>#N/A</v>
      </c>
      <c r="O2066" t="e">
        <v>#N/A</v>
      </c>
      <c r="P2066" t="e">
        <v>#N/A</v>
      </c>
    </row>
    <row r="2067" spans="1:16" ht="14.4" x14ac:dyDescent="0.3">
      <c r="A2067">
        <v>461955</v>
      </c>
      <c r="B2067" t="str">
        <f t="shared" si="64"/>
        <v>SEVROLL Doubler II tor dolny 6m jasny brąz new</v>
      </c>
      <c r="C2067" s="185" t="e">
        <f t="shared" si="65"/>
        <v>#N/A</v>
      </c>
      <c r="D2067" s="407" t="s">
        <v>1622</v>
      </c>
      <c r="E2067" s="407" t="s">
        <v>2049</v>
      </c>
      <c r="F2067" s="407" t="s">
        <v>2240</v>
      </c>
      <c r="G2067" s="407" t="s">
        <v>2534</v>
      </c>
      <c r="H2067" s="460" t="e">
        <v>#N/A</v>
      </c>
      <c r="I2067" s="460" t="e">
        <v>#N/A</v>
      </c>
      <c r="J2067" s="460" t="e">
        <v>#N/A</v>
      </c>
      <c r="K2067" s="460" t="e">
        <v>#N/A</v>
      </c>
      <c r="L2067" s="459" t="e">
        <v>#N/A</v>
      </c>
      <c r="O2067" t="e">
        <v>#N/A</v>
      </c>
      <c r="P2067" t="e">
        <v>#N/A</v>
      </c>
    </row>
    <row r="2068" spans="1:16" ht="14.4" x14ac:dyDescent="0.3">
      <c r="A2068">
        <v>461956</v>
      </c>
      <c r="B2068" t="str">
        <f t="shared" si="64"/>
        <v>SEVROLL Doubler II maskownica 1,7m jasny brąz new</v>
      </c>
      <c r="C2068" s="185" t="e">
        <f t="shared" si="65"/>
        <v>#N/A</v>
      </c>
      <c r="D2068" s="407" t="s">
        <v>1623</v>
      </c>
      <c r="E2068" s="407" t="s">
        <v>2050</v>
      </c>
      <c r="F2068" s="407" t="s">
        <v>2241</v>
      </c>
      <c r="G2068" s="407" t="s">
        <v>2535</v>
      </c>
      <c r="H2068" s="460" t="e">
        <v>#N/A</v>
      </c>
      <c r="I2068" s="460" t="e">
        <v>#N/A</v>
      </c>
      <c r="J2068" s="460" t="e">
        <v>#N/A</v>
      </c>
      <c r="K2068" s="460" t="e">
        <v>#N/A</v>
      </c>
      <c r="L2068" s="459" t="e">
        <v>#N/A</v>
      </c>
      <c r="O2068" t="e">
        <v>#N/A</v>
      </c>
      <c r="P2068" t="e">
        <v>#N/A</v>
      </c>
    </row>
    <row r="2069" spans="1:16" ht="14.4" x14ac:dyDescent="0.3">
      <c r="A2069">
        <v>461957</v>
      </c>
      <c r="B2069" t="str">
        <f t="shared" si="64"/>
        <v>SEVROLL Doubler II maskownica 2,35m jasny brąz new</v>
      </c>
      <c r="C2069" s="185" t="e">
        <f t="shared" si="65"/>
        <v>#N/A</v>
      </c>
      <c r="D2069" s="407" t="s">
        <v>1624</v>
      </c>
      <c r="E2069" s="407" t="s">
        <v>2051</v>
      </c>
      <c r="F2069" s="407" t="s">
        <v>2242</v>
      </c>
      <c r="G2069" s="407" t="s">
        <v>2536</v>
      </c>
      <c r="H2069" s="460" t="e">
        <v>#N/A</v>
      </c>
      <c r="I2069" s="460" t="e">
        <v>#N/A</v>
      </c>
      <c r="J2069" s="460" t="e">
        <v>#N/A</v>
      </c>
      <c r="K2069" s="460" t="e">
        <v>#N/A</v>
      </c>
      <c r="L2069" s="459" t="e">
        <v>#N/A</v>
      </c>
      <c r="O2069" t="e">
        <v>#N/A</v>
      </c>
      <c r="P2069" t="e">
        <v>#N/A</v>
      </c>
    </row>
    <row r="2070" spans="1:16" ht="14.4" x14ac:dyDescent="0.3">
      <c r="A2070">
        <v>461958</v>
      </c>
      <c r="B2070" t="str">
        <f t="shared" si="64"/>
        <v>SEVROLL Doubler II maskownica 3m jasny brąz new</v>
      </c>
      <c r="C2070" s="185" t="e">
        <f t="shared" si="65"/>
        <v>#N/A</v>
      </c>
      <c r="D2070" s="407" t="s">
        <v>1625</v>
      </c>
      <c r="E2070" s="407" t="s">
        <v>2052</v>
      </c>
      <c r="F2070" s="407" t="s">
        <v>2243</v>
      </c>
      <c r="G2070" s="407" t="s">
        <v>2537</v>
      </c>
      <c r="H2070" s="460" t="e">
        <v>#N/A</v>
      </c>
      <c r="I2070" s="460" t="e">
        <v>#N/A</v>
      </c>
      <c r="J2070" s="460" t="e">
        <v>#N/A</v>
      </c>
      <c r="K2070" s="460" t="e">
        <v>#N/A</v>
      </c>
      <c r="L2070" s="459" t="e">
        <v>#N/A</v>
      </c>
      <c r="O2070" t="e">
        <v>#N/A</v>
      </c>
      <c r="P2070" t="e">
        <v>#N/A</v>
      </c>
    </row>
    <row r="2071" spans="1:16" ht="14.4" x14ac:dyDescent="0.3">
      <c r="A2071">
        <v>461959</v>
      </c>
      <c r="B2071" t="str">
        <f t="shared" si="64"/>
        <v>SEVROLL Doubler II maskownica 4,05m jasny brąz new</v>
      </c>
      <c r="C2071" s="185" t="e">
        <f t="shared" si="65"/>
        <v>#N/A</v>
      </c>
      <c r="D2071" s="407" t="s">
        <v>1626</v>
      </c>
      <c r="E2071" s="407" t="s">
        <v>2053</v>
      </c>
      <c r="F2071" s="407" t="s">
        <v>2244</v>
      </c>
      <c r="G2071" s="407" t="s">
        <v>2538</v>
      </c>
      <c r="H2071" s="460" t="e">
        <v>#N/A</v>
      </c>
      <c r="I2071" s="460" t="e">
        <v>#N/A</v>
      </c>
      <c r="J2071" s="460" t="e">
        <v>#N/A</v>
      </c>
      <c r="K2071" s="460" t="e">
        <v>#N/A</v>
      </c>
      <c r="L2071" s="459" t="e">
        <v>#N/A</v>
      </c>
      <c r="O2071" t="e">
        <v>#N/A</v>
      </c>
      <c r="P2071" t="e">
        <v>#N/A</v>
      </c>
    </row>
    <row r="2072" spans="1:16" ht="14.4" x14ac:dyDescent="0.3">
      <c r="A2072">
        <v>461960</v>
      </c>
      <c r="B2072" t="str">
        <f t="shared" si="64"/>
        <v>SEVROLL Doubler II maskownica 6m jasny brąz new</v>
      </c>
      <c r="C2072" s="185" t="e">
        <f t="shared" si="65"/>
        <v>#N/A</v>
      </c>
      <c r="D2072" s="407" t="s">
        <v>1627</v>
      </c>
      <c r="E2072" s="407" t="s">
        <v>2054</v>
      </c>
      <c r="F2072" s="407" t="s">
        <v>2245</v>
      </c>
      <c r="G2072" s="407" t="s">
        <v>2539</v>
      </c>
      <c r="H2072" s="460" t="e">
        <v>#N/A</v>
      </c>
      <c r="I2072" s="460" t="e">
        <v>#N/A</v>
      </c>
      <c r="J2072" s="460" t="e">
        <v>#N/A</v>
      </c>
      <c r="K2072" s="460" t="e">
        <v>#N/A</v>
      </c>
      <c r="L2072" s="459" t="e">
        <v>#N/A</v>
      </c>
      <c r="O2072" t="e">
        <v>#N/A</v>
      </c>
      <c r="P2072" t="e">
        <v>#N/A</v>
      </c>
    </row>
    <row r="2073" spans="1:16" ht="14.4" x14ac:dyDescent="0.3">
      <c r="A2073">
        <v>461961</v>
      </c>
      <c r="B2073" t="str">
        <f t="shared" si="64"/>
        <v>SEVROLL Future II rączka 3,5m jasny brąz new</v>
      </c>
      <c r="C2073" s="185" t="e">
        <f t="shared" si="65"/>
        <v>#N/A</v>
      </c>
      <c r="D2073" s="407" t="s">
        <v>1628</v>
      </c>
      <c r="E2073" s="407" t="s">
        <v>2055</v>
      </c>
      <c r="F2073" s="407" t="s">
        <v>2246</v>
      </c>
      <c r="G2073" s="407" t="s">
        <v>2540</v>
      </c>
      <c r="H2073" s="460" t="e">
        <v>#N/A</v>
      </c>
      <c r="I2073" s="460" t="e">
        <v>#N/A</v>
      </c>
      <c r="J2073" s="460" t="e">
        <v>#N/A</v>
      </c>
      <c r="K2073" s="460" t="e">
        <v>#N/A</v>
      </c>
      <c r="L2073" s="459" t="e">
        <v>#N/A</v>
      </c>
      <c r="O2073" t="e">
        <v>#N/A</v>
      </c>
      <c r="P2073" t="e">
        <v>#N/A</v>
      </c>
    </row>
    <row r="2074" spans="1:16" ht="14.4" x14ac:dyDescent="0.3">
      <c r="A2074">
        <v>461962</v>
      </c>
      <c r="B2074" t="str">
        <f t="shared" si="64"/>
        <v>SEVROLL Future II rączka 2,7m jasny brąz new</v>
      </c>
      <c r="C2074" s="185" t="e">
        <f t="shared" si="65"/>
        <v>#N/A</v>
      </c>
      <c r="D2074" s="407" t="s">
        <v>1629</v>
      </c>
      <c r="E2074" s="407" t="s">
        <v>2056</v>
      </c>
      <c r="F2074" s="407" t="s">
        <v>2247</v>
      </c>
      <c r="G2074" s="407" t="s">
        <v>2541</v>
      </c>
      <c r="H2074" s="460" t="e">
        <v>#N/A</v>
      </c>
      <c r="I2074" s="460" t="e">
        <v>#N/A</v>
      </c>
      <c r="J2074" s="460" t="e">
        <v>#N/A</v>
      </c>
      <c r="K2074" s="460" t="e">
        <v>#N/A</v>
      </c>
      <c r="L2074" s="459" t="e">
        <v>#N/A</v>
      </c>
      <c r="O2074" t="e">
        <v>#N/A</v>
      </c>
      <c r="P2074" t="e">
        <v>#N/A</v>
      </c>
    </row>
    <row r="2075" spans="1:16" ht="14.4" x14ac:dyDescent="0.3">
      <c r="A2075">
        <v>461963</v>
      </c>
      <c r="B2075" t="str">
        <f t="shared" si="64"/>
        <v>SEVROLL First tor górny / dolny 3m jasny brąz new</v>
      </c>
      <c r="C2075" s="185" t="e">
        <f t="shared" si="65"/>
        <v>#N/A</v>
      </c>
      <c r="D2075" s="407" t="s">
        <v>1630</v>
      </c>
      <c r="E2075" s="407" t="s">
        <v>2057</v>
      </c>
      <c r="F2075" s="407" t="s">
        <v>2248</v>
      </c>
      <c r="G2075" s="407" t="s">
        <v>2542</v>
      </c>
      <c r="H2075" s="460" t="e">
        <v>#N/A</v>
      </c>
      <c r="I2075" s="460" t="e">
        <v>#N/A</v>
      </c>
      <c r="J2075" s="460" t="e">
        <v>#N/A</v>
      </c>
      <c r="K2075" s="460" t="e">
        <v>#N/A</v>
      </c>
      <c r="L2075" s="459" t="e">
        <v>#N/A</v>
      </c>
      <c r="O2075" t="e">
        <v>#N/A</v>
      </c>
      <c r="P2075" t="e">
        <v>#N/A</v>
      </c>
    </row>
    <row r="2076" spans="1:16" ht="14.4" x14ac:dyDescent="0.3">
      <c r="A2076">
        <v>461964</v>
      </c>
      <c r="B2076" t="str">
        <f t="shared" si="64"/>
        <v>SEVROLL Micra tor górny / dolny 1,7 m jasny brąz new</v>
      </c>
      <c r="C2076" s="185" t="e">
        <f t="shared" si="65"/>
        <v>#N/A</v>
      </c>
      <c r="D2076" s="407" t="s">
        <v>1631</v>
      </c>
      <c r="E2076" s="407" t="s">
        <v>2058</v>
      </c>
      <c r="F2076" s="407" t="s">
        <v>2249</v>
      </c>
      <c r="G2076" s="407" t="s">
        <v>2543</v>
      </c>
      <c r="H2076" s="460" t="e">
        <v>#N/A</v>
      </c>
      <c r="I2076" s="460" t="e">
        <v>#N/A</v>
      </c>
      <c r="J2076" s="460" t="e">
        <v>#N/A</v>
      </c>
      <c r="K2076" s="460" t="e">
        <v>#N/A</v>
      </c>
      <c r="L2076" s="459" t="e">
        <v>#N/A</v>
      </c>
      <c r="O2076" t="e">
        <v>#N/A</v>
      </c>
      <c r="P2076" t="e">
        <v>#N/A</v>
      </c>
    </row>
    <row r="2077" spans="1:16" ht="14.4" x14ac:dyDescent="0.3">
      <c r="A2077">
        <v>461965</v>
      </c>
      <c r="B2077" t="str">
        <f t="shared" si="64"/>
        <v>SEVROLL Micra tor górny / dolny 2,35 m jasny brąz new</v>
      </c>
      <c r="C2077" s="185" t="e">
        <f t="shared" si="65"/>
        <v>#N/A</v>
      </c>
      <c r="D2077" s="407" t="s">
        <v>1632</v>
      </c>
      <c r="E2077" s="407" t="s">
        <v>2059</v>
      </c>
      <c r="F2077" s="407" t="s">
        <v>2250</v>
      </c>
      <c r="G2077" s="407" t="s">
        <v>2544</v>
      </c>
      <c r="H2077" s="460" t="e">
        <v>#N/A</v>
      </c>
      <c r="I2077" s="460" t="e">
        <v>#N/A</v>
      </c>
      <c r="J2077" s="460" t="e">
        <v>#N/A</v>
      </c>
      <c r="K2077" s="460" t="e">
        <v>#N/A</v>
      </c>
      <c r="L2077" s="459" t="e">
        <v>#N/A</v>
      </c>
      <c r="O2077" t="e">
        <v>#N/A</v>
      </c>
      <c r="P2077" t="e">
        <v>#N/A</v>
      </c>
    </row>
    <row r="2078" spans="1:16" ht="14.4" x14ac:dyDescent="0.3">
      <c r="A2078">
        <v>461966</v>
      </c>
      <c r="B2078" t="str">
        <f t="shared" si="64"/>
        <v>SEVROLL Top tor górny pojedynczy 3 m jasny brąz new</v>
      </c>
      <c r="C2078" s="185" t="e">
        <f t="shared" si="65"/>
        <v>#N/A</v>
      </c>
      <c r="D2078" s="407" t="s">
        <v>1633</v>
      </c>
      <c r="E2078" s="407" t="s">
        <v>2060</v>
      </c>
      <c r="F2078" s="407" t="s">
        <v>2251</v>
      </c>
      <c r="G2078" s="407" t="s">
        <v>2545</v>
      </c>
      <c r="H2078" s="460" t="e">
        <v>#N/A</v>
      </c>
      <c r="I2078" s="460" t="e">
        <v>#N/A</v>
      </c>
      <c r="J2078" s="460" t="e">
        <v>#N/A</v>
      </c>
      <c r="K2078" s="460" t="e">
        <v>#N/A</v>
      </c>
      <c r="L2078" s="459" t="e">
        <v>#N/A</v>
      </c>
      <c r="O2078" t="e">
        <v>#N/A</v>
      </c>
      <c r="P2078" t="e">
        <v>#N/A</v>
      </c>
    </row>
    <row r="2079" spans="1:16" ht="14.4" x14ac:dyDescent="0.3">
      <c r="A2079">
        <v>461967</v>
      </c>
      <c r="B2079" t="str">
        <f t="shared" si="64"/>
        <v>SEVROLL Top tor górny pojedynczy 6 m jasny brąz new</v>
      </c>
      <c r="C2079" s="185" t="e">
        <f t="shared" si="65"/>
        <v>#N/A</v>
      </c>
      <c r="D2079" s="407" t="s">
        <v>1634</v>
      </c>
      <c r="E2079" s="407" t="s">
        <v>2061</v>
      </c>
      <c r="F2079" s="407" t="s">
        <v>2252</v>
      </c>
      <c r="G2079" s="407" t="s">
        <v>2546</v>
      </c>
      <c r="H2079" s="460" t="e">
        <v>#N/A</v>
      </c>
      <c r="I2079" s="460" t="e">
        <v>#N/A</v>
      </c>
      <c r="J2079" s="460" t="e">
        <v>#N/A</v>
      </c>
      <c r="K2079" s="460" t="e">
        <v>#N/A</v>
      </c>
      <c r="L2079" s="459" t="e">
        <v>#N/A</v>
      </c>
      <c r="O2079" t="e">
        <v>#N/A</v>
      </c>
      <c r="P2079" t="e">
        <v>#N/A</v>
      </c>
    </row>
    <row r="2080" spans="1:16" ht="14.4" x14ac:dyDescent="0.3">
      <c r="A2080">
        <v>461968</v>
      </c>
      <c r="B2080" t="str">
        <f t="shared" si="64"/>
        <v>SEVROLL Star rączka 2,7 m jasny brąz new</v>
      </c>
      <c r="C2080" s="185" t="e">
        <f t="shared" si="65"/>
        <v>#N/A</v>
      </c>
      <c r="D2080" s="407" t="s">
        <v>1635</v>
      </c>
      <c r="E2080" s="407" t="s">
        <v>2062</v>
      </c>
      <c r="F2080" s="407" t="s">
        <v>2253</v>
      </c>
      <c r="G2080" s="407" t="s">
        <v>2547</v>
      </c>
      <c r="H2080" s="460" t="e">
        <v>#N/A</v>
      </c>
      <c r="I2080" s="460" t="e">
        <v>#N/A</v>
      </c>
      <c r="J2080" s="460" t="e">
        <v>#N/A</v>
      </c>
      <c r="K2080" s="460" t="e">
        <v>#N/A</v>
      </c>
      <c r="L2080" s="459" t="e">
        <v>#N/A</v>
      </c>
      <c r="O2080" t="e">
        <v>#N/A</v>
      </c>
      <c r="P2080" t="e">
        <v>#N/A</v>
      </c>
    </row>
    <row r="2081" spans="1:16" ht="14.4" x14ac:dyDescent="0.3">
      <c r="A2081">
        <v>461969</v>
      </c>
      <c r="B2081" t="str">
        <f t="shared" si="64"/>
        <v>SEVROLL Beta 18 rączka 2,70 m jasny brąz new</v>
      </c>
      <c r="C2081" s="185" t="e">
        <f t="shared" si="65"/>
        <v>#N/A</v>
      </c>
      <c r="D2081" s="407" t="s">
        <v>1636</v>
      </c>
      <c r="E2081" s="407" t="s">
        <v>2063</v>
      </c>
      <c r="F2081" s="407" t="s">
        <v>2254</v>
      </c>
      <c r="G2081" s="407" t="s">
        <v>2548</v>
      </c>
      <c r="H2081" s="460" t="e">
        <v>#N/A</v>
      </c>
      <c r="I2081" s="460" t="e">
        <v>#N/A</v>
      </c>
      <c r="J2081" s="460" t="e">
        <v>#N/A</v>
      </c>
      <c r="K2081" s="460" t="e">
        <v>#N/A</v>
      </c>
      <c r="L2081" s="459" t="e">
        <v>#N/A</v>
      </c>
      <c r="O2081" t="e">
        <v>#N/A</v>
      </c>
      <c r="P2081" t="e">
        <v>#N/A</v>
      </c>
    </row>
    <row r="2082" spans="1:16" ht="14.4" x14ac:dyDescent="0.3">
      <c r="A2082">
        <v>461970</v>
      </c>
      <c r="B2082" t="str">
        <f t="shared" si="64"/>
        <v>SEVROLL Comfort tor dolny 1,7m jasny brąz new</v>
      </c>
      <c r="C2082" s="185" t="e">
        <f t="shared" si="65"/>
        <v>#N/A</v>
      </c>
      <c r="D2082" s="407" t="s">
        <v>1637</v>
      </c>
      <c r="E2082" s="407" t="s">
        <v>2064</v>
      </c>
      <c r="F2082" s="407" t="s">
        <v>2255</v>
      </c>
      <c r="G2082" s="407" t="s">
        <v>2549</v>
      </c>
      <c r="H2082" s="460" t="e">
        <v>#N/A</v>
      </c>
      <c r="I2082" s="460" t="e">
        <v>#N/A</v>
      </c>
      <c r="J2082" s="460" t="e">
        <v>#N/A</v>
      </c>
      <c r="K2082" s="460" t="e">
        <v>#N/A</v>
      </c>
      <c r="L2082" s="459" t="e">
        <v>#N/A</v>
      </c>
      <c r="O2082" t="e">
        <v>#N/A</v>
      </c>
      <c r="P2082" t="e">
        <v>#N/A</v>
      </c>
    </row>
    <row r="2083" spans="1:16" ht="14.4" x14ac:dyDescent="0.3">
      <c r="A2083">
        <v>461971</v>
      </c>
      <c r="B2083" t="str">
        <f t="shared" si="64"/>
        <v>SEVROLL Comfort tor dolny 3m jasny brąz new</v>
      </c>
      <c r="C2083" s="185" t="e">
        <f t="shared" si="65"/>
        <v>#N/A</v>
      </c>
      <c r="D2083" s="407" t="s">
        <v>1638</v>
      </c>
      <c r="E2083" s="407" t="s">
        <v>2065</v>
      </c>
      <c r="F2083" s="407" t="s">
        <v>2256</v>
      </c>
      <c r="G2083" s="407" t="s">
        <v>2550</v>
      </c>
      <c r="H2083" s="460" t="e">
        <v>#N/A</v>
      </c>
      <c r="I2083" s="460" t="e">
        <v>#N/A</v>
      </c>
      <c r="J2083" s="460" t="e">
        <v>#N/A</v>
      </c>
      <c r="K2083" s="460" t="e">
        <v>#N/A</v>
      </c>
      <c r="L2083" s="459" t="e">
        <v>#N/A</v>
      </c>
      <c r="O2083" t="e">
        <v>#N/A</v>
      </c>
      <c r="P2083" t="e">
        <v>#N/A</v>
      </c>
    </row>
    <row r="2084" spans="1:16" ht="14.4" x14ac:dyDescent="0.3">
      <c r="A2084">
        <v>461972</v>
      </c>
      <c r="B2084" t="str">
        <f t="shared" si="64"/>
        <v>SEVROLL Alfa II rączka 18mm 2,70m jasny brąz new</v>
      </c>
      <c r="C2084" s="185" t="e">
        <f t="shared" si="65"/>
        <v>#N/A</v>
      </c>
      <c r="D2084" s="407" t="s">
        <v>1639</v>
      </c>
      <c r="E2084" s="407" t="s">
        <v>2066</v>
      </c>
      <c r="F2084" s="407" t="s">
        <v>1639</v>
      </c>
      <c r="G2084" s="407" t="s">
        <v>2551</v>
      </c>
      <c r="H2084" s="460" t="e">
        <v>#N/A</v>
      </c>
      <c r="I2084" s="460" t="e">
        <v>#N/A</v>
      </c>
      <c r="J2084" s="460" t="e">
        <v>#N/A</v>
      </c>
      <c r="K2084" s="460" t="e">
        <v>#N/A</v>
      </c>
      <c r="L2084" s="459" t="e">
        <v>#N/A</v>
      </c>
      <c r="O2084" t="e">
        <v>#N/A</v>
      </c>
      <c r="P2084" t="e">
        <v>#N/A</v>
      </c>
    </row>
    <row r="2085" spans="1:16" ht="14.4" x14ac:dyDescent="0.3">
      <c r="A2085">
        <v>461973</v>
      </c>
      <c r="B2085" t="str">
        <f t="shared" si="64"/>
        <v>SEVROLL Karat rączka 2,7 m jasny brąz new</v>
      </c>
      <c r="C2085" s="185" t="e">
        <f t="shared" si="65"/>
        <v>#N/A</v>
      </c>
      <c r="D2085" s="407" t="s">
        <v>1640</v>
      </c>
      <c r="E2085" s="407" t="s">
        <v>2067</v>
      </c>
      <c r="F2085" s="407" t="s">
        <v>2257</v>
      </c>
      <c r="G2085" s="407" t="s">
        <v>2552</v>
      </c>
      <c r="H2085" s="460" t="e">
        <v>#N/A</v>
      </c>
      <c r="I2085" s="460" t="e">
        <v>#N/A</v>
      </c>
      <c r="J2085" s="460" t="e">
        <v>#N/A</v>
      </c>
      <c r="K2085" s="460" t="e">
        <v>#N/A</v>
      </c>
      <c r="L2085" s="459" t="e">
        <v>#N/A</v>
      </c>
      <c r="O2085" t="e">
        <v>#N/A</v>
      </c>
      <c r="P2085" t="e">
        <v>#N/A</v>
      </c>
    </row>
    <row r="2086" spans="1:16" ht="14.4" x14ac:dyDescent="0.3">
      <c r="A2086">
        <v>461974</v>
      </c>
      <c r="B2086" t="str">
        <f t="shared" si="64"/>
        <v>SEVROLL listwa łącząca H10 Decor 3m jasny brąz new</v>
      </c>
      <c r="C2086" s="185" t="e">
        <f t="shared" si="65"/>
        <v>#N/A</v>
      </c>
      <c r="D2086" s="407" t="s">
        <v>1641</v>
      </c>
      <c r="E2086" s="407" t="s">
        <v>2068</v>
      </c>
      <c r="F2086" s="407" t="s">
        <v>2258</v>
      </c>
      <c r="G2086" s="407" t="s">
        <v>2553</v>
      </c>
      <c r="H2086" s="460" t="e">
        <v>#N/A</v>
      </c>
      <c r="I2086" s="460" t="e">
        <v>#N/A</v>
      </c>
      <c r="J2086" s="460" t="e">
        <v>#N/A</v>
      </c>
      <c r="K2086" s="460" t="e">
        <v>#N/A</v>
      </c>
      <c r="L2086" s="459" t="e">
        <v>#N/A</v>
      </c>
      <c r="O2086" t="e">
        <v>#N/A</v>
      </c>
      <c r="P2086" t="e">
        <v>#N/A</v>
      </c>
    </row>
    <row r="2087" spans="1:16" ht="14.4" x14ac:dyDescent="0.3">
      <c r="A2087">
        <v>461975</v>
      </c>
      <c r="B2087" t="str">
        <f t="shared" si="64"/>
        <v>SEVROLL Comfort tor górny 6m jasny brąz new</v>
      </c>
      <c r="C2087" s="185" t="e">
        <f t="shared" si="65"/>
        <v>#N/A</v>
      </c>
      <c r="D2087" s="407" t="s">
        <v>1642</v>
      </c>
      <c r="E2087" s="407" t="s">
        <v>2069</v>
      </c>
      <c r="F2087" s="407" t="s">
        <v>2259</v>
      </c>
      <c r="G2087" s="407" t="s">
        <v>2554</v>
      </c>
      <c r="H2087" s="460" t="e">
        <v>#N/A</v>
      </c>
      <c r="I2087" s="460" t="e">
        <v>#N/A</v>
      </c>
      <c r="J2087" s="460" t="e">
        <v>#N/A</v>
      </c>
      <c r="K2087" s="460" t="e">
        <v>#N/A</v>
      </c>
      <c r="L2087" s="459" t="e">
        <v>#N/A</v>
      </c>
      <c r="O2087" t="e">
        <v>#N/A</v>
      </c>
      <c r="P2087" t="e">
        <v>#N/A</v>
      </c>
    </row>
    <row r="2088" spans="1:16" ht="14.4" x14ac:dyDescent="0.3">
      <c r="A2088">
        <v>461976</v>
      </c>
      <c r="B2088" t="str">
        <f t="shared" si="64"/>
        <v>SEVROLL Łącznik H16 3m jasny brąz new</v>
      </c>
      <c r="C2088" s="185" t="e">
        <f t="shared" si="65"/>
        <v>#N/A</v>
      </c>
      <c r="D2088" s="407" t="s">
        <v>1643</v>
      </c>
      <c r="E2088" s="407" t="s">
        <v>2070</v>
      </c>
      <c r="F2088" s="407" t="s">
        <v>2260</v>
      </c>
      <c r="G2088" s="407" t="s">
        <v>2555</v>
      </c>
      <c r="H2088" s="460" t="e">
        <v>#N/A</v>
      </c>
      <c r="I2088" s="460" t="e">
        <v>#N/A</v>
      </c>
      <c r="J2088" s="460" t="e">
        <v>#N/A</v>
      </c>
      <c r="K2088" s="460" t="e">
        <v>#N/A</v>
      </c>
      <c r="L2088" s="459" t="e">
        <v>#N/A</v>
      </c>
      <c r="O2088" t="e">
        <v>#N/A</v>
      </c>
      <c r="P2088" t="e">
        <v>#N/A</v>
      </c>
    </row>
    <row r="2089" spans="1:16" ht="14.4" x14ac:dyDescent="0.3">
      <c r="A2089">
        <v>461977</v>
      </c>
      <c r="B2089" t="str">
        <f t="shared" si="64"/>
        <v>SEVROLL Łącznik H08/16 3m jasny brąz new</v>
      </c>
      <c r="C2089" s="185" t="e">
        <f t="shared" si="65"/>
        <v>#N/A</v>
      </c>
      <c r="D2089" s="407" t="s">
        <v>1644</v>
      </c>
      <c r="E2089" s="407" t="s">
        <v>2071</v>
      </c>
      <c r="F2089" s="407" t="s">
        <v>2261</v>
      </c>
      <c r="G2089" s="407" t="s">
        <v>2556</v>
      </c>
      <c r="H2089" s="460" t="e">
        <v>#N/A</v>
      </c>
      <c r="I2089" s="460" t="e">
        <v>#N/A</v>
      </c>
      <c r="J2089" s="460" t="e">
        <v>#N/A</v>
      </c>
      <c r="K2089" s="460" t="e">
        <v>#N/A</v>
      </c>
      <c r="L2089" s="459" t="e">
        <v>#N/A</v>
      </c>
      <c r="O2089" t="e">
        <v>#N/A</v>
      </c>
      <c r="P2089" t="e">
        <v>#N/A</v>
      </c>
    </row>
    <row r="2090" spans="1:16" ht="14.4" x14ac:dyDescent="0.3">
      <c r="A2090">
        <v>461978</v>
      </c>
      <c r="B2090" t="str">
        <f t="shared" si="64"/>
        <v>SEVROLL Maxim tor górny 4,3m jasny brąz new</v>
      </c>
      <c r="C2090" s="185" t="e">
        <f t="shared" si="65"/>
        <v>#N/A</v>
      </c>
      <c r="D2090" s="407" t="s">
        <v>1645</v>
      </c>
      <c r="E2090" s="407" t="s">
        <v>2072</v>
      </c>
      <c r="F2090" s="407" t="s">
        <v>2262</v>
      </c>
      <c r="G2090" s="407" t="s">
        <v>2557</v>
      </c>
      <c r="H2090" s="460" t="e">
        <v>#N/A</v>
      </c>
      <c r="I2090" s="460" t="e">
        <v>#N/A</v>
      </c>
      <c r="J2090" s="460" t="e">
        <v>#N/A</v>
      </c>
      <c r="K2090" s="460" t="e">
        <v>#N/A</v>
      </c>
      <c r="L2090" s="459" t="e">
        <v>#N/A</v>
      </c>
      <c r="O2090" t="e">
        <v>#N/A</v>
      </c>
      <c r="P2090" t="e">
        <v>#N/A</v>
      </c>
    </row>
    <row r="2091" spans="1:16" ht="14.4" x14ac:dyDescent="0.3">
      <c r="A2091">
        <v>461979</v>
      </c>
      <c r="B2091" t="str">
        <f t="shared" si="64"/>
        <v>SEVROLL Maxim tor 4,3 m jasny brąz new</v>
      </c>
      <c r="C2091" s="185" t="e">
        <f t="shared" si="65"/>
        <v>#N/A</v>
      </c>
      <c r="D2091" s="407" t="s">
        <v>1646</v>
      </c>
      <c r="E2091" s="407" t="s">
        <v>2073</v>
      </c>
      <c r="F2091" s="407" t="s">
        <v>2263</v>
      </c>
      <c r="G2091" s="407" t="s">
        <v>2558</v>
      </c>
      <c r="H2091" s="460" t="e">
        <v>#N/A</v>
      </c>
      <c r="I2091" s="460" t="e">
        <v>#N/A</v>
      </c>
      <c r="J2091" s="460" t="e">
        <v>#N/A</v>
      </c>
      <c r="K2091" s="460" t="e">
        <v>#N/A</v>
      </c>
      <c r="L2091" s="459" t="e">
        <v>#N/A</v>
      </c>
      <c r="O2091" t="e">
        <v>#N/A</v>
      </c>
      <c r="P2091" t="e">
        <v>#N/A</v>
      </c>
    </row>
    <row r="2092" spans="1:16" ht="14.4" x14ac:dyDescent="0.3">
      <c r="A2092">
        <v>461980</v>
      </c>
      <c r="B2092" t="str">
        <f t="shared" si="64"/>
        <v>SEVROLL Oaza II rączka 2,7m jasny brąz new</v>
      </c>
      <c r="C2092" s="185" t="e">
        <f t="shared" si="65"/>
        <v>#N/A</v>
      </c>
      <c r="D2092" s="407" t="s">
        <v>1647</v>
      </c>
      <c r="E2092" s="407" t="s">
        <v>2074</v>
      </c>
      <c r="F2092" s="407" t="s">
        <v>2264</v>
      </c>
      <c r="G2092" s="407" t="s">
        <v>2559</v>
      </c>
      <c r="H2092" s="460" t="e">
        <v>#N/A</v>
      </c>
      <c r="I2092" s="460" t="e">
        <v>#N/A</v>
      </c>
      <c r="J2092" s="460" t="e">
        <v>#N/A</v>
      </c>
      <c r="K2092" s="460" t="e">
        <v>#N/A</v>
      </c>
      <c r="L2092" s="459" t="e">
        <v>#N/A</v>
      </c>
      <c r="O2092" t="e">
        <v>#N/A</v>
      </c>
      <c r="P2092" t="e">
        <v>#N/A</v>
      </c>
    </row>
    <row r="2093" spans="1:16" ht="14.4" x14ac:dyDescent="0.3">
      <c r="A2093">
        <v>461981</v>
      </c>
      <c r="B2093" t="str">
        <f t="shared" si="64"/>
        <v>SEVROLL Maxim tor 2,5 m, jasny brąz new</v>
      </c>
      <c r="C2093" s="185" t="e">
        <f t="shared" si="65"/>
        <v>#N/A</v>
      </c>
      <c r="D2093" s="407" t="s">
        <v>1648</v>
      </c>
      <c r="E2093" s="407" t="s">
        <v>2075</v>
      </c>
      <c r="F2093" s="407" t="s">
        <v>2265</v>
      </c>
      <c r="G2093" s="407" t="s">
        <v>2560</v>
      </c>
      <c r="H2093" s="460" t="e">
        <v>#N/A</v>
      </c>
      <c r="I2093" s="460" t="e">
        <v>#N/A</v>
      </c>
      <c r="J2093" s="460" t="e">
        <v>#N/A</v>
      </c>
      <c r="K2093" s="460" t="e">
        <v>#N/A</v>
      </c>
      <c r="L2093" s="459" t="e">
        <v>#N/A</v>
      </c>
      <c r="O2093" t="e">
        <v>#N/A</v>
      </c>
      <c r="P2093" t="e">
        <v>#N/A</v>
      </c>
    </row>
    <row r="2094" spans="1:16" ht="14.4" x14ac:dyDescent="0.3">
      <c r="A2094">
        <v>461982</v>
      </c>
      <c r="B2094" t="str">
        <f t="shared" si="64"/>
        <v>SEVROLL 03578-M Fala rączka 10mm 2,70m jasny brąz new</v>
      </c>
      <c r="C2094" s="185" t="e">
        <f t="shared" si="65"/>
        <v>#N/A</v>
      </c>
      <c r="D2094" s="407" t="s">
        <v>1649</v>
      </c>
      <c r="E2094" s="407" t="s">
        <v>2076</v>
      </c>
      <c r="F2094" s="407" t="s">
        <v>2266</v>
      </c>
      <c r="G2094" s="407" t="s">
        <v>6103</v>
      </c>
      <c r="H2094" s="460" t="e">
        <v>#N/A</v>
      </c>
      <c r="I2094" s="460" t="e">
        <v>#N/A</v>
      </c>
      <c r="J2094" s="460" t="e">
        <v>#N/A</v>
      </c>
      <c r="K2094" s="460" t="e">
        <v>#N/A</v>
      </c>
      <c r="L2094" s="459" t="e">
        <v>#N/A</v>
      </c>
      <c r="O2094" t="e">
        <v>#N/A</v>
      </c>
      <c r="P2094" t="e">
        <v>#N/A</v>
      </c>
    </row>
    <row r="2095" spans="1:16" ht="14.4" x14ac:dyDescent="0.3">
      <c r="A2095">
        <v>461983</v>
      </c>
      <c r="B2095" t="str">
        <f t="shared" si="64"/>
        <v>SEVROLL 03579-M Polo rączka 10mm 2,70m jasny brąz new</v>
      </c>
      <c r="C2095" s="185" t="e">
        <f t="shared" si="65"/>
        <v>#N/A</v>
      </c>
      <c r="D2095" s="407" t="s">
        <v>1650</v>
      </c>
      <c r="E2095" s="407" t="s">
        <v>2077</v>
      </c>
      <c r="F2095" s="407" t="s">
        <v>2267</v>
      </c>
      <c r="G2095" s="407" t="s">
        <v>6104</v>
      </c>
      <c r="H2095" s="460" t="e">
        <v>#N/A</v>
      </c>
      <c r="I2095" s="460" t="e">
        <v>#N/A</v>
      </c>
      <c r="J2095" s="460" t="e">
        <v>#N/A</v>
      </c>
      <c r="K2095" s="460" t="e">
        <v>#N/A</v>
      </c>
      <c r="L2095" s="459" t="e">
        <v>#N/A</v>
      </c>
      <c r="O2095" t="e">
        <v>#N/A</v>
      </c>
      <c r="P2095" t="e">
        <v>#N/A</v>
      </c>
    </row>
    <row r="2096" spans="1:16" ht="14.4" x14ac:dyDescent="0.3">
      <c r="A2096">
        <v>461984</v>
      </c>
      <c r="B2096" t="str">
        <f t="shared" si="64"/>
        <v>SEVROLL Simple tor górny 6 m jasny brąz new</v>
      </c>
      <c r="C2096" s="185" t="e">
        <f t="shared" si="65"/>
        <v>#N/A</v>
      </c>
      <c r="D2096" s="407" t="s">
        <v>1651</v>
      </c>
      <c r="E2096" s="407" t="s">
        <v>2078</v>
      </c>
      <c r="F2096" s="407" t="s">
        <v>2268</v>
      </c>
      <c r="G2096" s="407" t="s">
        <v>2561</v>
      </c>
      <c r="H2096" s="460" t="e">
        <v>#N/A</v>
      </c>
      <c r="I2096" s="460" t="e">
        <v>#N/A</v>
      </c>
      <c r="J2096" s="460" t="e">
        <v>#N/A</v>
      </c>
      <c r="K2096" s="460" t="e">
        <v>#N/A</v>
      </c>
      <c r="L2096" s="459" t="e">
        <v>#N/A</v>
      </c>
      <c r="O2096" t="e">
        <v>#N/A</v>
      </c>
      <c r="P2096" t="e">
        <v>#N/A</v>
      </c>
    </row>
    <row r="2097" spans="1:16" ht="14.4" x14ac:dyDescent="0.3">
      <c r="A2097">
        <v>461985</v>
      </c>
      <c r="B2097" t="str">
        <f t="shared" si="64"/>
        <v>SEVROLL Simple tor dolny 6 m jasny brąz new</v>
      </c>
      <c r="C2097" s="185" t="e">
        <f t="shared" si="65"/>
        <v>#N/A</v>
      </c>
      <c r="D2097" s="407" t="s">
        <v>1652</v>
      </c>
      <c r="E2097" s="407" t="s">
        <v>2079</v>
      </c>
      <c r="F2097" s="407" t="s">
        <v>2269</v>
      </c>
      <c r="G2097" s="407" t="s">
        <v>2562</v>
      </c>
      <c r="H2097" s="460" t="e">
        <v>#N/A</v>
      </c>
      <c r="I2097" s="460" t="e">
        <v>#N/A</v>
      </c>
      <c r="J2097" s="460" t="e">
        <v>#N/A</v>
      </c>
      <c r="K2097" s="460" t="e">
        <v>#N/A</v>
      </c>
      <c r="L2097" s="459" t="e">
        <v>#N/A</v>
      </c>
      <c r="O2097" t="e">
        <v>#N/A</v>
      </c>
      <c r="P2097" t="e">
        <v>#N/A</v>
      </c>
    </row>
    <row r="2098" spans="1:16" ht="14.4" x14ac:dyDescent="0.3">
      <c r="A2098">
        <v>461986</v>
      </c>
      <c r="B2098" t="str">
        <f t="shared" si="64"/>
        <v>SEVROLL listwa łącząca Simple/Blue H28 3m (do płyty lam. 18mm) jasny brąz new</v>
      </c>
      <c r="C2098" s="185" t="e">
        <f t="shared" si="65"/>
        <v>#N/A</v>
      </c>
      <c r="D2098" s="407" t="s">
        <v>1653</v>
      </c>
      <c r="E2098" s="407" t="s">
        <v>2080</v>
      </c>
      <c r="F2098" s="407" t="s">
        <v>6105</v>
      </c>
      <c r="G2098" s="407" t="s">
        <v>2563</v>
      </c>
      <c r="H2098" s="460" t="e">
        <v>#N/A</v>
      </c>
      <c r="I2098" s="460" t="e">
        <v>#N/A</v>
      </c>
      <c r="J2098" s="460" t="e">
        <v>#N/A</v>
      </c>
      <c r="K2098" s="460" t="e">
        <v>#N/A</v>
      </c>
      <c r="L2098" s="459" t="e">
        <v>#N/A</v>
      </c>
      <c r="O2098" t="e">
        <v>#N/A</v>
      </c>
      <c r="P2098" t="e">
        <v>#N/A</v>
      </c>
    </row>
    <row r="2099" spans="1:16" ht="14.4" x14ac:dyDescent="0.3">
      <c r="A2099">
        <v>461987</v>
      </c>
      <c r="B2099" t="str">
        <f t="shared" si="64"/>
        <v>SEVROLL maskownica dolna Simple/Blue 3m (do płyty lam. 10mm) jasny brąz new</v>
      </c>
      <c r="C2099" s="185" t="e">
        <f t="shared" si="65"/>
        <v>#N/A</v>
      </c>
      <c r="D2099" s="407" t="s">
        <v>1654</v>
      </c>
      <c r="E2099" s="407" t="s">
        <v>2081</v>
      </c>
      <c r="F2099" s="407" t="s">
        <v>2270</v>
      </c>
      <c r="G2099" s="407" t="s">
        <v>2564</v>
      </c>
      <c r="H2099" s="460" t="e">
        <v>#N/A</v>
      </c>
      <c r="I2099" s="460" t="e">
        <v>#N/A</v>
      </c>
      <c r="J2099" s="460" t="e">
        <v>#N/A</v>
      </c>
      <c r="K2099" s="460" t="e">
        <v>#N/A</v>
      </c>
      <c r="L2099" s="459" t="e">
        <v>#N/A</v>
      </c>
      <c r="O2099" t="e">
        <v>#N/A</v>
      </c>
      <c r="P2099" t="e">
        <v>#N/A</v>
      </c>
    </row>
    <row r="2100" spans="1:16" ht="14.4" x14ac:dyDescent="0.3">
      <c r="A2100">
        <v>461988</v>
      </c>
      <c r="B2100" t="str">
        <f t="shared" si="64"/>
        <v>SEVROLL Simple tor górny 1,5 m jasny brąz new</v>
      </c>
      <c r="C2100" s="185" t="e">
        <f t="shared" si="65"/>
        <v>#N/A</v>
      </c>
      <c r="D2100" s="407" t="s">
        <v>1655</v>
      </c>
      <c r="E2100" s="407" t="s">
        <v>2082</v>
      </c>
      <c r="F2100" s="407" t="s">
        <v>2271</v>
      </c>
      <c r="G2100" s="407" t="s">
        <v>2565</v>
      </c>
      <c r="H2100" s="460" t="e">
        <v>#N/A</v>
      </c>
      <c r="I2100" s="460" t="e">
        <v>#N/A</v>
      </c>
      <c r="J2100" s="460" t="e">
        <v>#N/A</v>
      </c>
      <c r="K2100" s="460" t="e">
        <v>#N/A</v>
      </c>
      <c r="L2100" s="459" t="e">
        <v>#N/A</v>
      </c>
      <c r="O2100" t="e">
        <v>#N/A</v>
      </c>
      <c r="P2100" t="e">
        <v>#N/A</v>
      </c>
    </row>
    <row r="2101" spans="1:16" ht="14.4" x14ac:dyDescent="0.3">
      <c r="A2101">
        <v>461989</v>
      </c>
      <c r="B2101" t="str">
        <f t="shared" si="64"/>
        <v>SEVROLL Simple tor górny 2 m jasny brąz new</v>
      </c>
      <c r="C2101" s="185" t="e">
        <f t="shared" si="65"/>
        <v>#N/A</v>
      </c>
      <c r="D2101" s="407" t="s">
        <v>1656</v>
      </c>
      <c r="E2101" s="407" t="s">
        <v>2083</v>
      </c>
      <c r="F2101" s="407" t="s">
        <v>2272</v>
      </c>
      <c r="G2101" s="407" t="s">
        <v>2566</v>
      </c>
      <c r="H2101" s="460" t="e">
        <v>#N/A</v>
      </c>
      <c r="I2101" s="460" t="e">
        <v>#N/A</v>
      </c>
      <c r="J2101" s="460" t="e">
        <v>#N/A</v>
      </c>
      <c r="K2101" s="460" t="e">
        <v>#N/A</v>
      </c>
      <c r="L2101" s="459" t="e">
        <v>#N/A</v>
      </c>
      <c r="O2101" t="e">
        <v>#N/A</v>
      </c>
      <c r="P2101" t="e">
        <v>#N/A</v>
      </c>
    </row>
    <row r="2102" spans="1:16" ht="14.4" x14ac:dyDescent="0.3">
      <c r="A2102">
        <v>461990</v>
      </c>
      <c r="B2102" t="str">
        <f t="shared" si="64"/>
        <v>SEVROLL Simple tor górny 2,5 m jasny brąz new</v>
      </c>
      <c r="C2102" s="185" t="e">
        <f t="shared" si="65"/>
        <v>#N/A</v>
      </c>
      <c r="D2102" s="407" t="s">
        <v>1657</v>
      </c>
      <c r="E2102" s="407" t="s">
        <v>2084</v>
      </c>
      <c r="F2102" s="407" t="s">
        <v>2273</v>
      </c>
      <c r="G2102" s="407" t="s">
        <v>2567</v>
      </c>
      <c r="H2102" s="460" t="e">
        <v>#N/A</v>
      </c>
      <c r="I2102" s="460" t="e">
        <v>#N/A</v>
      </c>
      <c r="J2102" s="460" t="e">
        <v>#N/A</v>
      </c>
      <c r="K2102" s="460" t="e">
        <v>#N/A</v>
      </c>
      <c r="L2102" s="459" t="e">
        <v>#N/A</v>
      </c>
      <c r="O2102" t="e">
        <v>#N/A</v>
      </c>
      <c r="P2102" t="e">
        <v>#N/A</v>
      </c>
    </row>
    <row r="2103" spans="1:16" ht="14.4" x14ac:dyDescent="0.3">
      <c r="A2103">
        <v>461991</v>
      </c>
      <c r="B2103" t="str">
        <f t="shared" si="64"/>
        <v>SEVROLL Simple tor górny 3 m jasny brąz new</v>
      </c>
      <c r="C2103" s="185" t="e">
        <f t="shared" si="65"/>
        <v>#N/A</v>
      </c>
      <c r="D2103" s="407" t="s">
        <v>1658</v>
      </c>
      <c r="E2103" s="407" t="s">
        <v>2085</v>
      </c>
      <c r="F2103" s="407" t="s">
        <v>2274</v>
      </c>
      <c r="G2103" s="407" t="s">
        <v>2568</v>
      </c>
      <c r="H2103" s="460" t="e">
        <v>#N/A</v>
      </c>
      <c r="I2103" s="460" t="e">
        <v>#N/A</v>
      </c>
      <c r="J2103" s="460" t="e">
        <v>#N/A</v>
      </c>
      <c r="K2103" s="460" t="e">
        <v>#N/A</v>
      </c>
      <c r="L2103" s="459" t="e">
        <v>#N/A</v>
      </c>
      <c r="O2103" t="e">
        <v>#N/A</v>
      </c>
      <c r="P2103" t="e">
        <v>#N/A</v>
      </c>
    </row>
    <row r="2104" spans="1:16" ht="14.4" x14ac:dyDescent="0.3">
      <c r="A2104">
        <v>461992</v>
      </c>
      <c r="B2104" t="str">
        <f t="shared" si="64"/>
        <v>SEVROLL Simple tor górny 4 m jasny brąz new</v>
      </c>
      <c r="C2104" s="185" t="e">
        <f t="shared" si="65"/>
        <v>#N/A</v>
      </c>
      <c r="D2104" s="407" t="s">
        <v>1659</v>
      </c>
      <c r="E2104" s="407" t="s">
        <v>2086</v>
      </c>
      <c r="F2104" s="407" t="s">
        <v>2275</v>
      </c>
      <c r="G2104" s="407" t="s">
        <v>2569</v>
      </c>
      <c r="H2104" s="460" t="e">
        <v>#N/A</v>
      </c>
      <c r="I2104" s="460" t="e">
        <v>#N/A</v>
      </c>
      <c r="J2104" s="460" t="e">
        <v>#N/A</v>
      </c>
      <c r="K2104" s="460" t="e">
        <v>#N/A</v>
      </c>
      <c r="L2104" s="459" t="e">
        <v>#N/A</v>
      </c>
      <c r="O2104" t="e">
        <v>#N/A</v>
      </c>
      <c r="P2104" t="e">
        <v>#N/A</v>
      </c>
    </row>
    <row r="2105" spans="1:16" ht="14.4" x14ac:dyDescent="0.3">
      <c r="A2105">
        <v>461993</v>
      </c>
      <c r="B2105" t="str">
        <f t="shared" si="64"/>
        <v>SEVROLL Simple tor dolny 1,5 m jasny brąz new</v>
      </c>
      <c r="C2105" s="185" t="e">
        <f t="shared" si="65"/>
        <v>#N/A</v>
      </c>
      <c r="D2105" s="407" t="s">
        <v>1660</v>
      </c>
      <c r="E2105" s="407" t="s">
        <v>2087</v>
      </c>
      <c r="F2105" s="407" t="s">
        <v>2276</v>
      </c>
      <c r="G2105" s="407" t="s">
        <v>2570</v>
      </c>
      <c r="H2105" s="460" t="e">
        <v>#N/A</v>
      </c>
      <c r="I2105" s="460" t="e">
        <v>#N/A</v>
      </c>
      <c r="J2105" s="460" t="e">
        <v>#N/A</v>
      </c>
      <c r="K2105" s="460" t="e">
        <v>#N/A</v>
      </c>
      <c r="L2105" s="459" t="e">
        <v>#N/A</v>
      </c>
      <c r="O2105" t="e">
        <v>#N/A</v>
      </c>
      <c r="P2105" t="e">
        <v>#N/A</v>
      </c>
    </row>
    <row r="2106" spans="1:16" ht="14.4" x14ac:dyDescent="0.3">
      <c r="A2106">
        <v>461994</v>
      </c>
      <c r="B2106" t="str">
        <f t="shared" si="64"/>
        <v>SEVROLL Simple tor dolny 2 m jasny brąz new</v>
      </c>
      <c r="C2106" s="185" t="e">
        <f t="shared" si="65"/>
        <v>#N/A</v>
      </c>
      <c r="D2106" s="407" t="s">
        <v>1661</v>
      </c>
      <c r="E2106" s="407" t="s">
        <v>2088</v>
      </c>
      <c r="F2106" s="407" t="s">
        <v>2277</v>
      </c>
      <c r="G2106" s="407" t="s">
        <v>2571</v>
      </c>
      <c r="H2106" s="460" t="e">
        <v>#N/A</v>
      </c>
      <c r="I2106" s="460" t="e">
        <v>#N/A</v>
      </c>
      <c r="J2106" s="460" t="e">
        <v>#N/A</v>
      </c>
      <c r="K2106" s="460" t="e">
        <v>#N/A</v>
      </c>
      <c r="L2106" s="459" t="e">
        <v>#N/A</v>
      </c>
      <c r="O2106" t="e">
        <v>#N/A</v>
      </c>
      <c r="P2106" t="e">
        <v>#N/A</v>
      </c>
    </row>
    <row r="2107" spans="1:16" ht="14.4" x14ac:dyDescent="0.3">
      <c r="A2107">
        <v>461995</v>
      </c>
      <c r="B2107" t="str">
        <f t="shared" si="64"/>
        <v>SEVROLL Simple tor dolny 2,5 m jasny brąz new</v>
      </c>
      <c r="C2107" s="185" t="e">
        <f t="shared" si="65"/>
        <v>#N/A</v>
      </c>
      <c r="D2107" s="407" t="s">
        <v>1662</v>
      </c>
      <c r="E2107" s="407" t="s">
        <v>2089</v>
      </c>
      <c r="F2107" s="407" t="s">
        <v>2278</v>
      </c>
      <c r="G2107" s="407" t="s">
        <v>2572</v>
      </c>
      <c r="H2107" s="460" t="e">
        <v>#N/A</v>
      </c>
      <c r="I2107" s="460" t="e">
        <v>#N/A</v>
      </c>
      <c r="J2107" s="460" t="e">
        <v>#N/A</v>
      </c>
      <c r="K2107" s="460" t="e">
        <v>#N/A</v>
      </c>
      <c r="L2107" s="459" t="e">
        <v>#N/A</v>
      </c>
      <c r="O2107" t="e">
        <v>#N/A</v>
      </c>
      <c r="P2107" t="e">
        <v>#N/A</v>
      </c>
    </row>
    <row r="2108" spans="1:16" ht="14.4" x14ac:dyDescent="0.3">
      <c r="A2108">
        <v>461996</v>
      </c>
      <c r="B2108" t="str">
        <f t="shared" si="64"/>
        <v>SEVROLL Simple tor dolny 3 m jasny brąz new</v>
      </c>
      <c r="C2108" s="185" t="e">
        <f t="shared" si="65"/>
        <v>#N/A</v>
      </c>
      <c r="D2108" s="407" t="s">
        <v>1663</v>
      </c>
      <c r="E2108" s="407" t="s">
        <v>2090</v>
      </c>
      <c r="F2108" s="407" t="s">
        <v>2279</v>
      </c>
      <c r="G2108" s="407" t="s">
        <v>2573</v>
      </c>
      <c r="H2108" s="460" t="e">
        <v>#N/A</v>
      </c>
      <c r="I2108" s="460" t="e">
        <v>#N/A</v>
      </c>
      <c r="J2108" s="460" t="e">
        <v>#N/A</v>
      </c>
      <c r="K2108" s="460" t="e">
        <v>#N/A</v>
      </c>
      <c r="L2108" s="459" t="e">
        <v>#N/A</v>
      </c>
      <c r="O2108" t="e">
        <v>#N/A</v>
      </c>
      <c r="P2108" t="e">
        <v>#N/A</v>
      </c>
    </row>
    <row r="2109" spans="1:16" ht="14.4" x14ac:dyDescent="0.3">
      <c r="A2109">
        <v>461997</v>
      </c>
      <c r="B2109" t="str">
        <f t="shared" si="64"/>
        <v>SEVROLL Simple tor dolny 4 m jasny brąz new</v>
      </c>
      <c r="C2109" s="185" t="e">
        <f t="shared" si="65"/>
        <v>#N/A</v>
      </c>
      <c r="D2109" s="407" t="s">
        <v>1664</v>
      </c>
      <c r="E2109" s="407" t="s">
        <v>2091</v>
      </c>
      <c r="F2109" s="407" t="s">
        <v>2280</v>
      </c>
      <c r="G2109" s="407" t="s">
        <v>2574</v>
      </c>
      <c r="H2109" s="460" t="e">
        <v>#N/A</v>
      </c>
      <c r="I2109" s="460" t="e">
        <v>#N/A</v>
      </c>
      <c r="J2109" s="460" t="e">
        <v>#N/A</v>
      </c>
      <c r="K2109" s="460" t="e">
        <v>#N/A</v>
      </c>
      <c r="L2109" s="459" t="e">
        <v>#N/A</v>
      </c>
      <c r="O2109" t="e">
        <v>#N/A</v>
      </c>
      <c r="P2109" t="e">
        <v>#N/A</v>
      </c>
    </row>
    <row r="2110" spans="1:16" ht="14.4" x14ac:dyDescent="0.3">
      <c r="A2110">
        <v>461998</v>
      </c>
      <c r="B2110" t="str">
        <f t="shared" si="64"/>
        <v>SEVROLL 04456-M tor dolny Simple/Blue 1,5m (do płyty lam. 18mm) jasny brąz new</v>
      </c>
      <c r="C2110" s="185" t="e">
        <f t="shared" si="65"/>
        <v>#N/A</v>
      </c>
      <c r="D2110" s="407" t="s">
        <v>1665</v>
      </c>
      <c r="E2110" s="407" t="s">
        <v>2092</v>
      </c>
      <c r="F2110" s="407" t="s">
        <v>6106</v>
      </c>
      <c r="G2110" s="407" t="s">
        <v>6107</v>
      </c>
      <c r="H2110" s="460" t="e">
        <v>#N/A</v>
      </c>
      <c r="I2110" s="460" t="e">
        <v>#N/A</v>
      </c>
      <c r="J2110" s="460" t="e">
        <v>#N/A</v>
      </c>
      <c r="K2110" s="460" t="e">
        <v>#N/A</v>
      </c>
      <c r="L2110" s="459" t="e">
        <v>#N/A</v>
      </c>
      <c r="O2110" t="e">
        <v>#N/A</v>
      </c>
      <c r="P2110" t="e">
        <v>#N/A</v>
      </c>
    </row>
    <row r="2111" spans="1:16" ht="14.4" x14ac:dyDescent="0.3">
      <c r="A2111">
        <v>461999</v>
      </c>
      <c r="B2111" t="str">
        <f t="shared" si="64"/>
        <v>SEVROLL 04457-M tor górny Simple/Blue 2m (do płyty lam. 18mm) jasny brąz new</v>
      </c>
      <c r="C2111" s="185" t="e">
        <f t="shared" si="65"/>
        <v>#N/A</v>
      </c>
      <c r="D2111" s="407" t="s">
        <v>1666</v>
      </c>
      <c r="E2111" s="407" t="s">
        <v>2093</v>
      </c>
      <c r="F2111" s="407" t="s">
        <v>6108</v>
      </c>
      <c r="G2111" s="407" t="s">
        <v>6109</v>
      </c>
      <c r="H2111" s="460" t="e">
        <v>#N/A</v>
      </c>
      <c r="I2111" s="460" t="e">
        <v>#N/A</v>
      </c>
      <c r="J2111" s="460" t="e">
        <v>#N/A</v>
      </c>
      <c r="K2111" s="460" t="e">
        <v>#N/A</v>
      </c>
      <c r="L2111" s="459" t="e">
        <v>#N/A</v>
      </c>
      <c r="O2111" t="e">
        <v>#N/A</v>
      </c>
      <c r="P2111" t="e">
        <v>#N/A</v>
      </c>
    </row>
    <row r="2112" spans="1:16" ht="14.4" x14ac:dyDescent="0.3">
      <c r="A2112">
        <v>462000</v>
      </c>
      <c r="B2112" t="str">
        <f t="shared" si="64"/>
        <v>SEVROLL tor dolny Simple/Blue 2,5 m (do płyty lam. 18 mm) jasny brąz new</v>
      </c>
      <c r="C2112" s="185" t="e">
        <f t="shared" si="65"/>
        <v>#N/A</v>
      </c>
      <c r="D2112" s="407" t="s">
        <v>1667</v>
      </c>
      <c r="E2112" s="407" t="s">
        <v>2094</v>
      </c>
      <c r="F2112" s="407" t="s">
        <v>2281</v>
      </c>
      <c r="G2112" s="407" t="s">
        <v>2575</v>
      </c>
      <c r="H2112" s="460" t="e">
        <v>#N/A</v>
      </c>
      <c r="I2112" s="460" t="e">
        <v>#N/A</v>
      </c>
      <c r="J2112" s="460" t="e">
        <v>#N/A</v>
      </c>
      <c r="K2112" s="460" t="e">
        <v>#N/A</v>
      </c>
      <c r="L2112" s="459" t="e">
        <v>#N/A</v>
      </c>
      <c r="O2112" t="e">
        <v>#N/A</v>
      </c>
      <c r="P2112" t="e">
        <v>#N/A</v>
      </c>
    </row>
    <row r="2113" spans="1:16" ht="14.4" x14ac:dyDescent="0.3">
      <c r="A2113">
        <v>462001</v>
      </c>
      <c r="B2113" t="str">
        <f t="shared" si="64"/>
        <v>SEVROLL maskownica dolna Simple/Blue 1,5m (do płyty lam. 18mm) jasny brąz new</v>
      </c>
      <c r="C2113" s="185" t="e">
        <f t="shared" si="65"/>
        <v>#N/A</v>
      </c>
      <c r="D2113" s="407" t="s">
        <v>1668</v>
      </c>
      <c r="E2113" s="407" t="s">
        <v>2095</v>
      </c>
      <c r="F2113" s="407" t="s">
        <v>6110</v>
      </c>
      <c r="G2113" s="407" t="s">
        <v>2576</v>
      </c>
      <c r="H2113" s="460" t="e">
        <v>#N/A</v>
      </c>
      <c r="I2113" s="460" t="e">
        <v>#N/A</v>
      </c>
      <c r="J2113" s="460" t="e">
        <v>#N/A</v>
      </c>
      <c r="K2113" s="460" t="e">
        <v>#N/A</v>
      </c>
      <c r="L2113" s="459" t="e">
        <v>#N/A</v>
      </c>
      <c r="O2113" t="e">
        <v>#N/A</v>
      </c>
      <c r="P2113" t="e">
        <v>#N/A</v>
      </c>
    </row>
    <row r="2114" spans="1:16" ht="14.4" x14ac:dyDescent="0.3">
      <c r="A2114">
        <v>462002</v>
      </c>
      <c r="B2114" t="str">
        <f t="shared" si="64"/>
        <v>SEVROLL tor górny Simple/Blue 1,5 m (do płyty lam. 10 mm) jasny brąz new</v>
      </c>
      <c r="C2114" s="185" t="e">
        <f t="shared" si="65"/>
        <v>#N/A</v>
      </c>
      <c r="D2114" s="407" t="s">
        <v>1669</v>
      </c>
      <c r="E2114" s="407" t="s">
        <v>2096</v>
      </c>
      <c r="F2114" s="407" t="s">
        <v>2282</v>
      </c>
      <c r="G2114" s="407" t="s">
        <v>2577</v>
      </c>
      <c r="H2114" s="460" t="e">
        <v>#N/A</v>
      </c>
      <c r="I2114" s="460" t="e">
        <v>#N/A</v>
      </c>
      <c r="J2114" s="460" t="e">
        <v>#N/A</v>
      </c>
      <c r="K2114" s="460" t="e">
        <v>#N/A</v>
      </c>
      <c r="L2114" s="459" t="e">
        <v>#N/A</v>
      </c>
      <c r="O2114" t="e">
        <v>#N/A</v>
      </c>
      <c r="P2114" t="e">
        <v>#N/A</v>
      </c>
    </row>
    <row r="2115" spans="1:16" ht="14.4" x14ac:dyDescent="0.3">
      <c r="A2115">
        <v>462003</v>
      </c>
      <c r="B2115" t="str">
        <f t="shared" si="64"/>
        <v>SEVROLL tor górny Simple/Blue 2 m (do płyty lam. 10 mm) jasny brąz new</v>
      </c>
      <c r="C2115" s="185" t="e">
        <f t="shared" si="65"/>
        <v>#N/A</v>
      </c>
      <c r="D2115" s="407" t="s">
        <v>1670</v>
      </c>
      <c r="E2115" s="407" t="s">
        <v>2097</v>
      </c>
      <c r="F2115" s="407" t="s">
        <v>2283</v>
      </c>
      <c r="G2115" s="407" t="s">
        <v>2578</v>
      </c>
      <c r="H2115" s="460" t="e">
        <v>#N/A</v>
      </c>
      <c r="I2115" s="460" t="e">
        <v>#N/A</v>
      </c>
      <c r="J2115" s="460" t="e">
        <v>#N/A</v>
      </c>
      <c r="K2115" s="460" t="e">
        <v>#N/A</v>
      </c>
      <c r="L2115" s="459" t="e">
        <v>#N/A</v>
      </c>
      <c r="O2115" t="e">
        <v>#N/A</v>
      </c>
      <c r="P2115" t="e">
        <v>#N/A</v>
      </c>
    </row>
    <row r="2116" spans="1:16" ht="14.4" x14ac:dyDescent="0.3">
      <c r="A2116">
        <v>462004</v>
      </c>
      <c r="B2116" t="str">
        <f t="shared" ref="B2116:B2179" si="66">IF($A$2=1,D2116,IF($A$2=2,F2116,IF($A$2=3,G2116,IF($A$2=4,E2116,IF($A$2&gt;4,P2116,"zadat jazyk")))))</f>
        <v>SEVROLL tor dolny Simple/Blue 2,5 m (do płyty lam. 10 mm) jasny brąz new</v>
      </c>
      <c r="C2116" s="185" t="e">
        <f t="shared" ref="C2116:C2179" si="67">IF($A$2=1,H2116,IF($A$2=2,I2116,IF($A$2=3,J2116,IF($A$2=4,K2116,IF($A$2&gt;4,O2116,"zadat jazyk")))))</f>
        <v>#N/A</v>
      </c>
      <c r="D2116" s="407" t="s">
        <v>1671</v>
      </c>
      <c r="E2116" s="407" t="s">
        <v>2098</v>
      </c>
      <c r="F2116" s="407" t="s">
        <v>2284</v>
      </c>
      <c r="G2116" s="407" t="s">
        <v>2579</v>
      </c>
      <c r="H2116" s="460" t="e">
        <v>#N/A</v>
      </c>
      <c r="I2116" s="460" t="e">
        <v>#N/A</v>
      </c>
      <c r="J2116" s="460" t="e">
        <v>#N/A</v>
      </c>
      <c r="K2116" s="460" t="e">
        <v>#N/A</v>
      </c>
      <c r="L2116" s="459" t="e">
        <v>#N/A</v>
      </c>
      <c r="O2116" t="e">
        <v>#N/A</v>
      </c>
      <c r="P2116" t="e">
        <v>#N/A</v>
      </c>
    </row>
    <row r="2117" spans="1:16" ht="14.4" x14ac:dyDescent="0.3">
      <c r="A2117">
        <v>462005</v>
      </c>
      <c r="B2117" t="str">
        <f t="shared" si="66"/>
        <v>SEVROLL maskownica dolna Simple/Blue 1,5 m (do płyty lam. 10 mm) jasny brąz new</v>
      </c>
      <c r="C2117" s="185" t="e">
        <f t="shared" si="67"/>
        <v>#N/A</v>
      </c>
      <c r="D2117" s="407" t="s">
        <v>1672</v>
      </c>
      <c r="E2117" s="407" t="s">
        <v>2099</v>
      </c>
      <c r="F2117" s="407" t="s">
        <v>2285</v>
      </c>
      <c r="G2117" s="407" t="s">
        <v>2580</v>
      </c>
      <c r="H2117" s="460" t="e">
        <v>#N/A</v>
      </c>
      <c r="I2117" s="460" t="e">
        <v>#N/A</v>
      </c>
      <c r="J2117" s="460" t="e">
        <v>#N/A</v>
      </c>
      <c r="K2117" s="460" t="e">
        <v>#N/A</v>
      </c>
      <c r="L2117" s="459" t="e">
        <v>#N/A</v>
      </c>
      <c r="O2117" t="e">
        <v>#N/A</v>
      </c>
      <c r="P2117" t="e">
        <v>#N/A</v>
      </c>
    </row>
    <row r="2118" spans="1:16" ht="14.4" x14ac:dyDescent="0.3">
      <c r="A2118">
        <v>462006</v>
      </c>
      <c r="B2118" t="str">
        <f t="shared" si="66"/>
        <v>SEVROLL maskownica dolna Simple/Blue 2 m (do płyty lam. 10 mm) jasny brąz new</v>
      </c>
      <c r="C2118" s="185" t="e">
        <f t="shared" si="67"/>
        <v>#N/A</v>
      </c>
      <c r="D2118" s="407" t="s">
        <v>1673</v>
      </c>
      <c r="E2118" s="407" t="s">
        <v>2100</v>
      </c>
      <c r="F2118" s="407" t="s">
        <v>2286</v>
      </c>
      <c r="G2118" s="407" t="s">
        <v>2581</v>
      </c>
      <c r="H2118" s="460" t="e">
        <v>#N/A</v>
      </c>
      <c r="I2118" s="460" t="e">
        <v>#N/A</v>
      </c>
      <c r="J2118" s="460" t="e">
        <v>#N/A</v>
      </c>
      <c r="K2118" s="460" t="e">
        <v>#N/A</v>
      </c>
      <c r="L2118" s="459" t="e">
        <v>#N/A</v>
      </c>
      <c r="O2118" t="e">
        <v>#N/A</v>
      </c>
      <c r="P2118" t="e">
        <v>#N/A</v>
      </c>
    </row>
    <row r="2119" spans="1:16" ht="14.4" x14ac:dyDescent="0.3">
      <c r="A2119">
        <v>462007</v>
      </c>
      <c r="B2119" t="str">
        <f t="shared" si="66"/>
        <v>SEVROLL maskownica dolna Simple/Blue 2,5 m (do płyty lam. 10 mm) jasny brąz new</v>
      </c>
      <c r="C2119" s="185" t="e">
        <f t="shared" si="67"/>
        <v>#N/A</v>
      </c>
      <c r="D2119" s="407" t="s">
        <v>1674</v>
      </c>
      <c r="E2119" s="407" t="s">
        <v>2101</v>
      </c>
      <c r="F2119" s="407" t="s">
        <v>2287</v>
      </c>
      <c r="G2119" s="407" t="s">
        <v>2582</v>
      </c>
      <c r="H2119" s="460" t="e">
        <v>#N/A</v>
      </c>
      <c r="I2119" s="460" t="e">
        <v>#N/A</v>
      </c>
      <c r="J2119" s="460" t="e">
        <v>#N/A</v>
      </c>
      <c r="K2119" s="460" t="e">
        <v>#N/A</v>
      </c>
      <c r="L2119" s="459" t="e">
        <v>#N/A</v>
      </c>
      <c r="O2119" t="e">
        <v>#N/A</v>
      </c>
      <c r="P2119" t="e">
        <v>#N/A</v>
      </c>
    </row>
    <row r="2120" spans="1:16" ht="14.4" x14ac:dyDescent="0.3">
      <c r="A2120">
        <v>462008</v>
      </c>
      <c r="B2120" t="str">
        <f t="shared" si="66"/>
        <v>SEVROLL listwa łącząca Simple/Blue H21 3m (do płyty lam. 18mm) jasny brąz new</v>
      </c>
      <c r="C2120" s="185" t="e">
        <f t="shared" si="67"/>
        <v>#N/A</v>
      </c>
      <c r="D2120" s="407" t="s">
        <v>1675</v>
      </c>
      <c r="E2120" s="407" t="s">
        <v>2102</v>
      </c>
      <c r="F2120" s="407" t="s">
        <v>6111</v>
      </c>
      <c r="G2120" s="407" t="s">
        <v>2583</v>
      </c>
      <c r="H2120" s="460" t="e">
        <v>#N/A</v>
      </c>
      <c r="I2120" s="460" t="e">
        <v>#N/A</v>
      </c>
      <c r="J2120" s="460" t="e">
        <v>#N/A</v>
      </c>
      <c r="K2120" s="460" t="e">
        <v>#N/A</v>
      </c>
      <c r="L2120" s="459" t="e">
        <v>#N/A</v>
      </c>
      <c r="O2120" t="e">
        <v>#N/A</v>
      </c>
      <c r="P2120" t="e">
        <v>#N/A</v>
      </c>
    </row>
    <row r="2121" spans="1:16" ht="14.4" x14ac:dyDescent="0.3">
      <c r="A2121">
        <v>462009</v>
      </c>
      <c r="B2121" t="str">
        <f t="shared" si="66"/>
        <v>SEV-Łącznik Simple/Blue H25 3 m (16 mm) jasny brąz new</v>
      </c>
      <c r="C2121" s="185" t="e">
        <f t="shared" si="67"/>
        <v>#N/A</v>
      </c>
      <c r="D2121" s="407" t="s">
        <v>1676</v>
      </c>
      <c r="E2121" s="407" t="s">
        <v>2103</v>
      </c>
      <c r="F2121" s="407" t="s">
        <v>2288</v>
      </c>
      <c r="G2121" s="407" t="s">
        <v>2584</v>
      </c>
      <c r="H2121" s="460" t="e">
        <v>#N/A</v>
      </c>
      <c r="I2121" s="460" t="e">
        <v>#N/A</v>
      </c>
      <c r="J2121" s="460" t="e">
        <v>#N/A</v>
      </c>
      <c r="K2121" s="460" t="e">
        <v>#N/A</v>
      </c>
      <c r="L2121" s="459" t="e">
        <v>#N/A</v>
      </c>
      <c r="O2121" t="e">
        <v>#N/A</v>
      </c>
      <c r="P2121" t="e">
        <v>#N/A</v>
      </c>
    </row>
    <row r="2122" spans="1:16" ht="14.4" x14ac:dyDescent="0.3">
      <c r="A2122">
        <v>462010</v>
      </c>
      <c r="B2122" t="str">
        <f t="shared" si="66"/>
        <v>SEVROLL Uno rączka 18mm 2,70m jasny brąz new</v>
      </c>
      <c r="C2122" s="185" t="e">
        <f t="shared" si="67"/>
        <v>#N/A</v>
      </c>
      <c r="D2122" s="407" t="s">
        <v>1677</v>
      </c>
      <c r="E2122" s="407" t="s">
        <v>2104</v>
      </c>
      <c r="F2122" s="407" t="s">
        <v>2289</v>
      </c>
      <c r="G2122" s="407" t="s">
        <v>2585</v>
      </c>
      <c r="H2122" s="460" t="e">
        <v>#N/A</v>
      </c>
      <c r="I2122" s="460" t="e">
        <v>#N/A</v>
      </c>
      <c r="J2122" s="460" t="e">
        <v>#N/A</v>
      </c>
      <c r="K2122" s="460" t="e">
        <v>#N/A</v>
      </c>
      <c r="L2122" s="459" t="e">
        <v>#N/A</v>
      </c>
      <c r="O2122" t="e">
        <v>#N/A</v>
      </c>
      <c r="P2122" t="e">
        <v>#N/A</v>
      </c>
    </row>
    <row r="2123" spans="1:16" ht="14.4" x14ac:dyDescent="0.3">
      <c r="A2123">
        <v>462011</v>
      </c>
      <c r="B2123" t="str">
        <f t="shared" si="66"/>
        <v>SEVROLL Maxim II zaślepka do toru 2,5m jasny brąz new</v>
      </c>
      <c r="C2123" s="185" t="e">
        <f t="shared" si="67"/>
        <v>#N/A</v>
      </c>
      <c r="D2123" s="407" t="s">
        <v>1678</v>
      </c>
      <c r="E2123" s="407" t="s">
        <v>2105</v>
      </c>
      <c r="F2123" s="407" t="s">
        <v>2290</v>
      </c>
      <c r="G2123" s="407" t="s">
        <v>2586</v>
      </c>
      <c r="H2123" s="460" t="e">
        <v>#N/A</v>
      </c>
      <c r="I2123" s="460" t="e">
        <v>#N/A</v>
      </c>
      <c r="J2123" s="460" t="e">
        <v>#N/A</v>
      </c>
      <c r="K2123" s="460" t="e">
        <v>#N/A</v>
      </c>
      <c r="L2123" s="459" t="e">
        <v>#N/A</v>
      </c>
      <c r="O2123" t="e">
        <v>#N/A</v>
      </c>
      <c r="P2123" t="e">
        <v>#N/A</v>
      </c>
    </row>
    <row r="2124" spans="1:16" ht="14.4" x14ac:dyDescent="0.3">
      <c r="A2124">
        <v>462012</v>
      </c>
      <c r="B2124" t="str">
        <f t="shared" si="66"/>
        <v>SEVROLL profil "U" do płyty lam. 36mm 3m jasny brąz new</v>
      </c>
      <c r="C2124" s="185" t="e">
        <f t="shared" si="67"/>
        <v>#N/A</v>
      </c>
      <c r="D2124" s="407" t="s">
        <v>1679</v>
      </c>
      <c r="E2124" s="407" t="s">
        <v>2106</v>
      </c>
      <c r="F2124" s="407" t="s">
        <v>2291</v>
      </c>
      <c r="G2124" s="407" t="s">
        <v>2587</v>
      </c>
      <c r="H2124" s="460" t="e">
        <v>#N/A</v>
      </c>
      <c r="I2124" s="460" t="e">
        <v>#N/A</v>
      </c>
      <c r="J2124" s="460" t="e">
        <v>#N/A</v>
      </c>
      <c r="K2124" s="460" t="e">
        <v>#N/A</v>
      </c>
      <c r="L2124" s="459" t="e">
        <v>#N/A</v>
      </c>
      <c r="O2124" t="e">
        <v>#N/A</v>
      </c>
      <c r="P2124" t="e">
        <v>#N/A</v>
      </c>
    </row>
    <row r="2125" spans="1:16" ht="14.4" x14ac:dyDescent="0.3">
      <c r="A2125">
        <v>462013</v>
      </c>
      <c r="B2125" t="str">
        <f t="shared" si="66"/>
        <v>SEVROLL profil "U" Mini do płyty lam. 18mm 3m jasny brąz new</v>
      </c>
      <c r="C2125" s="185" t="e">
        <f t="shared" si="67"/>
        <v>#N/A</v>
      </c>
      <c r="D2125" s="407" t="s">
        <v>1680</v>
      </c>
      <c r="E2125" s="407" t="s">
        <v>2107</v>
      </c>
      <c r="F2125" s="407" t="s">
        <v>2292</v>
      </c>
      <c r="G2125" s="407" t="s">
        <v>2588</v>
      </c>
      <c r="H2125" s="460" t="e">
        <v>#N/A</v>
      </c>
      <c r="I2125" s="460" t="e">
        <v>#N/A</v>
      </c>
      <c r="J2125" s="460" t="e">
        <v>#N/A</v>
      </c>
      <c r="K2125" s="460" t="e">
        <v>#N/A</v>
      </c>
      <c r="L2125" s="459" t="e">
        <v>#N/A</v>
      </c>
      <c r="O2125" t="e">
        <v>#N/A</v>
      </c>
      <c r="P2125" t="e">
        <v>#N/A</v>
      </c>
    </row>
    <row r="2126" spans="1:16" ht="14.4" x14ac:dyDescent="0.3">
      <c r="A2126">
        <v>462014</v>
      </c>
      <c r="B2126" t="str">
        <f t="shared" si="66"/>
        <v>SEVROLL kątownik 18x36mm 3m jasny brąz new</v>
      </c>
      <c r="C2126" s="185" t="e">
        <f t="shared" si="67"/>
        <v>#N/A</v>
      </c>
      <c r="D2126" s="407" t="s">
        <v>1681</v>
      </c>
      <c r="E2126" s="407" t="s">
        <v>2108</v>
      </c>
      <c r="F2126" s="407" t="s">
        <v>2293</v>
      </c>
      <c r="G2126" s="407" t="s">
        <v>2589</v>
      </c>
      <c r="H2126" s="460" t="e">
        <v>#N/A</v>
      </c>
      <c r="I2126" s="460" t="e">
        <v>#N/A</v>
      </c>
      <c r="J2126" s="460" t="e">
        <v>#N/A</v>
      </c>
      <c r="K2126" s="460" t="e">
        <v>#N/A</v>
      </c>
      <c r="L2126" s="459" t="e">
        <v>#N/A</v>
      </c>
      <c r="O2126" t="e">
        <v>#N/A</v>
      </c>
      <c r="P2126" t="e">
        <v>#N/A</v>
      </c>
    </row>
    <row r="2127" spans="1:16" ht="14.4" x14ac:dyDescent="0.3">
      <c r="A2127">
        <v>462015</v>
      </c>
      <c r="B2127" t="str">
        <f t="shared" si="66"/>
        <v>SEVROLL kątownik 36x36mm 3m jasny brąz new</v>
      </c>
      <c r="C2127" s="185" t="e">
        <f t="shared" si="67"/>
        <v>#N/A</v>
      </c>
      <c r="D2127" s="407" t="s">
        <v>1682</v>
      </c>
      <c r="E2127" s="407" t="s">
        <v>2109</v>
      </c>
      <c r="F2127" s="407" t="s">
        <v>2294</v>
      </c>
      <c r="G2127" s="407" t="s">
        <v>2590</v>
      </c>
      <c r="H2127" s="460" t="e">
        <v>#N/A</v>
      </c>
      <c r="I2127" s="460" t="e">
        <v>#N/A</v>
      </c>
      <c r="J2127" s="460" t="e">
        <v>#N/A</v>
      </c>
      <c r="K2127" s="460" t="e">
        <v>#N/A</v>
      </c>
      <c r="L2127" s="459" t="e">
        <v>#N/A</v>
      </c>
      <c r="O2127" t="e">
        <v>#N/A</v>
      </c>
      <c r="P2127" t="e">
        <v>#N/A</v>
      </c>
    </row>
    <row r="2128" spans="1:16" ht="14.4" x14ac:dyDescent="0.3">
      <c r="A2128">
        <v>462016</v>
      </c>
      <c r="B2128" t="str">
        <f t="shared" si="66"/>
        <v>SEVROLL Porto rączka 2,7m jasny brąz new</v>
      </c>
      <c r="C2128" s="185" t="e">
        <f t="shared" si="67"/>
        <v>#N/A</v>
      </c>
      <c r="D2128" s="407" t="s">
        <v>1683</v>
      </c>
      <c r="E2128" s="407" t="s">
        <v>2110</v>
      </c>
      <c r="F2128" s="407" t="s">
        <v>2295</v>
      </c>
      <c r="G2128" s="407" t="s">
        <v>2591</v>
      </c>
      <c r="H2128" s="460" t="e">
        <v>#N/A</v>
      </c>
      <c r="I2128" s="460" t="e">
        <v>#N/A</v>
      </c>
      <c r="J2128" s="460" t="e">
        <v>#N/A</v>
      </c>
      <c r="K2128" s="460" t="e">
        <v>#N/A</v>
      </c>
      <c r="L2128" s="459" t="e">
        <v>#N/A</v>
      </c>
      <c r="O2128" t="e">
        <v>#N/A</v>
      </c>
      <c r="P2128" t="e">
        <v>#N/A</v>
      </c>
    </row>
    <row r="2129" spans="1:16" ht="14.4" x14ac:dyDescent="0.3">
      <c r="A2129">
        <v>462017</v>
      </c>
      <c r="B2129" t="str">
        <f t="shared" si="66"/>
        <v>SEVROLL Szpros S18 z klejem 3m jasny brąz new</v>
      </c>
      <c r="C2129" s="185" t="e">
        <f t="shared" si="67"/>
        <v>#N/A</v>
      </c>
      <c r="D2129" s="407" t="s">
        <v>1684</v>
      </c>
      <c r="E2129" s="407" t="s">
        <v>2111</v>
      </c>
      <c r="F2129" s="407" t="s">
        <v>2296</v>
      </c>
      <c r="G2129" s="407" t="s">
        <v>2592</v>
      </c>
      <c r="H2129" s="460" t="e">
        <v>#N/A</v>
      </c>
      <c r="I2129" s="460" t="e">
        <v>#N/A</v>
      </c>
      <c r="J2129" s="460" t="e">
        <v>#N/A</v>
      </c>
      <c r="K2129" s="460" t="e">
        <v>#N/A</v>
      </c>
      <c r="L2129" s="459" t="e">
        <v>#N/A</v>
      </c>
      <c r="O2129" t="e">
        <v>#N/A</v>
      </c>
      <c r="P2129" t="e">
        <v>#N/A</v>
      </c>
    </row>
    <row r="2130" spans="1:16" ht="14.4" x14ac:dyDescent="0.3">
      <c r="A2130">
        <v>462018</v>
      </c>
      <c r="B2130" t="str">
        <f t="shared" si="66"/>
        <v>SEVROLL Gemini II tor dolny 1,7m jasny brąz new</v>
      </c>
      <c r="C2130" s="185" t="e">
        <f t="shared" si="67"/>
        <v>#N/A</v>
      </c>
      <c r="D2130" s="407" t="s">
        <v>1685</v>
      </c>
      <c r="E2130" s="407" t="s">
        <v>2112</v>
      </c>
      <c r="F2130" s="407" t="s">
        <v>6112</v>
      </c>
      <c r="G2130" s="407" t="s">
        <v>2593</v>
      </c>
      <c r="H2130" s="460" t="e">
        <v>#N/A</v>
      </c>
      <c r="I2130" s="460" t="e">
        <v>#N/A</v>
      </c>
      <c r="J2130" s="460" t="e">
        <v>#N/A</v>
      </c>
      <c r="K2130" s="460" t="e">
        <v>#N/A</v>
      </c>
      <c r="L2130" s="459" t="e">
        <v>#N/A</v>
      </c>
      <c r="O2130" t="e">
        <v>#N/A</v>
      </c>
      <c r="P2130" t="e">
        <v>#N/A</v>
      </c>
    </row>
    <row r="2131" spans="1:16" ht="14.4" x14ac:dyDescent="0.3">
      <c r="A2131">
        <v>462019</v>
      </c>
      <c r="B2131" t="str">
        <f t="shared" si="66"/>
        <v>SEVROLL Gemini II tor dolny 2,35m jasny brąz new</v>
      </c>
      <c r="C2131" s="185" t="e">
        <f t="shared" si="67"/>
        <v>#N/A</v>
      </c>
      <c r="D2131" s="407" t="s">
        <v>1686</v>
      </c>
      <c r="E2131" s="407" t="s">
        <v>2113</v>
      </c>
      <c r="F2131" s="407" t="s">
        <v>6113</v>
      </c>
      <c r="G2131" s="407" t="s">
        <v>2594</v>
      </c>
      <c r="H2131" s="460" t="e">
        <v>#N/A</v>
      </c>
      <c r="I2131" s="460" t="e">
        <v>#N/A</v>
      </c>
      <c r="J2131" s="460" t="e">
        <v>#N/A</v>
      </c>
      <c r="K2131" s="460" t="e">
        <v>#N/A</v>
      </c>
      <c r="L2131" s="459" t="e">
        <v>#N/A</v>
      </c>
      <c r="O2131" t="e">
        <v>#N/A</v>
      </c>
      <c r="P2131" t="e">
        <v>#N/A</v>
      </c>
    </row>
    <row r="2132" spans="1:16" ht="14.4" x14ac:dyDescent="0.3">
      <c r="A2132">
        <v>462020</v>
      </c>
      <c r="B2132" t="str">
        <f t="shared" si="66"/>
        <v>SEVROLL Gemini II tor dolny 3m jasny brąz new</v>
      </c>
      <c r="C2132" s="185" t="e">
        <f t="shared" si="67"/>
        <v>#N/A</v>
      </c>
      <c r="D2132" s="407" t="s">
        <v>1687</v>
      </c>
      <c r="E2132" s="407" t="s">
        <v>2114</v>
      </c>
      <c r="F2132" s="407" t="s">
        <v>6114</v>
      </c>
      <c r="G2132" s="407" t="s">
        <v>2595</v>
      </c>
      <c r="H2132" s="460" t="e">
        <v>#N/A</v>
      </c>
      <c r="I2132" s="460" t="e">
        <v>#N/A</v>
      </c>
      <c r="J2132" s="460" t="e">
        <v>#N/A</v>
      </c>
      <c r="K2132" s="460" t="e">
        <v>#N/A</v>
      </c>
      <c r="L2132" s="459" t="e">
        <v>#N/A</v>
      </c>
      <c r="O2132" t="e">
        <v>#N/A</v>
      </c>
      <c r="P2132" t="e">
        <v>#N/A</v>
      </c>
    </row>
    <row r="2133" spans="1:16" ht="14.4" x14ac:dyDescent="0.3">
      <c r="A2133">
        <v>462021</v>
      </c>
      <c r="B2133" t="str">
        <f t="shared" si="66"/>
        <v>SEVROLL Gemini II tor dolny 4,05m jasny brąz new</v>
      </c>
      <c r="C2133" s="185" t="e">
        <f t="shared" si="67"/>
        <v>#N/A</v>
      </c>
      <c r="D2133" s="407" t="s">
        <v>1688</v>
      </c>
      <c r="E2133" s="407" t="s">
        <v>2115</v>
      </c>
      <c r="F2133" s="407" t="s">
        <v>6115</v>
      </c>
      <c r="G2133" s="407" t="s">
        <v>2596</v>
      </c>
      <c r="H2133" s="460" t="e">
        <v>#N/A</v>
      </c>
      <c r="I2133" s="460" t="e">
        <v>#N/A</v>
      </c>
      <c r="J2133" s="460" t="e">
        <v>#N/A</v>
      </c>
      <c r="K2133" s="460" t="e">
        <v>#N/A</v>
      </c>
      <c r="L2133" s="459" t="e">
        <v>#N/A</v>
      </c>
      <c r="O2133" t="e">
        <v>#N/A</v>
      </c>
      <c r="P2133" t="e">
        <v>#N/A</v>
      </c>
    </row>
    <row r="2134" spans="1:16" ht="14.4" x14ac:dyDescent="0.3">
      <c r="A2134">
        <v>462022</v>
      </c>
      <c r="B2134" t="str">
        <f t="shared" si="66"/>
        <v>SEVROLL Gemini II tor dolny 6m jasny brąz new</v>
      </c>
      <c r="C2134" s="185" t="e">
        <f t="shared" si="67"/>
        <v>#N/A</v>
      </c>
      <c r="D2134" s="407" t="s">
        <v>1689</v>
      </c>
      <c r="E2134" s="407" t="s">
        <v>2116</v>
      </c>
      <c r="F2134" s="407" t="s">
        <v>6116</v>
      </c>
      <c r="G2134" s="407" t="s">
        <v>2597</v>
      </c>
      <c r="H2134" s="460" t="e">
        <v>#N/A</v>
      </c>
      <c r="I2134" s="460" t="e">
        <v>#N/A</v>
      </c>
      <c r="J2134" s="460" t="e">
        <v>#N/A</v>
      </c>
      <c r="K2134" s="460" t="e">
        <v>#N/A</v>
      </c>
      <c r="L2134" s="459" t="e">
        <v>#N/A</v>
      </c>
      <c r="O2134" t="e">
        <v>#N/A</v>
      </c>
      <c r="P2134" t="e">
        <v>#N/A</v>
      </c>
    </row>
    <row r="2135" spans="1:16" ht="14.4" x14ac:dyDescent="0.3">
      <c r="A2135">
        <v>462023</v>
      </c>
      <c r="B2135" t="str">
        <f t="shared" si="66"/>
        <v>SEVROLL  04297-A zaślepka do toru Elegant II 2,35m jasny brąz new</v>
      </c>
      <c r="C2135" s="185" t="e">
        <f t="shared" si="67"/>
        <v>#N/A</v>
      </c>
      <c r="D2135" s="407" t="s">
        <v>1690</v>
      </c>
      <c r="E2135" s="407" t="s">
        <v>2117</v>
      </c>
      <c r="F2135" s="407" t="s">
        <v>1690</v>
      </c>
      <c r="G2135" s="407" t="s">
        <v>6117</v>
      </c>
      <c r="H2135" s="460" t="e">
        <v>#N/A</v>
      </c>
      <c r="I2135" s="460" t="e">
        <v>#N/A</v>
      </c>
      <c r="J2135" s="460" t="e">
        <v>#N/A</v>
      </c>
      <c r="K2135" s="460" t="e">
        <v>#N/A</v>
      </c>
      <c r="L2135" s="459" t="e">
        <v>#N/A</v>
      </c>
      <c r="O2135" t="e">
        <v>#N/A</v>
      </c>
      <c r="P2135" t="e">
        <v>#N/A</v>
      </c>
    </row>
    <row r="2136" spans="1:16" ht="14.4" x14ac:dyDescent="0.3">
      <c r="A2136">
        <v>462024</v>
      </c>
      <c r="B2136" t="str">
        <f t="shared" si="66"/>
        <v>SEVROLL 04273-A Elegant II tor dolny 1,7m jasny brąz new</v>
      </c>
      <c r="C2136" s="185" t="e">
        <f t="shared" si="67"/>
        <v>#N/A</v>
      </c>
      <c r="D2136" s="407" t="s">
        <v>1691</v>
      </c>
      <c r="E2136" s="407" t="s">
        <v>2118</v>
      </c>
      <c r="F2136" s="407" t="s">
        <v>6118</v>
      </c>
      <c r="G2136" s="407" t="s">
        <v>6119</v>
      </c>
      <c r="H2136" s="460" t="e">
        <v>#N/A</v>
      </c>
      <c r="I2136" s="460" t="e">
        <v>#N/A</v>
      </c>
      <c r="J2136" s="460" t="e">
        <v>#N/A</v>
      </c>
      <c r="K2136" s="460" t="e">
        <v>#N/A</v>
      </c>
      <c r="L2136" s="459" t="e">
        <v>#N/A</v>
      </c>
      <c r="O2136" t="e">
        <v>#N/A</v>
      </c>
      <c r="P2136" t="e">
        <v>#N/A</v>
      </c>
    </row>
    <row r="2137" spans="1:16" ht="14.4" x14ac:dyDescent="0.3">
      <c r="A2137">
        <v>462025</v>
      </c>
      <c r="B2137" t="str">
        <f t="shared" si="66"/>
        <v>SEVROLL 04747-A Rekord rączka 18mm 2,70m brąz new</v>
      </c>
      <c r="C2137" s="185" t="e">
        <f t="shared" si="67"/>
        <v>#N/A</v>
      </c>
      <c r="D2137" s="407" t="s">
        <v>1692</v>
      </c>
      <c r="E2137" s="407" t="s">
        <v>2119</v>
      </c>
      <c r="F2137" s="407" t="s">
        <v>1692</v>
      </c>
      <c r="G2137" s="407" t="s">
        <v>6120</v>
      </c>
      <c r="H2137" s="460" t="e">
        <v>#N/A</v>
      </c>
      <c r="I2137" s="460" t="e">
        <v>#N/A</v>
      </c>
      <c r="J2137" s="460" t="e">
        <v>#N/A</v>
      </c>
      <c r="K2137" s="460" t="e">
        <v>#N/A</v>
      </c>
      <c r="L2137" s="459" t="e">
        <v>#N/A</v>
      </c>
      <c r="O2137" t="e">
        <v>#N/A</v>
      </c>
      <c r="P2137" t="e">
        <v>#N/A</v>
      </c>
    </row>
    <row r="2138" spans="1:16" ht="14.4" x14ac:dyDescent="0.3">
      <c r="A2138">
        <v>462026</v>
      </c>
      <c r="B2138" t="str">
        <f t="shared" si="66"/>
        <v>SEVROLL 04298-A zaślepka do toru Elegant II 3m jasny brąz new</v>
      </c>
      <c r="C2138" s="185" t="e">
        <f t="shared" si="67"/>
        <v>#N/A</v>
      </c>
      <c r="D2138" s="407" t="s">
        <v>1693</v>
      </c>
      <c r="E2138" s="407" t="s">
        <v>2120</v>
      </c>
      <c r="F2138" s="407" t="s">
        <v>1693</v>
      </c>
      <c r="G2138" s="407" t="s">
        <v>6121</v>
      </c>
      <c r="H2138" s="460" t="e">
        <v>#N/A</v>
      </c>
      <c r="I2138" s="460" t="e">
        <v>#N/A</v>
      </c>
      <c r="J2138" s="460" t="e">
        <v>#N/A</v>
      </c>
      <c r="K2138" s="460" t="e">
        <v>#N/A</v>
      </c>
      <c r="L2138" s="459" t="e">
        <v>#N/A</v>
      </c>
      <c r="O2138" t="e">
        <v>#N/A</v>
      </c>
      <c r="P2138" t="e">
        <v>#N/A</v>
      </c>
    </row>
    <row r="2139" spans="1:16" ht="14.4" x14ac:dyDescent="0.3">
      <c r="A2139">
        <v>256367</v>
      </c>
      <c r="B2139" t="str">
        <f t="shared" si="66"/>
        <v>S-S06NN dolny profil 2,5m elox srebrny</v>
      </c>
      <c r="C2139" s="185" t="e">
        <f t="shared" si="67"/>
        <v>#N/A</v>
      </c>
      <c r="D2139" s="407" t="s">
        <v>8341</v>
      </c>
      <c r="E2139" s="407" t="s">
        <v>8342</v>
      </c>
      <c r="F2139" s="407" t="s">
        <v>8343</v>
      </c>
      <c r="G2139" s="407" t="s">
        <v>8344</v>
      </c>
      <c r="H2139" s="460" t="e">
        <v>#N/A</v>
      </c>
      <c r="I2139" s="460" t="e">
        <v>#N/A</v>
      </c>
      <c r="J2139" s="460" t="e">
        <v>#N/A</v>
      </c>
      <c r="K2139" s="460" t="e">
        <v>#N/A</v>
      </c>
      <c r="L2139" s="459" t="e">
        <v>#N/A</v>
      </c>
      <c r="O2139">
        <v>0</v>
      </c>
      <c r="P2139" t="s">
        <v>10181</v>
      </c>
    </row>
    <row r="2140" spans="1:16" ht="14.4" x14ac:dyDescent="0.3">
      <c r="A2140">
        <v>301637</v>
      </c>
      <c r="B2140" t="e">
        <f t="shared" si="66"/>
        <v>#N/A</v>
      </c>
      <c r="C2140" s="185" t="e">
        <f t="shared" si="67"/>
        <v>#N/A</v>
      </c>
      <c r="D2140" s="407" t="e">
        <v>#N/A</v>
      </c>
      <c r="E2140" s="407" t="e">
        <v>#N/A</v>
      </c>
      <c r="F2140" s="407" t="e">
        <v>#N/A</v>
      </c>
      <c r="G2140" s="407" t="e">
        <v>#N/A</v>
      </c>
      <c r="H2140" s="460" t="e">
        <v>#N/A</v>
      </c>
      <c r="I2140" s="460" t="e">
        <v>#N/A</v>
      </c>
      <c r="J2140" s="460" t="e">
        <v>#N/A</v>
      </c>
      <c r="K2140" s="460" t="e">
        <v>#N/A</v>
      </c>
      <c r="L2140" s="459" t="e">
        <v>#N/A</v>
      </c>
      <c r="O2140" t="e">
        <v>#N/A</v>
      </c>
      <c r="P2140" t="e">
        <v>#N/A</v>
      </c>
    </row>
    <row r="2141" spans="1:16" ht="14.4" x14ac:dyDescent="0.3">
      <c r="A2141">
        <v>301638</v>
      </c>
      <c r="B2141" t="e">
        <f t="shared" si="66"/>
        <v>#N/A</v>
      </c>
      <c r="C2141" s="185" t="e">
        <f t="shared" si="67"/>
        <v>#N/A</v>
      </c>
      <c r="D2141" s="407" t="e">
        <v>#N/A</v>
      </c>
      <c r="E2141" s="407" t="e">
        <v>#N/A</v>
      </c>
      <c r="F2141" s="407" t="e">
        <v>#N/A</v>
      </c>
      <c r="G2141" s="407" t="e">
        <v>#N/A</v>
      </c>
      <c r="H2141" s="460" t="e">
        <v>#N/A</v>
      </c>
      <c r="I2141" s="460" t="e">
        <v>#N/A</v>
      </c>
      <c r="J2141" s="460" t="e">
        <v>#N/A</v>
      </c>
      <c r="K2141" s="460" t="e">
        <v>#N/A</v>
      </c>
      <c r="L2141" s="459" t="e">
        <v>#N/A</v>
      </c>
      <c r="O2141" t="e">
        <v>#N/A</v>
      </c>
      <c r="P2141" t="e">
        <v>#N/A</v>
      </c>
    </row>
    <row r="2142" spans="1:16" ht="14.4" x14ac:dyDescent="0.3">
      <c r="A2142">
        <v>301639</v>
      </c>
      <c r="B2142" t="e">
        <f t="shared" si="66"/>
        <v>#N/A</v>
      </c>
      <c r="C2142" s="185" t="e">
        <f t="shared" si="67"/>
        <v>#N/A</v>
      </c>
      <c r="D2142" s="407" t="e">
        <v>#N/A</v>
      </c>
      <c r="E2142" s="407" t="e">
        <v>#N/A</v>
      </c>
      <c r="F2142" s="407" t="e">
        <v>#N/A</v>
      </c>
      <c r="G2142" s="407" t="e">
        <v>#N/A</v>
      </c>
      <c r="H2142" s="460" t="e">
        <v>#N/A</v>
      </c>
      <c r="I2142" s="460" t="e">
        <v>#N/A</v>
      </c>
      <c r="J2142" s="460" t="e">
        <v>#N/A</v>
      </c>
      <c r="K2142" s="460" t="e">
        <v>#N/A</v>
      </c>
      <c r="L2142" s="459" t="e">
        <v>#N/A</v>
      </c>
      <c r="O2142" t="e">
        <v>#N/A</v>
      </c>
      <c r="P2142" t="e">
        <v>#N/A</v>
      </c>
    </row>
    <row r="2143" spans="1:16" ht="14.4" x14ac:dyDescent="0.3">
      <c r="A2143">
        <v>301750</v>
      </c>
      <c r="B2143" t="e">
        <f t="shared" si="66"/>
        <v>#N/A</v>
      </c>
      <c r="C2143" s="185" t="e">
        <f t="shared" si="67"/>
        <v>#N/A</v>
      </c>
      <c r="D2143" s="407" t="e">
        <v>#N/A</v>
      </c>
      <c r="E2143" s="407" t="e">
        <v>#N/A</v>
      </c>
      <c r="F2143" s="407" t="e">
        <v>#N/A</v>
      </c>
      <c r="G2143" s="407" t="e">
        <v>#N/A</v>
      </c>
      <c r="H2143" s="460" t="e">
        <v>#N/A</v>
      </c>
      <c r="I2143" s="460" t="e">
        <v>#N/A</v>
      </c>
      <c r="J2143" s="460" t="e">
        <v>#N/A</v>
      </c>
      <c r="K2143" s="460" t="e">
        <v>#N/A</v>
      </c>
      <c r="L2143" s="459" t="e">
        <v>#N/A</v>
      </c>
      <c r="O2143" t="e">
        <v>#N/A</v>
      </c>
      <c r="P2143" t="e">
        <v>#N/A</v>
      </c>
    </row>
    <row r="2144" spans="1:16" ht="14.4" x14ac:dyDescent="0.3">
      <c r="A2144">
        <v>301779</v>
      </c>
      <c r="B2144" t="e">
        <f t="shared" si="66"/>
        <v>#N/A</v>
      </c>
      <c r="C2144" s="185" t="e">
        <f t="shared" si="67"/>
        <v>#N/A</v>
      </c>
      <c r="D2144" s="407" t="e">
        <v>#N/A</v>
      </c>
      <c r="E2144" s="407" t="e">
        <v>#N/A</v>
      </c>
      <c r="F2144" s="407" t="e">
        <v>#N/A</v>
      </c>
      <c r="G2144" s="407" t="e">
        <v>#N/A</v>
      </c>
      <c r="H2144" s="460" t="e">
        <v>#N/A</v>
      </c>
      <c r="I2144" s="460" t="e">
        <v>#N/A</v>
      </c>
      <c r="J2144" s="460" t="e">
        <v>#N/A</v>
      </c>
      <c r="K2144" s="460" t="e">
        <v>#N/A</v>
      </c>
      <c r="L2144" s="459" t="e">
        <v>#N/A</v>
      </c>
      <c r="O2144" t="e">
        <v>#N/A</v>
      </c>
      <c r="P2144" t="e">
        <v>#N/A</v>
      </c>
    </row>
    <row r="2145" spans="1:16" ht="14.4" x14ac:dyDescent="0.3">
      <c r="A2145">
        <v>301780</v>
      </c>
      <c r="B2145" t="e">
        <f t="shared" si="66"/>
        <v>#N/A</v>
      </c>
      <c r="C2145" s="185" t="e">
        <f t="shared" si="67"/>
        <v>#N/A</v>
      </c>
      <c r="D2145" s="407" t="e">
        <v>#N/A</v>
      </c>
      <c r="E2145" s="407" t="e">
        <v>#N/A</v>
      </c>
      <c r="F2145" s="407" t="e">
        <v>#N/A</v>
      </c>
      <c r="G2145" s="407" t="e">
        <v>#N/A</v>
      </c>
      <c r="H2145" s="460" t="e">
        <v>#N/A</v>
      </c>
      <c r="I2145" s="460" t="e">
        <v>#N/A</v>
      </c>
      <c r="J2145" s="460" t="e">
        <v>#N/A</v>
      </c>
      <c r="K2145" s="460" t="e">
        <v>#N/A</v>
      </c>
      <c r="L2145" s="459" t="e">
        <v>#N/A</v>
      </c>
      <c r="O2145" t="e">
        <v>#N/A</v>
      </c>
      <c r="P2145" t="e">
        <v>#N/A</v>
      </c>
    </row>
    <row r="2146" spans="1:16" ht="14.4" x14ac:dyDescent="0.3">
      <c r="A2146">
        <v>301781</v>
      </c>
      <c r="B2146" t="e">
        <f t="shared" si="66"/>
        <v>#N/A</v>
      </c>
      <c r="C2146" s="185" t="e">
        <f t="shared" si="67"/>
        <v>#N/A</v>
      </c>
      <c r="D2146" s="407" t="e">
        <v>#N/A</v>
      </c>
      <c r="E2146" s="407" t="e">
        <v>#N/A</v>
      </c>
      <c r="F2146" s="407" t="e">
        <v>#N/A</v>
      </c>
      <c r="G2146" s="407" t="e">
        <v>#N/A</v>
      </c>
      <c r="H2146" s="460" t="e">
        <v>#N/A</v>
      </c>
      <c r="I2146" s="460" t="e">
        <v>#N/A</v>
      </c>
      <c r="J2146" s="460" t="e">
        <v>#N/A</v>
      </c>
      <c r="K2146" s="460" t="e">
        <v>#N/A</v>
      </c>
      <c r="L2146" s="459" t="e">
        <v>#N/A</v>
      </c>
      <c r="O2146" t="e">
        <v>#N/A</v>
      </c>
      <c r="P2146" t="e">
        <v>#N/A</v>
      </c>
    </row>
    <row r="2147" spans="1:16" ht="14.4" x14ac:dyDescent="0.3">
      <c r="A2147">
        <v>301782</v>
      </c>
      <c r="B2147" t="e">
        <f t="shared" si="66"/>
        <v>#N/A</v>
      </c>
      <c r="C2147" s="185" t="e">
        <f t="shared" si="67"/>
        <v>#N/A</v>
      </c>
      <c r="D2147" s="407" t="e">
        <v>#N/A</v>
      </c>
      <c r="E2147" s="407" t="e">
        <v>#N/A</v>
      </c>
      <c r="F2147" s="407" t="e">
        <v>#N/A</v>
      </c>
      <c r="G2147" s="407" t="e">
        <v>#N/A</v>
      </c>
      <c r="H2147" s="460" t="e">
        <v>#N/A</v>
      </c>
      <c r="I2147" s="460" t="e">
        <v>#N/A</v>
      </c>
      <c r="J2147" s="460" t="e">
        <v>#N/A</v>
      </c>
      <c r="K2147" s="460" t="e">
        <v>#N/A</v>
      </c>
      <c r="L2147" s="459" t="e">
        <v>#N/A</v>
      </c>
      <c r="O2147" t="e">
        <v>#N/A</v>
      </c>
      <c r="P2147" t="e">
        <v>#N/A</v>
      </c>
    </row>
    <row r="2148" spans="1:16" ht="14.4" x14ac:dyDescent="0.3">
      <c r="A2148">
        <v>301783</v>
      </c>
      <c r="B2148" t="e">
        <f t="shared" si="66"/>
        <v>#N/A</v>
      </c>
      <c r="C2148" s="185" t="e">
        <f t="shared" si="67"/>
        <v>#N/A</v>
      </c>
      <c r="D2148" s="407" t="e">
        <v>#N/A</v>
      </c>
      <c r="E2148" s="407" t="e">
        <v>#N/A</v>
      </c>
      <c r="F2148" s="407" t="e">
        <v>#N/A</v>
      </c>
      <c r="G2148" s="407" t="e">
        <v>#N/A</v>
      </c>
      <c r="H2148" s="460" t="e">
        <v>#N/A</v>
      </c>
      <c r="I2148" s="460" t="e">
        <v>#N/A</v>
      </c>
      <c r="J2148" s="460" t="e">
        <v>#N/A</v>
      </c>
      <c r="K2148" s="460" t="e">
        <v>#N/A</v>
      </c>
      <c r="L2148" s="459" t="e">
        <v>#N/A</v>
      </c>
      <c r="O2148" t="e">
        <v>#N/A</v>
      </c>
      <c r="P2148" t="e">
        <v>#N/A</v>
      </c>
    </row>
    <row r="2149" spans="1:16" ht="14.4" x14ac:dyDescent="0.3">
      <c r="A2149">
        <v>301784</v>
      </c>
      <c r="B2149" t="e">
        <f t="shared" si="66"/>
        <v>#N/A</v>
      </c>
      <c r="C2149" s="185" t="e">
        <f t="shared" si="67"/>
        <v>#N/A</v>
      </c>
      <c r="D2149" s="407" t="e">
        <v>#N/A</v>
      </c>
      <c r="E2149" s="407" t="e">
        <v>#N/A</v>
      </c>
      <c r="F2149" s="407" t="e">
        <v>#N/A</v>
      </c>
      <c r="G2149" s="407" t="e">
        <v>#N/A</v>
      </c>
      <c r="H2149" s="460" t="e">
        <v>#N/A</v>
      </c>
      <c r="I2149" s="460" t="e">
        <v>#N/A</v>
      </c>
      <c r="J2149" s="460" t="e">
        <v>#N/A</v>
      </c>
      <c r="K2149" s="460" t="e">
        <v>#N/A</v>
      </c>
      <c r="L2149" s="459" t="e">
        <v>#N/A</v>
      </c>
      <c r="O2149" t="e">
        <v>#N/A</v>
      </c>
      <c r="P2149" t="e">
        <v>#N/A</v>
      </c>
    </row>
    <row r="2150" spans="1:16" ht="14.4" x14ac:dyDescent="0.3">
      <c r="A2150">
        <v>373932</v>
      </c>
      <c r="B2150" t="e">
        <f t="shared" si="66"/>
        <v>#N/A</v>
      </c>
      <c r="C2150" s="185" t="e">
        <f t="shared" si="67"/>
        <v>#N/A</v>
      </c>
      <c r="D2150" s="407" t="e">
        <v>#N/A</v>
      </c>
      <c r="E2150" s="407" t="e">
        <v>#N/A</v>
      </c>
      <c r="F2150" s="407" t="e">
        <v>#N/A</v>
      </c>
      <c r="G2150" s="407" t="e">
        <v>#N/A</v>
      </c>
      <c r="H2150" s="460" t="e">
        <v>#N/A</v>
      </c>
      <c r="I2150" s="460" t="e">
        <v>#N/A</v>
      </c>
      <c r="J2150" s="460" t="e">
        <v>#N/A</v>
      </c>
      <c r="K2150" s="460" t="e">
        <v>#N/A</v>
      </c>
      <c r="L2150" s="459" t="e">
        <v>#N/A</v>
      </c>
      <c r="O2150" t="e">
        <v>#N/A</v>
      </c>
      <c r="P2150" t="e">
        <v>#N/A</v>
      </c>
    </row>
    <row r="2151" spans="1:16" ht="14.4" x14ac:dyDescent="0.3">
      <c r="A2151">
        <v>373933</v>
      </c>
      <c r="B2151" t="e">
        <f t="shared" si="66"/>
        <v>#N/A</v>
      </c>
      <c r="C2151" s="185" t="e">
        <f t="shared" si="67"/>
        <v>#N/A</v>
      </c>
      <c r="D2151" s="407" t="e">
        <v>#N/A</v>
      </c>
      <c r="E2151" s="407" t="e">
        <v>#N/A</v>
      </c>
      <c r="F2151" s="407" t="e">
        <v>#N/A</v>
      </c>
      <c r="G2151" s="407" t="e">
        <v>#N/A</v>
      </c>
      <c r="H2151" s="460" t="e">
        <v>#N/A</v>
      </c>
      <c r="I2151" s="460" t="e">
        <v>#N/A</v>
      </c>
      <c r="J2151" s="460" t="e">
        <v>#N/A</v>
      </c>
      <c r="K2151" s="460" t="e">
        <v>#N/A</v>
      </c>
      <c r="L2151" s="459" t="e">
        <v>#N/A</v>
      </c>
      <c r="O2151" t="e">
        <v>#N/A</v>
      </c>
      <c r="P2151" t="e">
        <v>#N/A</v>
      </c>
    </row>
    <row r="2152" spans="1:16" ht="14.4" x14ac:dyDescent="0.3">
      <c r="A2152">
        <v>373934</v>
      </c>
      <c r="B2152" t="e">
        <f t="shared" si="66"/>
        <v>#N/A</v>
      </c>
      <c r="C2152" s="185" t="e">
        <f t="shared" si="67"/>
        <v>#N/A</v>
      </c>
      <c r="D2152" s="407" t="e">
        <v>#N/A</v>
      </c>
      <c r="E2152" s="407" t="e">
        <v>#N/A</v>
      </c>
      <c r="F2152" s="407" t="e">
        <v>#N/A</v>
      </c>
      <c r="G2152" s="407" t="e">
        <v>#N/A</v>
      </c>
      <c r="H2152" s="460" t="e">
        <v>#N/A</v>
      </c>
      <c r="I2152" s="460" t="e">
        <v>#N/A</v>
      </c>
      <c r="J2152" s="460" t="e">
        <v>#N/A</v>
      </c>
      <c r="K2152" s="460" t="e">
        <v>#N/A</v>
      </c>
      <c r="L2152" s="459" t="e">
        <v>#N/A</v>
      </c>
      <c r="O2152" t="e">
        <v>#N/A</v>
      </c>
      <c r="P2152" t="e">
        <v>#N/A</v>
      </c>
    </row>
    <row r="2153" spans="1:16" ht="14.4" x14ac:dyDescent="0.3">
      <c r="A2153">
        <v>373935</v>
      </c>
      <c r="B2153" t="e">
        <f t="shared" si="66"/>
        <v>#N/A</v>
      </c>
      <c r="C2153" s="185" t="e">
        <f t="shared" si="67"/>
        <v>#N/A</v>
      </c>
      <c r="D2153" s="407" t="e">
        <v>#N/A</v>
      </c>
      <c r="E2153" s="407" t="e">
        <v>#N/A</v>
      </c>
      <c r="F2153" s="407" t="e">
        <v>#N/A</v>
      </c>
      <c r="G2153" s="407" t="e">
        <v>#N/A</v>
      </c>
      <c r="H2153" s="460" t="e">
        <v>#N/A</v>
      </c>
      <c r="I2153" s="460" t="e">
        <v>#N/A</v>
      </c>
      <c r="J2153" s="460" t="e">
        <v>#N/A</v>
      </c>
      <c r="K2153" s="460" t="e">
        <v>#N/A</v>
      </c>
      <c r="L2153" s="459" t="e">
        <v>#N/A</v>
      </c>
      <c r="O2153" t="e">
        <v>#N/A</v>
      </c>
      <c r="P2153" t="e">
        <v>#N/A</v>
      </c>
    </row>
    <row r="2154" spans="1:16" ht="14.4" x14ac:dyDescent="0.3">
      <c r="A2154">
        <v>373936</v>
      </c>
      <c r="B2154" t="e">
        <f t="shared" si="66"/>
        <v>#N/A</v>
      </c>
      <c r="C2154" s="185" t="e">
        <f t="shared" si="67"/>
        <v>#N/A</v>
      </c>
      <c r="D2154" s="407" t="e">
        <v>#N/A</v>
      </c>
      <c r="E2154" s="407" t="e">
        <v>#N/A</v>
      </c>
      <c r="F2154" s="407" t="e">
        <v>#N/A</v>
      </c>
      <c r="G2154" s="407" t="e">
        <v>#N/A</v>
      </c>
      <c r="H2154" s="460" t="e">
        <v>#N/A</v>
      </c>
      <c r="I2154" s="460" t="e">
        <v>#N/A</v>
      </c>
      <c r="J2154" s="460" t="e">
        <v>#N/A</v>
      </c>
      <c r="K2154" s="460" t="e">
        <v>#N/A</v>
      </c>
      <c r="L2154" s="459" t="e">
        <v>#N/A</v>
      </c>
      <c r="O2154" t="e">
        <v>#N/A</v>
      </c>
      <c r="P2154" t="e">
        <v>#N/A</v>
      </c>
    </row>
    <row r="2155" spans="1:16" ht="14.4" x14ac:dyDescent="0.3">
      <c r="A2155">
        <v>373937</v>
      </c>
      <c r="B2155" t="e">
        <f t="shared" si="66"/>
        <v>#N/A</v>
      </c>
      <c r="C2155" s="185" t="e">
        <f t="shared" si="67"/>
        <v>#N/A</v>
      </c>
      <c r="D2155" s="407" t="e">
        <v>#N/A</v>
      </c>
      <c r="E2155" s="407" t="e">
        <v>#N/A</v>
      </c>
      <c r="F2155" s="407" t="e">
        <v>#N/A</v>
      </c>
      <c r="G2155" s="407" t="e">
        <v>#N/A</v>
      </c>
      <c r="H2155" s="460" t="e">
        <v>#N/A</v>
      </c>
      <c r="I2155" s="460" t="e">
        <v>#N/A</v>
      </c>
      <c r="J2155" s="460" t="e">
        <v>#N/A</v>
      </c>
      <c r="K2155" s="460" t="e">
        <v>#N/A</v>
      </c>
      <c r="L2155" s="459" t="e">
        <v>#N/A</v>
      </c>
      <c r="O2155" t="e">
        <v>#N/A</v>
      </c>
      <c r="P2155" t="e">
        <v>#N/A</v>
      </c>
    </row>
    <row r="2156" spans="1:16" ht="14.4" x14ac:dyDescent="0.3">
      <c r="A2156">
        <v>373938</v>
      </c>
      <c r="B2156" t="e">
        <f t="shared" si="66"/>
        <v>#N/A</v>
      </c>
      <c r="C2156" s="185" t="e">
        <f t="shared" si="67"/>
        <v>#N/A</v>
      </c>
      <c r="D2156" s="407" t="e">
        <v>#N/A</v>
      </c>
      <c r="E2156" s="407" t="e">
        <v>#N/A</v>
      </c>
      <c r="F2156" s="407" t="e">
        <v>#N/A</v>
      </c>
      <c r="G2156" s="407" t="e">
        <v>#N/A</v>
      </c>
      <c r="H2156" s="460" t="e">
        <v>#N/A</v>
      </c>
      <c r="I2156" s="460" t="e">
        <v>#N/A</v>
      </c>
      <c r="J2156" s="460" t="e">
        <v>#N/A</v>
      </c>
      <c r="K2156" s="460" t="e">
        <v>#N/A</v>
      </c>
      <c r="L2156" s="459" t="e">
        <v>#N/A</v>
      </c>
      <c r="O2156" t="e">
        <v>#N/A</v>
      </c>
      <c r="P2156" t="e">
        <v>#N/A</v>
      </c>
    </row>
    <row r="2157" spans="1:16" ht="14.4" x14ac:dyDescent="0.3">
      <c r="A2157">
        <v>373939</v>
      </c>
      <c r="B2157" t="e">
        <f t="shared" si="66"/>
        <v>#N/A</v>
      </c>
      <c r="C2157" s="185" t="e">
        <f t="shared" si="67"/>
        <v>#N/A</v>
      </c>
      <c r="D2157" s="407" t="e">
        <v>#N/A</v>
      </c>
      <c r="E2157" s="407" t="e">
        <v>#N/A</v>
      </c>
      <c r="F2157" s="407" t="e">
        <v>#N/A</v>
      </c>
      <c r="G2157" s="407" t="e">
        <v>#N/A</v>
      </c>
      <c r="H2157" s="460" t="e">
        <v>#N/A</v>
      </c>
      <c r="I2157" s="460" t="e">
        <v>#N/A</v>
      </c>
      <c r="J2157" s="460" t="e">
        <v>#N/A</v>
      </c>
      <c r="K2157" s="460" t="e">
        <v>#N/A</v>
      </c>
      <c r="L2157" s="459" t="e">
        <v>#N/A</v>
      </c>
      <c r="O2157" t="e">
        <v>#N/A</v>
      </c>
      <c r="P2157" t="e">
        <v>#N/A</v>
      </c>
    </row>
    <row r="2158" spans="1:16" ht="14.4" x14ac:dyDescent="0.3">
      <c r="A2158">
        <v>373940</v>
      </c>
      <c r="B2158" t="e">
        <f t="shared" si="66"/>
        <v>#N/A</v>
      </c>
      <c r="C2158" s="185" t="e">
        <f t="shared" si="67"/>
        <v>#N/A</v>
      </c>
      <c r="D2158" s="407" t="e">
        <v>#N/A</v>
      </c>
      <c r="E2158" s="407" t="e">
        <v>#N/A</v>
      </c>
      <c r="F2158" s="407" t="e">
        <v>#N/A</v>
      </c>
      <c r="G2158" s="407" t="e">
        <v>#N/A</v>
      </c>
      <c r="H2158" s="460" t="e">
        <v>#N/A</v>
      </c>
      <c r="I2158" s="460" t="e">
        <v>#N/A</v>
      </c>
      <c r="J2158" s="460" t="e">
        <v>#N/A</v>
      </c>
      <c r="K2158" s="460" t="e">
        <v>#N/A</v>
      </c>
      <c r="L2158" s="459" t="e">
        <v>#N/A</v>
      </c>
      <c r="O2158" t="e">
        <v>#N/A</v>
      </c>
      <c r="P2158" t="e">
        <v>#N/A</v>
      </c>
    </row>
    <row r="2159" spans="1:16" ht="14.4" x14ac:dyDescent="0.3">
      <c r="A2159">
        <v>373941</v>
      </c>
      <c r="B2159" t="e">
        <f t="shared" si="66"/>
        <v>#N/A</v>
      </c>
      <c r="C2159" s="185" t="e">
        <f t="shared" si="67"/>
        <v>#N/A</v>
      </c>
      <c r="D2159" s="407" t="e">
        <v>#N/A</v>
      </c>
      <c r="E2159" s="407" t="e">
        <v>#N/A</v>
      </c>
      <c r="F2159" s="407" t="e">
        <v>#N/A</v>
      </c>
      <c r="G2159" s="407" t="e">
        <v>#N/A</v>
      </c>
      <c r="H2159" s="460" t="e">
        <v>#N/A</v>
      </c>
      <c r="I2159" s="460" t="e">
        <v>#N/A</v>
      </c>
      <c r="J2159" s="460" t="e">
        <v>#N/A</v>
      </c>
      <c r="K2159" s="460" t="e">
        <v>#N/A</v>
      </c>
      <c r="L2159" s="459" t="e">
        <v>#N/A</v>
      </c>
      <c r="O2159" t="e">
        <v>#N/A</v>
      </c>
      <c r="P2159" t="e">
        <v>#N/A</v>
      </c>
    </row>
    <row r="2160" spans="1:16" ht="14.4" x14ac:dyDescent="0.3">
      <c r="A2160">
        <v>373942</v>
      </c>
      <c r="B2160" t="e">
        <f t="shared" si="66"/>
        <v>#N/A</v>
      </c>
      <c r="C2160" s="185" t="e">
        <f t="shared" si="67"/>
        <v>#N/A</v>
      </c>
      <c r="D2160" s="407" t="e">
        <v>#N/A</v>
      </c>
      <c r="E2160" s="407" t="e">
        <v>#N/A</v>
      </c>
      <c r="F2160" s="407" t="e">
        <v>#N/A</v>
      </c>
      <c r="G2160" s="407" t="e">
        <v>#N/A</v>
      </c>
      <c r="H2160" s="460" t="e">
        <v>#N/A</v>
      </c>
      <c r="I2160" s="460" t="e">
        <v>#N/A</v>
      </c>
      <c r="J2160" s="460" t="e">
        <v>#N/A</v>
      </c>
      <c r="K2160" s="460" t="e">
        <v>#N/A</v>
      </c>
      <c r="L2160" s="459" t="e">
        <v>#N/A</v>
      </c>
      <c r="O2160" t="e">
        <v>#N/A</v>
      </c>
      <c r="P2160" t="e">
        <v>#N/A</v>
      </c>
    </row>
    <row r="2161" spans="1:16" ht="14.4" x14ac:dyDescent="0.3">
      <c r="A2161">
        <v>373943</v>
      </c>
      <c r="B2161" t="e">
        <f t="shared" si="66"/>
        <v>#N/A</v>
      </c>
      <c r="C2161" s="185" t="e">
        <f t="shared" si="67"/>
        <v>#N/A</v>
      </c>
      <c r="D2161" s="407" t="e">
        <v>#N/A</v>
      </c>
      <c r="E2161" s="407" t="e">
        <v>#N/A</v>
      </c>
      <c r="F2161" s="407" t="e">
        <v>#N/A</v>
      </c>
      <c r="G2161" s="407" t="e">
        <v>#N/A</v>
      </c>
      <c r="H2161" s="460" t="e">
        <v>#N/A</v>
      </c>
      <c r="I2161" s="460" t="e">
        <v>#N/A</v>
      </c>
      <c r="J2161" s="460" t="e">
        <v>#N/A</v>
      </c>
      <c r="K2161" s="460" t="e">
        <v>#N/A</v>
      </c>
      <c r="L2161" s="459" t="e">
        <v>#N/A</v>
      </c>
      <c r="O2161" t="e">
        <v>#N/A</v>
      </c>
      <c r="P2161" t="e">
        <v>#N/A</v>
      </c>
    </row>
    <row r="2162" spans="1:16" ht="14.4" x14ac:dyDescent="0.3">
      <c r="A2162">
        <v>374809</v>
      </c>
      <c r="B2162" t="e">
        <f t="shared" si="66"/>
        <v>#N/A</v>
      </c>
      <c r="C2162" s="185" t="e">
        <f t="shared" si="67"/>
        <v>#N/A</v>
      </c>
      <c r="D2162" s="407" t="e">
        <v>#N/A</v>
      </c>
      <c r="E2162" s="407" t="e">
        <v>#N/A</v>
      </c>
      <c r="F2162" s="407" t="e">
        <v>#N/A</v>
      </c>
      <c r="G2162" s="407" t="e">
        <v>#N/A</v>
      </c>
      <c r="H2162" s="460" t="e">
        <v>#N/A</v>
      </c>
      <c r="I2162" s="460" t="e">
        <v>#N/A</v>
      </c>
      <c r="J2162" s="460" t="e">
        <v>#N/A</v>
      </c>
      <c r="K2162" s="460" t="e">
        <v>#N/A</v>
      </c>
      <c r="L2162" s="459" t="e">
        <v>#N/A</v>
      </c>
      <c r="O2162" t="e">
        <v>#N/A</v>
      </c>
      <c r="P2162" t="e">
        <v>#N/A</v>
      </c>
    </row>
    <row r="2163" spans="1:16" ht="14.4" x14ac:dyDescent="0.3">
      <c r="A2163">
        <v>374810</v>
      </c>
      <c r="B2163" t="e">
        <f t="shared" si="66"/>
        <v>#N/A</v>
      </c>
      <c r="C2163" s="185" t="e">
        <f t="shared" si="67"/>
        <v>#N/A</v>
      </c>
      <c r="D2163" s="407" t="e">
        <v>#N/A</v>
      </c>
      <c r="E2163" s="407" t="e">
        <v>#N/A</v>
      </c>
      <c r="F2163" s="407" t="e">
        <v>#N/A</v>
      </c>
      <c r="G2163" s="407" t="e">
        <v>#N/A</v>
      </c>
      <c r="H2163" s="460" t="e">
        <v>#N/A</v>
      </c>
      <c r="I2163" s="460" t="e">
        <v>#N/A</v>
      </c>
      <c r="J2163" s="460" t="e">
        <v>#N/A</v>
      </c>
      <c r="K2163" s="460" t="e">
        <v>#N/A</v>
      </c>
      <c r="L2163" s="459" t="e">
        <v>#N/A</v>
      </c>
      <c r="O2163" t="e">
        <v>#N/A</v>
      </c>
      <c r="P2163" t="e">
        <v>#N/A</v>
      </c>
    </row>
    <row r="2164" spans="1:16" ht="14.4" x14ac:dyDescent="0.3">
      <c r="A2164">
        <v>374812</v>
      </c>
      <c r="B2164" t="e">
        <f t="shared" si="66"/>
        <v>#N/A</v>
      </c>
      <c r="C2164" s="185" t="e">
        <f t="shared" si="67"/>
        <v>#N/A</v>
      </c>
      <c r="D2164" s="407" t="e">
        <v>#N/A</v>
      </c>
      <c r="E2164" s="407" t="e">
        <v>#N/A</v>
      </c>
      <c r="F2164" s="407" t="e">
        <v>#N/A</v>
      </c>
      <c r="G2164" s="407" t="e">
        <v>#N/A</v>
      </c>
      <c r="H2164" s="460" t="e">
        <v>#N/A</v>
      </c>
      <c r="I2164" s="460" t="e">
        <v>#N/A</v>
      </c>
      <c r="J2164" s="460" t="e">
        <v>#N/A</v>
      </c>
      <c r="K2164" s="460" t="e">
        <v>#N/A</v>
      </c>
      <c r="L2164" s="459" t="e">
        <v>#N/A</v>
      </c>
      <c r="O2164" t="e">
        <v>#N/A</v>
      </c>
      <c r="P2164" t="e">
        <v>#N/A</v>
      </c>
    </row>
    <row r="2165" spans="1:16" ht="14.4" x14ac:dyDescent="0.3">
      <c r="A2165">
        <v>374813</v>
      </c>
      <c r="B2165" t="e">
        <f t="shared" si="66"/>
        <v>#N/A</v>
      </c>
      <c r="C2165" s="185" t="e">
        <f t="shared" si="67"/>
        <v>#N/A</v>
      </c>
      <c r="D2165" s="407" t="e">
        <v>#N/A</v>
      </c>
      <c r="E2165" s="407" t="e">
        <v>#N/A</v>
      </c>
      <c r="F2165" s="407" t="e">
        <v>#N/A</v>
      </c>
      <c r="G2165" s="407" t="e">
        <v>#N/A</v>
      </c>
      <c r="H2165" s="460" t="e">
        <v>#N/A</v>
      </c>
      <c r="I2165" s="460" t="e">
        <v>#N/A</v>
      </c>
      <c r="J2165" s="460" t="e">
        <v>#N/A</v>
      </c>
      <c r="K2165" s="460" t="e">
        <v>#N/A</v>
      </c>
      <c r="L2165" s="459" t="e">
        <v>#N/A</v>
      </c>
      <c r="O2165" t="e">
        <v>#N/A</v>
      </c>
      <c r="P2165" t="e">
        <v>#N/A</v>
      </c>
    </row>
    <row r="2166" spans="1:16" ht="14.4" x14ac:dyDescent="0.3">
      <c r="A2166">
        <v>374814</v>
      </c>
      <c r="B2166" t="e">
        <f t="shared" si="66"/>
        <v>#N/A</v>
      </c>
      <c r="C2166" s="185" t="e">
        <f t="shared" si="67"/>
        <v>#N/A</v>
      </c>
      <c r="D2166" s="407" t="e">
        <v>#N/A</v>
      </c>
      <c r="E2166" s="407" t="e">
        <v>#N/A</v>
      </c>
      <c r="F2166" s="407" t="e">
        <v>#N/A</v>
      </c>
      <c r="G2166" s="407" t="e">
        <v>#N/A</v>
      </c>
      <c r="H2166" s="460" t="e">
        <v>#N/A</v>
      </c>
      <c r="I2166" s="460" t="e">
        <v>#N/A</v>
      </c>
      <c r="J2166" s="460" t="e">
        <v>#N/A</v>
      </c>
      <c r="K2166" s="460" t="e">
        <v>#N/A</v>
      </c>
      <c r="L2166" s="459" t="e">
        <v>#N/A</v>
      </c>
      <c r="O2166" t="e">
        <v>#N/A</v>
      </c>
      <c r="P2166" t="e">
        <v>#N/A</v>
      </c>
    </row>
    <row r="2167" spans="1:16" ht="14.4" x14ac:dyDescent="0.3">
      <c r="A2167">
        <v>375036</v>
      </c>
      <c r="B2167" t="str">
        <f t="shared" si="66"/>
        <v/>
      </c>
      <c r="C2167" s="185" t="e">
        <f t="shared" si="67"/>
        <v>#N/A</v>
      </c>
      <c r="D2167" s="407" t="s">
        <v>8345</v>
      </c>
      <c r="E2167" s="407" t="s">
        <v>8346</v>
      </c>
      <c r="F2167" s="407" t="s">
        <v>68</v>
      </c>
      <c r="G2167" s="407" t="s">
        <v>68</v>
      </c>
      <c r="H2167" s="460" t="e">
        <v>#N/A</v>
      </c>
      <c r="I2167" s="460" t="e">
        <v>#N/A</v>
      </c>
      <c r="J2167" s="460" t="e">
        <v>#N/A</v>
      </c>
      <c r="K2167" s="460" t="e">
        <v>#N/A</v>
      </c>
      <c r="L2167" s="459" t="e">
        <v>#N/A</v>
      </c>
      <c r="O2167">
        <v>10.962210000000001</v>
      </c>
      <c r="P2167" t="s">
        <v>10182</v>
      </c>
    </row>
    <row r="2168" spans="1:16" ht="14.4" x14ac:dyDescent="0.3">
      <c r="A2168">
        <v>375038</v>
      </c>
      <c r="B2168" t="str">
        <f t="shared" si="66"/>
        <v/>
      </c>
      <c r="C2168" s="185" t="e">
        <f t="shared" si="67"/>
        <v>#N/A</v>
      </c>
      <c r="D2168" s="407" t="s">
        <v>8347</v>
      </c>
      <c r="E2168" s="407" t="s">
        <v>8348</v>
      </c>
      <c r="F2168" s="407" t="s">
        <v>8349</v>
      </c>
      <c r="G2168" s="407" t="s">
        <v>68</v>
      </c>
      <c r="H2168" s="460" t="e">
        <v>#N/A</v>
      </c>
      <c r="I2168" s="460" t="e">
        <v>#N/A</v>
      </c>
      <c r="J2168" s="460" t="e">
        <v>#N/A</v>
      </c>
      <c r="K2168" s="460" t="e">
        <v>#N/A</v>
      </c>
      <c r="L2168" s="459" t="e">
        <v>#N/A</v>
      </c>
      <c r="O2168">
        <v>14.8605</v>
      </c>
      <c r="P2168" t="s">
        <v>10183</v>
      </c>
    </row>
    <row r="2169" spans="1:16" ht="14.4" x14ac:dyDescent="0.3">
      <c r="A2169">
        <v>375040</v>
      </c>
      <c r="B2169" t="str">
        <f t="shared" si="66"/>
        <v/>
      </c>
      <c r="C2169" s="185" t="e">
        <f t="shared" si="67"/>
        <v>#N/A</v>
      </c>
      <c r="D2169" s="407" t="s">
        <v>8350</v>
      </c>
      <c r="E2169" s="407" t="s">
        <v>8351</v>
      </c>
      <c r="F2169" s="407" t="s">
        <v>8352</v>
      </c>
      <c r="G2169" s="407" t="s">
        <v>68</v>
      </c>
      <c r="H2169" s="460" t="e">
        <v>#N/A</v>
      </c>
      <c r="I2169" s="460" t="e">
        <v>#N/A</v>
      </c>
      <c r="J2169" s="460" t="e">
        <v>#N/A</v>
      </c>
      <c r="K2169" s="460" t="e">
        <v>#N/A</v>
      </c>
      <c r="L2169" s="459" t="e">
        <v>#N/A</v>
      </c>
      <c r="O2169">
        <v>29.662749999999999</v>
      </c>
      <c r="P2169" t="s">
        <v>10184</v>
      </c>
    </row>
    <row r="2170" spans="1:16" ht="14.4" x14ac:dyDescent="0.3">
      <c r="A2170">
        <v>375041</v>
      </c>
      <c r="B2170" t="str">
        <f t="shared" si="66"/>
        <v/>
      </c>
      <c r="C2170" s="185" t="e">
        <f t="shared" si="67"/>
        <v>#N/A</v>
      </c>
      <c r="D2170" s="407" t="s">
        <v>8353</v>
      </c>
      <c r="E2170" s="407" t="s">
        <v>8354</v>
      </c>
      <c r="F2170" s="407" t="s">
        <v>8355</v>
      </c>
      <c r="G2170" s="407" t="s">
        <v>68</v>
      </c>
      <c r="H2170" s="460" t="e">
        <v>#N/A</v>
      </c>
      <c r="I2170" s="460" t="e">
        <v>#N/A</v>
      </c>
      <c r="J2170" s="460" t="e">
        <v>#N/A</v>
      </c>
      <c r="K2170" s="460" t="e">
        <v>#N/A</v>
      </c>
      <c r="L2170" s="459" t="e">
        <v>#N/A</v>
      </c>
      <c r="O2170">
        <v>0</v>
      </c>
      <c r="P2170" t="s">
        <v>10185</v>
      </c>
    </row>
    <row r="2171" spans="1:16" ht="14.4" x14ac:dyDescent="0.3">
      <c r="A2171">
        <v>375042</v>
      </c>
      <c r="B2171" t="str">
        <f t="shared" si="66"/>
        <v/>
      </c>
      <c r="C2171" s="185" t="e">
        <f t="shared" si="67"/>
        <v>#N/A</v>
      </c>
      <c r="D2171" s="407" t="s">
        <v>8356</v>
      </c>
      <c r="E2171" s="407" t="s">
        <v>8357</v>
      </c>
      <c r="F2171" s="407" t="s">
        <v>8358</v>
      </c>
      <c r="G2171" s="407" t="s">
        <v>68</v>
      </c>
      <c r="H2171" s="460" t="e">
        <v>#N/A</v>
      </c>
      <c r="I2171" s="460" t="e">
        <v>#N/A</v>
      </c>
      <c r="J2171" s="460" t="e">
        <v>#N/A</v>
      </c>
      <c r="K2171" s="460" t="e">
        <v>#N/A</v>
      </c>
      <c r="L2171" s="459" t="e">
        <v>#N/A</v>
      </c>
      <c r="O2171">
        <v>0</v>
      </c>
      <c r="P2171" t="s">
        <v>10186</v>
      </c>
    </row>
    <row r="2172" spans="1:16" ht="14.4" x14ac:dyDescent="0.3">
      <c r="A2172">
        <v>375047</v>
      </c>
      <c r="B2172" t="str">
        <f t="shared" si="66"/>
        <v/>
      </c>
      <c r="C2172" s="185" t="e">
        <f t="shared" si="67"/>
        <v>#N/A</v>
      </c>
      <c r="D2172" s="407" t="s">
        <v>8359</v>
      </c>
      <c r="E2172" s="407" t="s">
        <v>8360</v>
      </c>
      <c r="F2172" s="407" t="s">
        <v>8361</v>
      </c>
      <c r="G2172" s="407" t="s">
        <v>68</v>
      </c>
      <c r="H2172" s="460" t="e">
        <v>#N/A</v>
      </c>
      <c r="I2172" s="460" t="e">
        <v>#N/A</v>
      </c>
      <c r="J2172" s="460" t="e">
        <v>#N/A</v>
      </c>
      <c r="K2172" s="460" t="e">
        <v>#N/A</v>
      </c>
      <c r="L2172" s="459" t="e">
        <v>#N/A</v>
      </c>
      <c r="O2172">
        <v>0</v>
      </c>
      <c r="P2172" t="s">
        <v>10187</v>
      </c>
    </row>
    <row r="2173" spans="1:16" ht="14.4" x14ac:dyDescent="0.3">
      <c r="A2173">
        <v>375048</v>
      </c>
      <c r="B2173" t="str">
        <f t="shared" si="66"/>
        <v/>
      </c>
      <c r="C2173" s="185" t="e">
        <f t="shared" si="67"/>
        <v>#N/A</v>
      </c>
      <c r="D2173" s="407" t="s">
        <v>8362</v>
      </c>
      <c r="E2173" s="407" t="s">
        <v>8363</v>
      </c>
      <c r="F2173" s="407" t="s">
        <v>68</v>
      </c>
      <c r="G2173" s="407" t="s">
        <v>68</v>
      </c>
      <c r="H2173" s="460" t="e">
        <v>#N/A</v>
      </c>
      <c r="I2173" s="460" t="e">
        <v>#N/A</v>
      </c>
      <c r="J2173" s="460" t="e">
        <v>#N/A</v>
      </c>
      <c r="K2173" s="460" t="e">
        <v>#N/A</v>
      </c>
      <c r="L2173" s="459" t="e">
        <v>#N/A</v>
      </c>
      <c r="O2173">
        <v>0.29137999999999997</v>
      </c>
      <c r="P2173" t="s">
        <v>10188</v>
      </c>
    </row>
    <row r="2174" spans="1:16" ht="14.4" x14ac:dyDescent="0.3">
      <c r="A2174">
        <v>350696</v>
      </c>
      <c r="B2174" t="str">
        <f t="shared" si="66"/>
        <v>SEVROLL U profil stalowy 6 m srebrny</v>
      </c>
      <c r="C2174" s="185" t="e">
        <f t="shared" si="67"/>
        <v>#N/A</v>
      </c>
      <c r="D2174" s="407" t="s">
        <v>1694</v>
      </c>
      <c r="E2174" s="407" t="s">
        <v>2121</v>
      </c>
      <c r="F2174" s="407" t="s">
        <v>2297</v>
      </c>
      <c r="G2174" s="407" t="s">
        <v>6122</v>
      </c>
      <c r="H2174" s="460" t="e">
        <v>#N/A</v>
      </c>
      <c r="I2174" s="460" t="e">
        <v>#N/A</v>
      </c>
      <c r="J2174" s="460" t="e">
        <v>#N/A</v>
      </c>
      <c r="K2174" s="460" t="e">
        <v>#N/A</v>
      </c>
      <c r="L2174" s="459" t="e">
        <v>#N/A</v>
      </c>
      <c r="O2174">
        <v>43.802</v>
      </c>
      <c r="P2174" t="s">
        <v>10189</v>
      </c>
    </row>
    <row r="2175" spans="1:16" ht="14.4" x14ac:dyDescent="0.3">
      <c r="A2175">
        <v>351137</v>
      </c>
      <c r="B2175" t="str">
        <f t="shared" si="66"/>
        <v>Okucie do drzwi przesuwnych do wnętrz 01499/2AM/27/1900/10 80kg</v>
      </c>
      <c r="C2175" s="185" t="e">
        <f t="shared" si="67"/>
        <v>#N/A</v>
      </c>
      <c r="D2175" s="407" t="s">
        <v>8364</v>
      </c>
      <c r="E2175" s="407" t="s">
        <v>8365</v>
      </c>
      <c r="F2175" s="407" t="s">
        <v>68</v>
      </c>
      <c r="G2175" s="407" t="s">
        <v>8366</v>
      </c>
      <c r="H2175" s="460" t="e">
        <v>#N/A</v>
      </c>
      <c r="I2175" s="460" t="e">
        <v>#N/A</v>
      </c>
      <c r="J2175" s="460" t="e">
        <v>#N/A</v>
      </c>
      <c r="K2175" s="460" t="e">
        <v>#N/A</v>
      </c>
      <c r="L2175" s="459" t="e">
        <v>#N/A</v>
      </c>
      <c r="O2175">
        <v>81.6648</v>
      </c>
      <c r="P2175" t="s">
        <v>10190</v>
      </c>
    </row>
    <row r="2176" spans="1:16" ht="14.4" x14ac:dyDescent="0.3">
      <c r="A2176">
        <v>460670</v>
      </c>
      <c r="B2176" t="e">
        <f t="shared" si="66"/>
        <v>#N/A</v>
      </c>
      <c r="C2176" s="185" t="e">
        <f t="shared" si="67"/>
        <v>#N/A</v>
      </c>
      <c r="D2176" s="407" t="e">
        <v>#N/A</v>
      </c>
      <c r="E2176" s="407" t="e">
        <v>#N/A</v>
      </c>
      <c r="F2176" s="407" t="e">
        <v>#N/A</v>
      </c>
      <c r="G2176" s="407" t="e">
        <v>#N/A</v>
      </c>
      <c r="H2176" s="460" t="e">
        <v>#N/A</v>
      </c>
      <c r="I2176" s="460" t="e">
        <v>#N/A</v>
      </c>
      <c r="J2176" s="460" t="e">
        <v>#N/A</v>
      </c>
      <c r="K2176" s="460" t="e">
        <v>#N/A</v>
      </c>
      <c r="L2176" s="459" t="e">
        <v>#N/A</v>
      </c>
      <c r="O2176" t="e">
        <v>#N/A</v>
      </c>
      <c r="P2176" t="e">
        <v>#N/A</v>
      </c>
    </row>
    <row r="2177" spans="1:16" ht="14.4" x14ac:dyDescent="0.3">
      <c r="A2177">
        <v>460671</v>
      </c>
      <c r="B2177" t="e">
        <f t="shared" si="66"/>
        <v>#N/A</v>
      </c>
      <c r="C2177" s="185" t="e">
        <f t="shared" si="67"/>
        <v>#N/A</v>
      </c>
      <c r="D2177" s="407" t="e">
        <v>#N/A</v>
      </c>
      <c r="E2177" s="407" t="e">
        <v>#N/A</v>
      </c>
      <c r="F2177" s="407" t="e">
        <v>#N/A</v>
      </c>
      <c r="G2177" s="407" t="e">
        <v>#N/A</v>
      </c>
      <c r="H2177" s="460" t="e">
        <v>#N/A</v>
      </c>
      <c r="I2177" s="460" t="e">
        <v>#N/A</v>
      </c>
      <c r="J2177" s="460" t="e">
        <v>#N/A</v>
      </c>
      <c r="K2177" s="460" t="e">
        <v>#N/A</v>
      </c>
      <c r="L2177" s="459" t="e">
        <v>#N/A</v>
      </c>
      <c r="O2177" t="e">
        <v>#N/A</v>
      </c>
      <c r="P2177" t="e">
        <v>#N/A</v>
      </c>
    </row>
    <row r="2178" spans="1:16" ht="14.4" x14ac:dyDescent="0.3">
      <c r="A2178">
        <v>460672</v>
      </c>
      <c r="B2178" t="e">
        <f t="shared" si="66"/>
        <v>#N/A</v>
      </c>
      <c r="C2178" s="185" t="e">
        <f t="shared" si="67"/>
        <v>#N/A</v>
      </c>
      <c r="D2178" s="407" t="e">
        <v>#N/A</v>
      </c>
      <c r="E2178" s="407" t="e">
        <v>#N/A</v>
      </c>
      <c r="F2178" s="407" t="e">
        <v>#N/A</v>
      </c>
      <c r="G2178" s="407" t="e">
        <v>#N/A</v>
      </c>
      <c r="H2178" s="460" t="e">
        <v>#N/A</v>
      </c>
      <c r="I2178" s="460" t="e">
        <v>#N/A</v>
      </c>
      <c r="J2178" s="460" t="e">
        <v>#N/A</v>
      </c>
      <c r="K2178" s="460" t="e">
        <v>#N/A</v>
      </c>
      <c r="L2178" s="459" t="e">
        <v>#N/A</v>
      </c>
      <c r="O2178" t="e">
        <v>#N/A</v>
      </c>
      <c r="P2178" t="e">
        <v>#N/A</v>
      </c>
    </row>
    <row r="2179" spans="1:16" ht="14.4" x14ac:dyDescent="0.3">
      <c r="A2179">
        <v>88052</v>
      </c>
      <c r="B2179" t="str">
        <f t="shared" si="66"/>
        <v>Szczotka wsuwana 6,7x7mm szara</v>
      </c>
      <c r="C2179" s="185" t="e">
        <f t="shared" si="67"/>
        <v>#N/A</v>
      </c>
      <c r="D2179" s="407" t="s">
        <v>8367</v>
      </c>
      <c r="E2179" s="407" t="s">
        <v>8368</v>
      </c>
      <c r="F2179" s="407" t="s">
        <v>8367</v>
      </c>
      <c r="G2179" s="407" t="s">
        <v>8369</v>
      </c>
      <c r="H2179" s="460" t="e">
        <v>#N/A</v>
      </c>
      <c r="I2179" s="460" t="e">
        <v>#N/A</v>
      </c>
      <c r="J2179" s="460" t="e">
        <v>#N/A</v>
      </c>
      <c r="K2179" s="460" t="e">
        <v>#N/A</v>
      </c>
      <c r="L2179" s="459" t="e">
        <v>#N/A</v>
      </c>
      <c r="O2179">
        <v>0.31002000000000002</v>
      </c>
      <c r="P2179" t="s">
        <v>10191</v>
      </c>
    </row>
    <row r="2180" spans="1:16" ht="14.4" x14ac:dyDescent="0.3">
      <c r="A2180">
        <v>86275</v>
      </c>
      <c r="B2180" t="str">
        <f t="shared" ref="B2180:B2243" si="68">IF($A$2=1,D2180,IF($A$2=2,F2180,IF($A$2=3,G2180,IF($A$2=4,E2180,IF($A$2&gt;4,P2180,"zadat jazyk")))))</f>
        <v>S-komplet okuć S65</v>
      </c>
      <c r="C2180" s="185">
        <f t="shared" ref="C2180:C2243" si="69">IF($A$2=1,H2180,IF($A$2=2,I2180,IF($A$2=3,J2180,IF($A$2=4,K2180,IF($A$2&gt;4,O2180,"zadat jazyk")))))</f>
        <v>56.740940000000002</v>
      </c>
      <c r="D2180" s="407" t="s">
        <v>8370</v>
      </c>
      <c r="E2180" s="407" t="s">
        <v>8371</v>
      </c>
      <c r="F2180" s="407" t="s">
        <v>8372</v>
      </c>
      <c r="G2180" s="407" t="s">
        <v>8373</v>
      </c>
      <c r="H2180" s="460">
        <v>301.35000000000002</v>
      </c>
      <c r="I2180" s="460">
        <v>12.86153</v>
      </c>
      <c r="J2180" s="460">
        <v>56.740940000000002</v>
      </c>
      <c r="K2180" s="460" t="e">
        <v>#N/A</v>
      </c>
      <c r="L2180" s="459" t="s">
        <v>537</v>
      </c>
      <c r="O2180">
        <v>10.83942</v>
      </c>
      <c r="P2180" t="s">
        <v>10192</v>
      </c>
    </row>
    <row r="2181" spans="1:16" ht="14.4" x14ac:dyDescent="0.3">
      <c r="A2181">
        <v>86282</v>
      </c>
      <c r="B2181" t="str">
        <f t="shared" si="68"/>
        <v>S-S05 górny profil prowadzący 3,5m srebrny</v>
      </c>
      <c r="C2181" s="185" t="e">
        <f t="shared" si="69"/>
        <v>#N/A</v>
      </c>
      <c r="D2181" s="407" t="s">
        <v>8374</v>
      </c>
      <c r="E2181" s="407" t="s">
        <v>8375</v>
      </c>
      <c r="F2181" s="407" t="s">
        <v>8376</v>
      </c>
      <c r="G2181" s="407" t="s">
        <v>8377</v>
      </c>
      <c r="H2181" s="460" t="e">
        <v>#N/A</v>
      </c>
      <c r="I2181" s="460" t="e">
        <v>#N/A</v>
      </c>
      <c r="J2181" s="460" t="e">
        <v>#N/A</v>
      </c>
      <c r="K2181" s="460" t="e">
        <v>#N/A</v>
      </c>
      <c r="L2181" s="459" t="e">
        <v>#N/A</v>
      </c>
      <c r="O2181">
        <v>0</v>
      </c>
      <c r="P2181" t="s">
        <v>10193</v>
      </c>
    </row>
    <row r="2182" spans="1:16" ht="14.4" x14ac:dyDescent="0.3">
      <c r="A2182">
        <v>86283</v>
      </c>
      <c r="B2182" t="str">
        <f t="shared" si="68"/>
        <v>S-S05 górny profil prowadzący 4m srebrny</v>
      </c>
      <c r="C2182" s="185" t="e">
        <f t="shared" si="69"/>
        <v>#N/A</v>
      </c>
      <c r="D2182" s="407" t="s">
        <v>8378</v>
      </c>
      <c r="E2182" s="407" t="s">
        <v>8379</v>
      </c>
      <c r="F2182" s="407" t="s">
        <v>8380</v>
      </c>
      <c r="G2182" s="407" t="s">
        <v>8381</v>
      </c>
      <c r="H2182" s="460" t="e">
        <v>#N/A</v>
      </c>
      <c r="I2182" s="460" t="e">
        <v>#N/A</v>
      </c>
      <c r="J2182" s="460" t="e">
        <v>#N/A</v>
      </c>
      <c r="K2182" s="460" t="e">
        <v>#N/A</v>
      </c>
      <c r="L2182" s="459" t="e">
        <v>#N/A</v>
      </c>
      <c r="O2182">
        <v>0</v>
      </c>
      <c r="P2182" t="s">
        <v>10194</v>
      </c>
    </row>
    <row r="2183" spans="1:16" ht="14.4" x14ac:dyDescent="0.3">
      <c r="A2183">
        <v>86286</v>
      </c>
      <c r="B2183" t="str">
        <f t="shared" si="68"/>
        <v>S-S06 dolny profil prowadzący alu 3m</v>
      </c>
      <c r="C2183" s="185" t="e">
        <f t="shared" si="69"/>
        <v>#N/A</v>
      </c>
      <c r="D2183" s="407" t="s">
        <v>8382</v>
      </c>
      <c r="E2183" s="407" t="s">
        <v>8383</v>
      </c>
      <c r="F2183" s="407" t="s">
        <v>8384</v>
      </c>
      <c r="G2183" s="407" t="s">
        <v>8385</v>
      </c>
      <c r="H2183" s="460" t="e">
        <v>#N/A</v>
      </c>
      <c r="I2183" s="460" t="e">
        <v>#N/A</v>
      </c>
      <c r="J2183" s="460" t="e">
        <v>#N/A</v>
      </c>
      <c r="K2183" s="460" t="e">
        <v>#N/A</v>
      </c>
      <c r="L2183" s="459" t="e">
        <v>#N/A</v>
      </c>
      <c r="O2183">
        <v>0</v>
      </c>
      <c r="P2183" t="s">
        <v>10195</v>
      </c>
    </row>
    <row r="2184" spans="1:16" ht="14.4" x14ac:dyDescent="0.3">
      <c r="A2184">
        <v>87350</v>
      </c>
      <c r="B2184" t="str">
        <f t="shared" si="68"/>
        <v>Okucie do drzwi przesuwnych do wnętrz 1390 40kg</v>
      </c>
      <c r="C2184" s="185">
        <f t="shared" si="69"/>
        <v>93.735380000000006</v>
      </c>
      <c r="D2184" s="407" t="s">
        <v>8386</v>
      </c>
      <c r="E2184" s="407" t="s">
        <v>8387</v>
      </c>
      <c r="F2184" s="407" t="s">
        <v>8388</v>
      </c>
      <c r="G2184" s="407" t="s">
        <v>8389</v>
      </c>
      <c r="H2184" s="460">
        <v>507.69238000000001</v>
      </c>
      <c r="I2184" s="460">
        <v>21.132370000000002</v>
      </c>
      <c r="J2184" s="460">
        <v>93.735380000000006</v>
      </c>
      <c r="K2184" s="460" t="e">
        <v>#N/A</v>
      </c>
      <c r="L2184" s="459" t="s">
        <v>538</v>
      </c>
      <c r="O2184">
        <v>17.375399999999999</v>
      </c>
      <c r="P2184" t="s">
        <v>10196</v>
      </c>
    </row>
    <row r="2185" spans="1:16" ht="14.4" x14ac:dyDescent="0.3">
      <c r="A2185">
        <v>87351</v>
      </c>
      <c r="B2185" t="str">
        <f t="shared" si="68"/>
        <v>Okucie do drzwi przesuwnych do wnętrz 1391/120 40kg</v>
      </c>
      <c r="C2185" s="185">
        <f t="shared" si="69"/>
        <v>171.95952</v>
      </c>
      <c r="D2185" s="407" t="s">
        <v>8390</v>
      </c>
      <c r="E2185" s="407" t="s">
        <v>8391</v>
      </c>
      <c r="F2185" s="407" t="s">
        <v>8392</v>
      </c>
      <c r="G2185" s="407" t="s">
        <v>8393</v>
      </c>
      <c r="H2185" s="460">
        <v>940.83330999999998</v>
      </c>
      <c r="I2185" s="460">
        <v>38.25994</v>
      </c>
      <c r="J2185" s="460">
        <v>171.95952</v>
      </c>
      <c r="K2185" s="460" t="e">
        <v>#N/A</v>
      </c>
      <c r="L2185" s="459" t="s">
        <v>539</v>
      </c>
      <c r="O2185">
        <v>32.713799999999999</v>
      </c>
      <c r="P2185" t="s">
        <v>10197</v>
      </c>
    </row>
    <row r="2186" spans="1:16" ht="14.4" x14ac:dyDescent="0.3">
      <c r="A2186">
        <v>87352</v>
      </c>
      <c r="B2186" t="str">
        <f t="shared" si="68"/>
        <v>Okucie do drzwi przesuwnych do wnętrz 1391/155 40 kg</v>
      </c>
      <c r="C2186" s="185">
        <f t="shared" si="69"/>
        <v>196.88471000000001</v>
      </c>
      <c r="D2186" s="407" t="s">
        <v>8394</v>
      </c>
      <c r="E2186" s="407" t="s">
        <v>8395</v>
      </c>
      <c r="F2186" s="407" t="s">
        <v>8396</v>
      </c>
      <c r="G2186" s="407" t="s">
        <v>8397</v>
      </c>
      <c r="H2186" s="460">
        <v>1077.2052200000001</v>
      </c>
      <c r="I2186" s="460">
        <v>43.740960000000001</v>
      </c>
      <c r="J2186" s="460">
        <v>196.88471000000001</v>
      </c>
      <c r="K2186" s="460" t="e">
        <v>#N/A</v>
      </c>
      <c r="L2186" s="459" t="s">
        <v>538</v>
      </c>
      <c r="O2186">
        <v>37.455599999999997</v>
      </c>
      <c r="P2186" t="s">
        <v>10198</v>
      </c>
    </row>
    <row r="2187" spans="1:16" ht="14.4" x14ac:dyDescent="0.3">
      <c r="A2187">
        <v>87353</v>
      </c>
      <c r="B2187" t="str">
        <f t="shared" si="68"/>
        <v>Okucie do drzwi przesuwnych do wnętrz 1391/190 40 kg</v>
      </c>
      <c r="C2187" s="185">
        <f t="shared" si="69"/>
        <v>221.14759000000001</v>
      </c>
      <c r="D2187" s="407" t="s">
        <v>8398</v>
      </c>
      <c r="E2187" s="407" t="s">
        <v>8399</v>
      </c>
      <c r="F2187" s="407" t="s">
        <v>8400</v>
      </c>
      <c r="G2187" s="407" t="s">
        <v>8401</v>
      </c>
      <c r="H2187" s="460">
        <v>1209.95343</v>
      </c>
      <c r="I2187" s="460">
        <v>48.757939999999998</v>
      </c>
      <c r="J2187" s="460">
        <v>221.14759000000001</v>
      </c>
      <c r="K2187" s="460" t="e">
        <v>#N/A</v>
      </c>
      <c r="L2187" s="459" t="s">
        <v>538</v>
      </c>
      <c r="O2187">
        <v>42.071399999999997</v>
      </c>
      <c r="P2187" t="s">
        <v>10199</v>
      </c>
    </row>
    <row r="2188" spans="1:16" ht="14.4" x14ac:dyDescent="0.3">
      <c r="A2188">
        <v>87354</v>
      </c>
      <c r="B2188" t="str">
        <f t="shared" si="68"/>
        <v>Okucie do drzwi przesuwnych do wnętrz 1391/230 40 kg</v>
      </c>
      <c r="C2188" s="185">
        <f t="shared" si="69"/>
        <v>249.51683</v>
      </c>
      <c r="D2188" s="407" t="s">
        <v>8402</v>
      </c>
      <c r="E2188" s="407" t="s">
        <v>8399</v>
      </c>
      <c r="F2188" s="407" t="s">
        <v>8403</v>
      </c>
      <c r="G2188" s="407" t="s">
        <v>8404</v>
      </c>
      <c r="H2188" s="460">
        <v>1365.16858</v>
      </c>
      <c r="I2188" s="460">
        <v>55.012709999999998</v>
      </c>
      <c r="J2188" s="460">
        <v>249.51683</v>
      </c>
      <c r="K2188" s="460" t="e">
        <v>#N/A</v>
      </c>
      <c r="L2188" s="459" t="s">
        <v>538</v>
      </c>
      <c r="O2188">
        <v>47.468400000000003</v>
      </c>
      <c r="P2188" t="s">
        <v>10200</v>
      </c>
    </row>
    <row r="2189" spans="1:16" ht="14.4" x14ac:dyDescent="0.3">
      <c r="A2189">
        <v>87355</v>
      </c>
      <c r="B2189" t="str">
        <f t="shared" si="68"/>
        <v>Okucie do drzwi przesuwnych do wnętrz 1391/280 40kg</v>
      </c>
      <c r="C2189" s="185">
        <f t="shared" si="69"/>
        <v>283.04109</v>
      </c>
      <c r="D2189" s="407" t="s">
        <v>8405</v>
      </c>
      <c r="E2189" s="407" t="s">
        <v>8406</v>
      </c>
      <c r="F2189" s="407" t="s">
        <v>8407</v>
      </c>
      <c r="G2189" s="407" t="s">
        <v>8408</v>
      </c>
      <c r="H2189" s="460">
        <v>1548.5881999999999</v>
      </c>
      <c r="I2189" s="460">
        <v>62.404040000000002</v>
      </c>
      <c r="J2189" s="460">
        <v>283.04109</v>
      </c>
      <c r="K2189" s="460" t="e">
        <v>#N/A</v>
      </c>
      <c r="L2189" s="459" t="s">
        <v>538</v>
      </c>
      <c r="O2189">
        <v>53.8461</v>
      </c>
      <c r="P2189" t="s">
        <v>10201</v>
      </c>
    </row>
    <row r="2190" spans="1:16" ht="14.4" x14ac:dyDescent="0.3">
      <c r="A2190">
        <v>87356</v>
      </c>
      <c r="B2190" t="str">
        <f t="shared" si="68"/>
        <v>Okucie do drzwi przesuwnych do wnętrz 1391/330 40kg</v>
      </c>
      <c r="C2190" s="185">
        <f t="shared" si="69"/>
        <v>317.59195999999997</v>
      </c>
      <c r="D2190" s="407" t="s">
        <v>8409</v>
      </c>
      <c r="E2190" s="407" t="s">
        <v>8410</v>
      </c>
      <c r="F2190" s="407" t="s">
        <v>8411</v>
      </c>
      <c r="G2190" s="407" t="s">
        <v>8412</v>
      </c>
      <c r="H2190" s="460">
        <v>1737.62455</v>
      </c>
      <c r="I2190" s="460">
        <v>70.021709999999999</v>
      </c>
      <c r="J2190" s="460">
        <v>317.59195999999997</v>
      </c>
      <c r="K2190" s="460" t="e">
        <v>#N/A</v>
      </c>
      <c r="L2190" s="459" t="s">
        <v>539</v>
      </c>
      <c r="O2190">
        <v>60.4191</v>
      </c>
      <c r="P2190" t="s">
        <v>10202</v>
      </c>
    </row>
    <row r="2191" spans="1:16" ht="14.4" x14ac:dyDescent="0.3">
      <c r="A2191">
        <v>220613</v>
      </c>
      <c r="B2191" t="str">
        <f t="shared" si="68"/>
        <v>SEVROLL U profil stalowy 2m srebrny</v>
      </c>
      <c r="C2191" s="185" t="e">
        <f t="shared" si="69"/>
        <v>#N/A</v>
      </c>
      <c r="D2191" s="407" t="s">
        <v>3022</v>
      </c>
      <c r="E2191" s="407" t="s">
        <v>2122</v>
      </c>
      <c r="F2191" s="407" t="s">
        <v>2298</v>
      </c>
      <c r="G2191" s="407" t="s">
        <v>2598</v>
      </c>
      <c r="H2191" s="460" t="e">
        <v>#N/A</v>
      </c>
      <c r="I2191" s="460" t="e">
        <v>#N/A</v>
      </c>
      <c r="J2191" s="460" t="e">
        <v>#N/A</v>
      </c>
      <c r="K2191" s="460" t="e">
        <v>#N/A</v>
      </c>
      <c r="L2191" s="459" t="e">
        <v>#N/A</v>
      </c>
      <c r="O2191">
        <v>14.3</v>
      </c>
      <c r="P2191" t="s">
        <v>10203</v>
      </c>
    </row>
    <row r="2192" spans="1:16" ht="14.4" x14ac:dyDescent="0.3">
      <c r="A2192">
        <v>220614</v>
      </c>
      <c r="B2192" t="str">
        <f t="shared" si="68"/>
        <v>SEVROLL zestaw Herkules plus 40kg do 2 skrzydeł</v>
      </c>
      <c r="C2192" s="185" t="e">
        <f t="shared" si="69"/>
        <v>#N/A</v>
      </c>
      <c r="D2192" s="407" t="s">
        <v>3023</v>
      </c>
      <c r="E2192" s="407" t="s">
        <v>2123</v>
      </c>
      <c r="F2192" s="407" t="s">
        <v>2299</v>
      </c>
      <c r="G2192" s="407" t="s">
        <v>2599</v>
      </c>
      <c r="H2192" s="460" t="e">
        <v>#N/A</v>
      </c>
      <c r="I2192" s="460" t="e">
        <v>#N/A</v>
      </c>
      <c r="J2192" s="460" t="e">
        <v>#N/A</v>
      </c>
      <c r="K2192" s="460" t="e">
        <v>#N/A</v>
      </c>
      <c r="L2192" s="459" t="e">
        <v>#N/A</v>
      </c>
      <c r="O2192" t="e">
        <v>#N/A</v>
      </c>
      <c r="P2192" t="e">
        <v>#N/A</v>
      </c>
    </row>
    <row r="2193" spans="1:16" ht="14.4" x14ac:dyDescent="0.3">
      <c r="A2193">
        <v>220615</v>
      </c>
      <c r="B2193" t="str">
        <f t="shared" si="68"/>
        <v>SEVROLL prowadnik z tuleją do drzwi składanych Herkules</v>
      </c>
      <c r="C2193" s="185" t="e">
        <f t="shared" si="69"/>
        <v>#N/A</v>
      </c>
      <c r="D2193" s="407" t="s">
        <v>3024</v>
      </c>
      <c r="E2193" s="407" t="s">
        <v>2124</v>
      </c>
      <c r="F2193" s="407" t="s">
        <v>2300</v>
      </c>
      <c r="G2193" s="407" t="s">
        <v>2600</v>
      </c>
      <c r="H2193" s="460" t="e">
        <v>#N/A</v>
      </c>
      <c r="I2193" s="460" t="e">
        <v>#N/A</v>
      </c>
      <c r="J2193" s="460" t="e">
        <v>#N/A</v>
      </c>
      <c r="K2193" s="460" t="e">
        <v>#N/A</v>
      </c>
      <c r="L2193" s="459" t="e">
        <v>#N/A</v>
      </c>
      <c r="O2193" t="e">
        <v>#N/A</v>
      </c>
      <c r="P2193" t="e">
        <v>#N/A</v>
      </c>
    </row>
    <row r="2194" spans="1:16" ht="14.4" x14ac:dyDescent="0.3">
      <c r="A2194">
        <v>220616</v>
      </c>
      <c r="B2194" t="str">
        <f t="shared" si="68"/>
        <v>SEVROLL środkowy zawias sprężynowy srebrny</v>
      </c>
      <c r="C2194" s="185">
        <f t="shared" si="69"/>
        <v>11.45285</v>
      </c>
      <c r="D2194" s="407" t="s">
        <v>3025</v>
      </c>
      <c r="E2194" s="407" t="s">
        <v>2125</v>
      </c>
      <c r="F2194" s="407" t="s">
        <v>2301</v>
      </c>
      <c r="G2194" s="407" t="s">
        <v>2601</v>
      </c>
      <c r="H2194" s="460">
        <v>88.997569999999996</v>
      </c>
      <c r="I2194" s="460">
        <v>3.3569200000000001</v>
      </c>
      <c r="J2194" s="460">
        <v>11.45285</v>
      </c>
      <c r="K2194" s="460">
        <v>1266.69498</v>
      </c>
      <c r="L2194" s="459" t="s">
        <v>539</v>
      </c>
      <c r="O2194">
        <v>2.992</v>
      </c>
      <c r="P2194" t="s">
        <v>10204</v>
      </c>
    </row>
    <row r="2195" spans="1:16" ht="14.4" x14ac:dyDescent="0.3">
      <c r="A2195">
        <v>220617</v>
      </c>
      <c r="B2195" t="str">
        <f t="shared" si="68"/>
        <v>SEVROLL Herkules plus tor górny 1,5 m</v>
      </c>
      <c r="C2195" s="185" t="e">
        <f t="shared" si="69"/>
        <v>#N/A</v>
      </c>
      <c r="D2195" s="407" t="s">
        <v>3026</v>
      </c>
      <c r="E2195" s="407" t="s">
        <v>2126</v>
      </c>
      <c r="F2195" s="407" t="s">
        <v>2302</v>
      </c>
      <c r="G2195" s="407" t="s">
        <v>2602</v>
      </c>
      <c r="H2195" s="460" t="e">
        <v>#N/A</v>
      </c>
      <c r="I2195" s="460" t="e">
        <v>#N/A</v>
      </c>
      <c r="J2195" s="460" t="e">
        <v>#N/A</v>
      </c>
      <c r="K2195" s="460" t="e">
        <v>#N/A</v>
      </c>
      <c r="L2195" s="459" t="e">
        <v>#N/A</v>
      </c>
      <c r="O2195" t="e">
        <v>#N/A</v>
      </c>
      <c r="P2195" t="e">
        <v>#N/A</v>
      </c>
    </row>
    <row r="2196" spans="1:16" ht="14.4" x14ac:dyDescent="0.3">
      <c r="A2196">
        <v>221955</v>
      </c>
      <c r="B2196" t="str">
        <f t="shared" si="68"/>
        <v>S-Softclose S60/S60N - blaszka</v>
      </c>
      <c r="C2196" s="185" t="e">
        <f t="shared" si="69"/>
        <v>#N/A</v>
      </c>
      <c r="D2196" s="407" t="s">
        <v>8413</v>
      </c>
      <c r="E2196" s="407" t="s">
        <v>8414</v>
      </c>
      <c r="F2196" s="407" t="s">
        <v>8415</v>
      </c>
      <c r="G2196" s="407" t="s">
        <v>8416</v>
      </c>
      <c r="H2196" s="460" t="e">
        <v>#N/A</v>
      </c>
      <c r="I2196" s="460" t="e">
        <v>#N/A</v>
      </c>
      <c r="J2196" s="460" t="e">
        <v>#N/A</v>
      </c>
      <c r="K2196" s="460" t="e">
        <v>#N/A</v>
      </c>
      <c r="L2196" s="459" t="e">
        <v>#N/A</v>
      </c>
      <c r="O2196">
        <v>0</v>
      </c>
      <c r="P2196" t="s">
        <v>10205</v>
      </c>
    </row>
    <row r="2197" spans="1:16" ht="14.4" x14ac:dyDescent="0.3">
      <c r="A2197">
        <v>251160</v>
      </c>
      <c r="B2197" t="e">
        <f t="shared" si="68"/>
        <v>#N/A</v>
      </c>
      <c r="C2197" s="185" t="e">
        <f t="shared" si="69"/>
        <v>#N/A</v>
      </c>
      <c r="D2197" s="407" t="e">
        <v>#N/A</v>
      </c>
      <c r="E2197" s="407" t="e">
        <v>#N/A</v>
      </c>
      <c r="F2197" s="407" t="e">
        <v>#N/A</v>
      </c>
      <c r="G2197" s="407" t="e">
        <v>#N/A</v>
      </c>
      <c r="H2197" s="460" t="e">
        <v>#N/A</v>
      </c>
      <c r="I2197" s="460" t="e">
        <v>#N/A</v>
      </c>
      <c r="J2197" s="460" t="e">
        <v>#N/A</v>
      </c>
      <c r="K2197" s="460" t="e">
        <v>#N/A</v>
      </c>
      <c r="L2197" s="459" t="e">
        <v>#N/A</v>
      </c>
      <c r="O2197" t="e">
        <v>#N/A</v>
      </c>
      <c r="P2197" t="e">
        <v>#N/A</v>
      </c>
    </row>
    <row r="2198" spans="1:16" ht="14.4" x14ac:dyDescent="0.3">
      <c r="A2198">
        <v>251161</v>
      </c>
      <c r="B2198" t="e">
        <f t="shared" si="68"/>
        <v>#N/A</v>
      </c>
      <c r="C2198" s="185" t="e">
        <f t="shared" si="69"/>
        <v>#N/A</v>
      </c>
      <c r="D2198" s="407" t="e">
        <v>#N/A</v>
      </c>
      <c r="E2198" s="407" t="e">
        <v>#N/A</v>
      </c>
      <c r="F2198" s="407" t="e">
        <v>#N/A</v>
      </c>
      <c r="G2198" s="407" t="e">
        <v>#N/A</v>
      </c>
      <c r="H2198" s="460" t="e">
        <v>#N/A</v>
      </c>
      <c r="I2198" s="460" t="e">
        <v>#N/A</v>
      </c>
      <c r="J2198" s="460" t="e">
        <v>#N/A</v>
      </c>
      <c r="K2198" s="460" t="e">
        <v>#N/A</v>
      </c>
      <c r="L2198" s="459" t="e">
        <v>#N/A</v>
      </c>
      <c r="O2198" t="e">
        <v>#N/A</v>
      </c>
      <c r="P2198" t="e">
        <v>#N/A</v>
      </c>
    </row>
    <row r="2199" spans="1:16" ht="14.4" x14ac:dyDescent="0.3">
      <c r="A2199">
        <v>251163</v>
      </c>
      <c r="B2199" t="e">
        <f t="shared" si="68"/>
        <v>#N/A</v>
      </c>
      <c r="C2199" s="185" t="e">
        <f t="shared" si="69"/>
        <v>#N/A</v>
      </c>
      <c r="D2199" s="407" t="e">
        <v>#N/A</v>
      </c>
      <c r="E2199" s="407" t="e">
        <v>#N/A</v>
      </c>
      <c r="F2199" s="407" t="e">
        <v>#N/A</v>
      </c>
      <c r="G2199" s="407" t="e">
        <v>#N/A</v>
      </c>
      <c r="H2199" s="460" t="e">
        <v>#N/A</v>
      </c>
      <c r="I2199" s="460" t="e">
        <v>#N/A</v>
      </c>
      <c r="J2199" s="460" t="e">
        <v>#N/A</v>
      </c>
      <c r="K2199" s="460" t="e">
        <v>#N/A</v>
      </c>
      <c r="L2199" s="459" t="e">
        <v>#N/A</v>
      </c>
      <c r="O2199" t="e">
        <v>#N/A</v>
      </c>
      <c r="P2199" t="e">
        <v>#N/A</v>
      </c>
    </row>
    <row r="2200" spans="1:16" ht="14.4" x14ac:dyDescent="0.3">
      <c r="A2200">
        <v>251164</v>
      </c>
      <c r="B2200" t="e">
        <f t="shared" si="68"/>
        <v>#N/A</v>
      </c>
      <c r="C2200" s="185" t="e">
        <f t="shared" si="69"/>
        <v>#N/A</v>
      </c>
      <c r="D2200" s="407" t="e">
        <v>#N/A</v>
      </c>
      <c r="E2200" s="407" t="e">
        <v>#N/A</v>
      </c>
      <c r="F2200" s="407" t="e">
        <v>#N/A</v>
      </c>
      <c r="G2200" s="407" t="e">
        <v>#N/A</v>
      </c>
      <c r="H2200" s="460" t="e">
        <v>#N/A</v>
      </c>
      <c r="I2200" s="460" t="e">
        <v>#N/A</v>
      </c>
      <c r="J2200" s="460" t="e">
        <v>#N/A</v>
      </c>
      <c r="K2200" s="460" t="e">
        <v>#N/A</v>
      </c>
      <c r="L2200" s="459" t="e">
        <v>#N/A</v>
      </c>
      <c r="O2200" t="e">
        <v>#N/A</v>
      </c>
      <c r="P2200" t="e">
        <v>#N/A</v>
      </c>
    </row>
    <row r="2201" spans="1:16" ht="14.4" x14ac:dyDescent="0.3">
      <c r="A2201">
        <v>251671</v>
      </c>
      <c r="B2201" t="str">
        <f t="shared" si="68"/>
        <v>S-komplet okuć S80SC razem z tłumieniem</v>
      </c>
      <c r="C2201" s="185" t="e">
        <f t="shared" si="69"/>
        <v>#N/A</v>
      </c>
      <c r="D2201" s="407" t="s">
        <v>8417</v>
      </c>
      <c r="E2201" s="407" t="s">
        <v>8418</v>
      </c>
      <c r="F2201" s="407" t="s">
        <v>8419</v>
      </c>
      <c r="G2201" s="407" t="s">
        <v>8420</v>
      </c>
      <c r="H2201" s="460" t="e">
        <v>#N/A</v>
      </c>
      <c r="I2201" s="460" t="e">
        <v>#N/A</v>
      </c>
      <c r="J2201" s="460" t="e">
        <v>#N/A</v>
      </c>
      <c r="K2201" s="460" t="e">
        <v>#N/A</v>
      </c>
      <c r="L2201" s="459" t="e">
        <v>#N/A</v>
      </c>
      <c r="O2201">
        <v>58.567889999999998</v>
      </c>
      <c r="P2201" t="s">
        <v>10206</v>
      </c>
    </row>
    <row r="2202" spans="1:16" ht="14.4" x14ac:dyDescent="0.3">
      <c r="A2202">
        <v>251773</v>
      </c>
      <c r="B2202" t="e">
        <f t="shared" si="68"/>
        <v>#N/A</v>
      </c>
      <c r="C2202" s="185" t="e">
        <f t="shared" si="69"/>
        <v>#N/A</v>
      </c>
      <c r="D2202" s="407" t="e">
        <v>#N/A</v>
      </c>
      <c r="E2202" s="407" t="e">
        <v>#N/A</v>
      </c>
      <c r="F2202" s="407" t="e">
        <v>#N/A</v>
      </c>
      <c r="G2202" s="407" t="e">
        <v>#N/A</v>
      </c>
      <c r="H2202" s="460" t="e">
        <v>#N/A</v>
      </c>
      <c r="I2202" s="460" t="e">
        <v>#N/A</v>
      </c>
      <c r="J2202" s="460" t="e">
        <v>#N/A</v>
      </c>
      <c r="K2202" s="460" t="e">
        <v>#N/A</v>
      </c>
      <c r="L2202" s="459" t="e">
        <v>#N/A</v>
      </c>
      <c r="O2202" t="e">
        <v>#N/A</v>
      </c>
      <c r="P2202" t="e">
        <v>#N/A</v>
      </c>
    </row>
    <row r="2203" spans="1:16" ht="14.4" x14ac:dyDescent="0.3">
      <c r="A2203">
        <v>251793</v>
      </c>
      <c r="B2203" t="e">
        <f t="shared" si="68"/>
        <v>#N/A</v>
      </c>
      <c r="C2203" s="185" t="e">
        <f t="shared" si="69"/>
        <v>#N/A</v>
      </c>
      <c r="D2203" s="407" t="e">
        <v>#N/A</v>
      </c>
      <c r="E2203" s="407" t="e">
        <v>#N/A</v>
      </c>
      <c r="F2203" s="407" t="e">
        <v>#N/A</v>
      </c>
      <c r="G2203" s="407" t="e">
        <v>#N/A</v>
      </c>
      <c r="H2203" s="460" t="e">
        <v>#N/A</v>
      </c>
      <c r="I2203" s="460" t="e">
        <v>#N/A</v>
      </c>
      <c r="J2203" s="460" t="e">
        <v>#N/A</v>
      </c>
      <c r="K2203" s="460" t="e">
        <v>#N/A</v>
      </c>
      <c r="L2203" s="459" t="e">
        <v>#N/A</v>
      </c>
      <c r="O2203" t="e">
        <v>#N/A</v>
      </c>
      <c r="P2203" t="e">
        <v>#N/A</v>
      </c>
    </row>
    <row r="2204" spans="1:16" ht="14.4" x14ac:dyDescent="0.3">
      <c r="A2204">
        <v>251796</v>
      </c>
      <c r="B2204" t="e">
        <f t="shared" si="68"/>
        <v>#N/A</v>
      </c>
      <c r="C2204" s="185" t="e">
        <f t="shared" si="69"/>
        <v>#N/A</v>
      </c>
      <c r="D2204" s="407" t="e">
        <v>#N/A</v>
      </c>
      <c r="E2204" s="407" t="e">
        <v>#N/A</v>
      </c>
      <c r="F2204" s="407" t="e">
        <v>#N/A</v>
      </c>
      <c r="G2204" s="407" t="e">
        <v>#N/A</v>
      </c>
      <c r="H2204" s="460" t="e">
        <v>#N/A</v>
      </c>
      <c r="I2204" s="460" t="e">
        <v>#N/A</v>
      </c>
      <c r="J2204" s="460" t="e">
        <v>#N/A</v>
      </c>
      <c r="K2204" s="460" t="e">
        <v>#N/A</v>
      </c>
      <c r="L2204" s="459" t="e">
        <v>#N/A</v>
      </c>
      <c r="O2204" t="e">
        <v>#N/A</v>
      </c>
      <c r="P2204" t="e">
        <v>#N/A</v>
      </c>
    </row>
    <row r="2205" spans="1:16" ht="14.4" x14ac:dyDescent="0.3">
      <c r="A2205">
        <v>251797</v>
      </c>
      <c r="B2205" t="e">
        <f t="shared" si="68"/>
        <v>#N/A</v>
      </c>
      <c r="C2205" s="185" t="e">
        <f t="shared" si="69"/>
        <v>#N/A</v>
      </c>
      <c r="D2205" s="407" t="e">
        <v>#N/A</v>
      </c>
      <c r="E2205" s="407" t="e">
        <v>#N/A</v>
      </c>
      <c r="F2205" s="407" t="e">
        <v>#N/A</v>
      </c>
      <c r="G2205" s="407" t="e">
        <v>#N/A</v>
      </c>
      <c r="H2205" s="460" t="e">
        <v>#N/A</v>
      </c>
      <c r="I2205" s="460" t="e">
        <v>#N/A</v>
      </c>
      <c r="J2205" s="460" t="e">
        <v>#N/A</v>
      </c>
      <c r="K2205" s="460" t="e">
        <v>#N/A</v>
      </c>
      <c r="L2205" s="459" t="e">
        <v>#N/A</v>
      </c>
      <c r="O2205" t="e">
        <v>#N/A</v>
      </c>
      <c r="P2205" t="e">
        <v>#N/A</v>
      </c>
    </row>
    <row r="2206" spans="1:16" ht="14.4" x14ac:dyDescent="0.3">
      <c r="A2206">
        <v>251802</v>
      </c>
      <c r="B2206" t="e">
        <f t="shared" si="68"/>
        <v>#N/A</v>
      </c>
      <c r="C2206" s="185" t="e">
        <f t="shared" si="69"/>
        <v>#N/A</v>
      </c>
      <c r="D2206" s="407" t="e">
        <v>#N/A</v>
      </c>
      <c r="E2206" s="407" t="e">
        <v>#N/A</v>
      </c>
      <c r="F2206" s="407" t="e">
        <v>#N/A</v>
      </c>
      <c r="G2206" s="407" t="e">
        <v>#N/A</v>
      </c>
      <c r="H2206" s="460" t="e">
        <v>#N/A</v>
      </c>
      <c r="I2206" s="460" t="e">
        <v>#N/A</v>
      </c>
      <c r="J2206" s="460" t="e">
        <v>#N/A</v>
      </c>
      <c r="K2206" s="460" t="e">
        <v>#N/A</v>
      </c>
      <c r="L2206" s="459" t="e">
        <v>#N/A</v>
      </c>
      <c r="O2206" t="e">
        <v>#N/A</v>
      </c>
      <c r="P2206" t="e">
        <v>#N/A</v>
      </c>
    </row>
    <row r="2207" spans="1:16" ht="14.4" x14ac:dyDescent="0.3">
      <c r="A2207">
        <v>252424</v>
      </c>
      <c r="B2207" t="str">
        <f t="shared" si="68"/>
        <v>SEVROLL Zaślepka toru Single z pozycjonerem</v>
      </c>
      <c r="C2207" s="185">
        <f t="shared" si="69"/>
        <v>92.155529999999999</v>
      </c>
      <c r="D2207" s="407" t="s">
        <v>3191</v>
      </c>
      <c r="E2207" s="407" t="s">
        <v>6123</v>
      </c>
      <c r="F2207" s="407" t="s">
        <v>6124</v>
      </c>
      <c r="G2207" s="407" t="s">
        <v>6125</v>
      </c>
      <c r="H2207" s="460">
        <v>716.11999000000003</v>
      </c>
      <c r="I2207" s="460">
        <v>27.01146</v>
      </c>
      <c r="J2207" s="460">
        <v>92.155529999999999</v>
      </c>
      <c r="K2207" s="460">
        <v>10192.47445</v>
      </c>
      <c r="L2207" s="459" t="s">
        <v>539</v>
      </c>
      <c r="O2207">
        <v>24.045999999999999</v>
      </c>
      <c r="P2207" t="s">
        <v>10207</v>
      </c>
    </row>
    <row r="2208" spans="1:16" ht="14.4" x14ac:dyDescent="0.3">
      <c r="A2208">
        <v>86201</v>
      </c>
      <c r="B2208" t="str">
        <f t="shared" si="68"/>
        <v>S-profil S11 srebrny elox 2,7m</v>
      </c>
      <c r="C2208" s="185" t="e">
        <f t="shared" si="69"/>
        <v>#N/A</v>
      </c>
      <c r="D2208" s="407" t="s">
        <v>8421</v>
      </c>
      <c r="E2208" s="407" t="s">
        <v>8422</v>
      </c>
      <c r="F2208" s="407" t="s">
        <v>8423</v>
      </c>
      <c r="G2208" s="407" t="s">
        <v>8424</v>
      </c>
      <c r="H2208" s="460" t="e">
        <v>#N/A</v>
      </c>
      <c r="I2208" s="460" t="e">
        <v>#N/A</v>
      </c>
      <c r="J2208" s="460" t="e">
        <v>#N/A</v>
      </c>
      <c r="K2208" s="460" t="e">
        <v>#N/A</v>
      </c>
      <c r="L2208" s="459" t="e">
        <v>#N/A</v>
      </c>
      <c r="O2208">
        <v>25.860050000000001</v>
      </c>
      <c r="P2208" t="s">
        <v>10208</v>
      </c>
    </row>
    <row r="2209" spans="1:16" ht="14.4" x14ac:dyDescent="0.3">
      <c r="A2209">
        <v>15708</v>
      </c>
      <c r="B2209" t="e">
        <f t="shared" si="68"/>
        <v>#N/A</v>
      </c>
      <c r="C2209" s="185" t="e">
        <f t="shared" si="69"/>
        <v>#N/A</v>
      </c>
      <c r="D2209" s="407" t="e">
        <v>#N/A</v>
      </c>
      <c r="E2209" s="407" t="e">
        <v>#N/A</v>
      </c>
      <c r="F2209" s="407" t="e">
        <v>#N/A</v>
      </c>
      <c r="G2209" s="407" t="e">
        <v>#N/A</v>
      </c>
      <c r="H2209" s="460" t="e">
        <v>#N/A</v>
      </c>
      <c r="I2209" s="460" t="e">
        <v>#N/A</v>
      </c>
      <c r="J2209" s="460" t="e">
        <v>#N/A</v>
      </c>
      <c r="K2209" s="460" t="e">
        <v>#N/A</v>
      </c>
      <c r="L2209" s="459" t="e">
        <v>#N/A</v>
      </c>
      <c r="O2209" t="e">
        <v>#N/A</v>
      </c>
      <c r="P2209" t="e">
        <v>#N/A</v>
      </c>
    </row>
    <row r="2210" spans="1:16" ht="14.4" x14ac:dyDescent="0.3">
      <c r="A2210">
        <v>15713</v>
      </c>
      <c r="B2210" t="e">
        <f t="shared" si="68"/>
        <v>#N/A</v>
      </c>
      <c r="C2210" s="185" t="e">
        <f t="shared" si="69"/>
        <v>#N/A</v>
      </c>
      <c r="D2210" s="407" t="e">
        <v>#N/A</v>
      </c>
      <c r="E2210" s="407" t="e">
        <v>#N/A</v>
      </c>
      <c r="F2210" s="407" t="e">
        <v>#N/A</v>
      </c>
      <c r="G2210" s="407" t="e">
        <v>#N/A</v>
      </c>
      <c r="H2210" s="460" t="e">
        <v>#N/A</v>
      </c>
      <c r="I2210" s="460" t="e">
        <v>#N/A</v>
      </c>
      <c r="J2210" s="460" t="e">
        <v>#N/A</v>
      </c>
      <c r="K2210" s="460" t="e">
        <v>#N/A</v>
      </c>
      <c r="L2210" s="459" t="e">
        <v>#N/A</v>
      </c>
      <c r="O2210" t="e">
        <v>#N/A</v>
      </c>
      <c r="P2210" t="e">
        <v>#N/A</v>
      </c>
    </row>
    <row r="2211" spans="1:16" ht="14.4" x14ac:dyDescent="0.3">
      <c r="A2211">
        <v>15714</v>
      </c>
      <c r="B2211" t="e">
        <f t="shared" si="68"/>
        <v>#N/A</v>
      </c>
      <c r="C2211" s="185" t="e">
        <f t="shared" si="69"/>
        <v>#N/A</v>
      </c>
      <c r="D2211" s="407" t="e">
        <v>#N/A</v>
      </c>
      <c r="E2211" s="407" t="e">
        <v>#N/A</v>
      </c>
      <c r="F2211" s="407" t="e">
        <v>#N/A</v>
      </c>
      <c r="G2211" s="407" t="e">
        <v>#N/A</v>
      </c>
      <c r="H2211" s="460" t="e">
        <v>#N/A</v>
      </c>
      <c r="I2211" s="460" t="e">
        <v>#N/A</v>
      </c>
      <c r="J2211" s="460" t="e">
        <v>#N/A</v>
      </c>
      <c r="K2211" s="460" t="e">
        <v>#N/A</v>
      </c>
      <c r="L2211" s="459" t="e">
        <v>#N/A</v>
      </c>
      <c r="O2211" t="e">
        <v>#N/A</v>
      </c>
      <c r="P2211" t="e">
        <v>#N/A</v>
      </c>
    </row>
    <row r="2212" spans="1:16" ht="14.4" x14ac:dyDescent="0.3">
      <c r="A2212">
        <v>248238</v>
      </c>
      <c r="B2212" t="str">
        <f t="shared" si="68"/>
        <v>Samodomykacz do WC ze wskaźnikiem zajęte/wolne 12-18 mm</v>
      </c>
      <c r="C2212" s="185">
        <f t="shared" si="69"/>
        <v>113.79385000000001</v>
      </c>
      <c r="D2212" s="407" t="s">
        <v>8425</v>
      </c>
      <c r="E2212" s="407" t="s">
        <v>68</v>
      </c>
      <c r="F2212" s="407" t="s">
        <v>8426</v>
      </c>
      <c r="G2212" s="407" t="s">
        <v>8427</v>
      </c>
      <c r="H2212" s="460">
        <v>808.00800000000004</v>
      </c>
      <c r="I2212" s="460">
        <v>30.995999999999999</v>
      </c>
      <c r="J2212" s="460">
        <v>113.79385000000001</v>
      </c>
      <c r="K2212" s="460" t="e">
        <v>#N/A</v>
      </c>
      <c r="L2212" s="459" t="s">
        <v>538</v>
      </c>
      <c r="O2212">
        <v>26.4</v>
      </c>
      <c r="P2212" t="s">
        <v>10209</v>
      </c>
    </row>
    <row r="2213" spans="1:16" ht="14.4" x14ac:dyDescent="0.3">
      <c r="A2213">
        <v>248239</v>
      </c>
      <c r="B2213" t="str">
        <f t="shared" si="68"/>
        <v>WC Zamek ze wskaźnikiem zajęte/wolne, do zawiasu z uskokiem, do płyty 12 mm</v>
      </c>
      <c r="C2213" s="185" t="e">
        <f t="shared" si="69"/>
        <v>#N/A</v>
      </c>
      <c r="D2213" s="407" t="s">
        <v>8428</v>
      </c>
      <c r="E2213" s="407" t="s">
        <v>8429</v>
      </c>
      <c r="F2213" s="407" t="s">
        <v>8430</v>
      </c>
      <c r="G2213" s="407" t="s">
        <v>8431</v>
      </c>
      <c r="H2213" s="460" t="e">
        <v>#N/A</v>
      </c>
      <c r="I2213" s="460" t="e">
        <v>#N/A</v>
      </c>
      <c r="J2213" s="460" t="e">
        <v>#N/A</v>
      </c>
      <c r="K2213" s="460" t="e">
        <v>#N/A</v>
      </c>
      <c r="L2213" s="459" t="e">
        <v>#N/A</v>
      </c>
      <c r="O2213">
        <v>30.03</v>
      </c>
      <c r="P2213" t="s">
        <v>10210</v>
      </c>
    </row>
    <row r="2214" spans="1:16" ht="14.4" x14ac:dyDescent="0.3">
      <c r="A2214">
        <v>248241</v>
      </c>
      <c r="B2214" t="e">
        <f t="shared" si="68"/>
        <v>#N/A</v>
      </c>
      <c r="C2214" s="185" t="e">
        <f t="shared" si="69"/>
        <v>#N/A</v>
      </c>
      <c r="D2214" s="407" t="e">
        <v>#N/A</v>
      </c>
      <c r="E2214" s="407" t="e">
        <v>#N/A</v>
      </c>
      <c r="F2214" s="407" t="e">
        <v>#N/A</v>
      </c>
      <c r="G2214" s="407" t="e">
        <v>#N/A</v>
      </c>
      <c r="H2214" s="460" t="e">
        <v>#N/A</v>
      </c>
      <c r="I2214" s="460" t="e">
        <v>#N/A</v>
      </c>
      <c r="J2214" s="460" t="e">
        <v>#N/A</v>
      </c>
      <c r="K2214" s="460" t="e">
        <v>#N/A</v>
      </c>
      <c r="L2214" s="459" t="e">
        <v>#N/A</v>
      </c>
      <c r="O2214" t="e">
        <v>#N/A</v>
      </c>
      <c r="P2214" t="e">
        <v>#N/A</v>
      </c>
    </row>
    <row r="2215" spans="1:16" ht="14.4" x14ac:dyDescent="0.3">
      <c r="A2215">
        <v>248243</v>
      </c>
      <c r="B2215" t="str">
        <f t="shared" si="68"/>
        <v>WC Odbojnik do drzwi</v>
      </c>
      <c r="C2215" s="185">
        <f t="shared" si="69"/>
        <v>16.169530000000002</v>
      </c>
      <c r="D2215" s="407" t="s">
        <v>8432</v>
      </c>
      <c r="E2215" s="407" t="s">
        <v>8433</v>
      </c>
      <c r="F2215" s="407" t="s">
        <v>8434</v>
      </c>
      <c r="G2215" s="407" t="s">
        <v>8435</v>
      </c>
      <c r="H2215" s="460">
        <v>114.4678</v>
      </c>
      <c r="I2215" s="460">
        <v>4.3910999999999998</v>
      </c>
      <c r="J2215" s="460">
        <v>16.169530000000002</v>
      </c>
      <c r="K2215" s="460" t="e">
        <v>#N/A</v>
      </c>
      <c r="L2215" s="459" t="s">
        <v>538</v>
      </c>
      <c r="O2215">
        <v>3.74</v>
      </c>
      <c r="P2215" t="s">
        <v>10211</v>
      </c>
    </row>
    <row r="2216" spans="1:16" ht="14.4" x14ac:dyDescent="0.3">
      <c r="A2216">
        <v>248242</v>
      </c>
      <c r="B2216" t="str">
        <f t="shared" si="68"/>
        <v>WC Uchwyt drzwiowy H38</v>
      </c>
      <c r="C2216" s="185">
        <f t="shared" si="69"/>
        <v>90.139719999999997</v>
      </c>
      <c r="D2216" s="407" t="s">
        <v>8436</v>
      </c>
      <c r="E2216" s="407" t="s">
        <v>8437</v>
      </c>
      <c r="F2216" s="407" t="s">
        <v>8438</v>
      </c>
      <c r="G2216" s="407" t="s">
        <v>8439</v>
      </c>
      <c r="H2216" s="460">
        <v>639.673</v>
      </c>
      <c r="I2216" s="460">
        <v>24.538499999999999</v>
      </c>
      <c r="J2216" s="460">
        <v>90.139719999999997</v>
      </c>
      <c r="K2216" s="460" t="e">
        <v>#N/A</v>
      </c>
      <c r="L2216" s="459" t="s">
        <v>538</v>
      </c>
      <c r="O2216">
        <v>20.9</v>
      </c>
      <c r="P2216" t="s">
        <v>10212</v>
      </c>
    </row>
    <row r="2217" spans="1:16" ht="14.4" x14ac:dyDescent="0.3">
      <c r="A2217">
        <v>248244</v>
      </c>
      <c r="B2217" t="str">
        <f t="shared" si="68"/>
        <v>WC kątownik (mocowanie do ściany)</v>
      </c>
      <c r="C2217" s="185">
        <f t="shared" si="69"/>
        <v>12.2729</v>
      </c>
      <c r="D2217" s="407" t="s">
        <v>8440</v>
      </c>
      <c r="E2217" s="407" t="s">
        <v>8441</v>
      </c>
      <c r="F2217" s="407" t="s">
        <v>8442</v>
      </c>
      <c r="G2217" s="407" t="s">
        <v>8443</v>
      </c>
      <c r="H2217" s="460">
        <v>134.66800000000001</v>
      </c>
      <c r="I2217" s="460">
        <v>5.1660000000000004</v>
      </c>
      <c r="J2217" s="460">
        <v>12.2729</v>
      </c>
      <c r="K2217" s="460" t="e">
        <v>#N/A</v>
      </c>
      <c r="L2217" s="459" t="s">
        <v>538</v>
      </c>
      <c r="O2217">
        <v>4.4000000000000004</v>
      </c>
      <c r="P2217" t="s">
        <v>10213</v>
      </c>
    </row>
    <row r="2218" spans="1:16" ht="14.4" x14ac:dyDescent="0.3">
      <c r="A2218">
        <v>248249</v>
      </c>
      <c r="B2218" t="str">
        <f t="shared" si="68"/>
        <v>WC Zawias lewy (śrubki) H70 12 mm</v>
      </c>
      <c r="C2218" s="185">
        <f t="shared" si="69"/>
        <v>92.467590000000001</v>
      </c>
      <c r="D2218" s="407" t="s">
        <v>8444</v>
      </c>
      <c r="E2218" s="407" t="s">
        <v>8445</v>
      </c>
      <c r="F2218" s="407" t="s">
        <v>8446</v>
      </c>
      <c r="G2218" s="407" t="s">
        <v>8447</v>
      </c>
      <c r="H2218" s="460">
        <v>653.13980000000004</v>
      </c>
      <c r="I2218" s="460">
        <v>25.055099999999999</v>
      </c>
      <c r="J2218" s="460">
        <v>92.467590000000001</v>
      </c>
      <c r="K2218" s="460" t="e">
        <v>#N/A</v>
      </c>
      <c r="L2218" s="459" t="s">
        <v>538</v>
      </c>
      <c r="O2218">
        <v>20.9</v>
      </c>
      <c r="P2218" t="s">
        <v>10214</v>
      </c>
    </row>
    <row r="2219" spans="1:16" ht="14.4" x14ac:dyDescent="0.3">
      <c r="A2219">
        <v>248250</v>
      </c>
      <c r="B2219" t="str">
        <f t="shared" si="68"/>
        <v>WC Zawias prawy (śrubki) H70 12 mm</v>
      </c>
      <c r="C2219" s="185">
        <f t="shared" si="69"/>
        <v>91.901859999999999</v>
      </c>
      <c r="D2219" s="407" t="s">
        <v>8448</v>
      </c>
      <c r="E2219" s="407" t="s">
        <v>8449</v>
      </c>
      <c r="F2219" s="407" t="s">
        <v>8450</v>
      </c>
      <c r="G2219" s="407" t="s">
        <v>8451</v>
      </c>
      <c r="H2219" s="460">
        <v>653.13980000000004</v>
      </c>
      <c r="I2219" s="460">
        <v>25.055099999999999</v>
      </c>
      <c r="J2219" s="460">
        <v>91.901859999999999</v>
      </c>
      <c r="K2219" s="460" t="e">
        <v>#N/A</v>
      </c>
      <c r="L2219" s="459" t="s">
        <v>538</v>
      </c>
      <c r="O2219">
        <v>20.9</v>
      </c>
      <c r="P2219" t="s">
        <v>10215</v>
      </c>
    </row>
    <row r="2220" spans="1:16" ht="14.4" x14ac:dyDescent="0.3">
      <c r="A2220">
        <v>248251</v>
      </c>
      <c r="B2220" t="str">
        <f t="shared" si="68"/>
        <v>WC Zawias lewy (wkręty) SH70 12 mm</v>
      </c>
      <c r="C2220" s="185">
        <f t="shared" si="69"/>
        <v>92.048559999999995</v>
      </c>
      <c r="D2220" s="407" t="s">
        <v>8452</v>
      </c>
      <c r="E2220" s="407" t="s">
        <v>8453</v>
      </c>
      <c r="F2220" s="407" t="s">
        <v>8454</v>
      </c>
      <c r="G2220" s="407" t="s">
        <v>8455</v>
      </c>
      <c r="H2220" s="460">
        <v>653.13980000000004</v>
      </c>
      <c r="I2220" s="460">
        <v>25.055099999999999</v>
      </c>
      <c r="J2220" s="460">
        <v>92.048559999999995</v>
      </c>
      <c r="K2220" s="460" t="e">
        <v>#N/A</v>
      </c>
      <c r="L2220" s="459" t="s">
        <v>538</v>
      </c>
      <c r="O2220">
        <v>21.34</v>
      </c>
      <c r="P2220" t="s">
        <v>10216</v>
      </c>
    </row>
    <row r="2221" spans="1:16" ht="14.4" x14ac:dyDescent="0.3">
      <c r="A2221">
        <v>248252</v>
      </c>
      <c r="B2221" t="str">
        <f t="shared" si="68"/>
        <v>WC Zawias prawy (wkręty) SH70 12 mm</v>
      </c>
      <c r="C2221" s="185">
        <f t="shared" si="69"/>
        <v>92.030209999999997</v>
      </c>
      <c r="D2221" s="407" t="s">
        <v>8456</v>
      </c>
      <c r="E2221" s="407" t="s">
        <v>8457</v>
      </c>
      <c r="F2221" s="407" t="s">
        <v>8458</v>
      </c>
      <c r="G2221" s="407" t="s">
        <v>8459</v>
      </c>
      <c r="H2221" s="460">
        <v>653.13980000000004</v>
      </c>
      <c r="I2221" s="460">
        <v>25.055099999999999</v>
      </c>
      <c r="J2221" s="460">
        <v>92.030209999999997</v>
      </c>
      <c r="K2221" s="460" t="e">
        <v>#N/A</v>
      </c>
      <c r="L2221" s="459" t="s">
        <v>538</v>
      </c>
      <c r="O2221">
        <v>21.34</v>
      </c>
      <c r="P2221" t="s">
        <v>10217</v>
      </c>
    </row>
    <row r="2222" spans="1:16" ht="14.4" x14ac:dyDescent="0.3">
      <c r="A2222">
        <v>248253</v>
      </c>
      <c r="B2222" t="str">
        <f t="shared" si="68"/>
        <v>WC Zawias lewy z uskokiem (wkręty) VSH70</v>
      </c>
      <c r="C2222" s="185" t="e">
        <f t="shared" si="69"/>
        <v>#N/A</v>
      </c>
      <c r="D2222" s="407" t="s">
        <v>8460</v>
      </c>
      <c r="E2222" s="407" t="s">
        <v>8461</v>
      </c>
      <c r="F2222" s="407" t="s">
        <v>8462</v>
      </c>
      <c r="G2222" s="407" t="s">
        <v>8463</v>
      </c>
      <c r="H2222" s="460" t="e">
        <v>#N/A</v>
      </c>
      <c r="I2222" s="460" t="e">
        <v>#N/A</v>
      </c>
      <c r="J2222" s="460" t="e">
        <v>#N/A</v>
      </c>
      <c r="K2222" s="460" t="e">
        <v>#N/A</v>
      </c>
      <c r="L2222" s="459" t="e">
        <v>#N/A</v>
      </c>
      <c r="O2222">
        <v>21.34</v>
      </c>
      <c r="P2222" t="s">
        <v>10218</v>
      </c>
    </row>
    <row r="2223" spans="1:16" ht="14.4" x14ac:dyDescent="0.3">
      <c r="A2223">
        <v>248254</v>
      </c>
      <c r="B2223" t="str">
        <f t="shared" si="68"/>
        <v>WC Zawias prawy z uskokiem (wkręty) VSH70</v>
      </c>
      <c r="C2223" s="185">
        <f t="shared" si="69"/>
        <v>124.4139</v>
      </c>
      <c r="D2223" s="407" t="s">
        <v>8464</v>
      </c>
      <c r="E2223" s="407" t="s">
        <v>8465</v>
      </c>
      <c r="F2223" s="407" t="s">
        <v>8466</v>
      </c>
      <c r="G2223" s="407" t="s">
        <v>8467</v>
      </c>
      <c r="H2223" s="460">
        <v>1096.52612</v>
      </c>
      <c r="I2223" s="460">
        <v>25.055099999999999</v>
      </c>
      <c r="J2223" s="460">
        <v>124.4139</v>
      </c>
      <c r="K2223" s="460" t="e">
        <v>#N/A</v>
      </c>
      <c r="L2223" s="459" t="s">
        <v>540</v>
      </c>
      <c r="O2223">
        <v>25.877700000000001</v>
      </c>
      <c r="P2223" t="s">
        <v>10219</v>
      </c>
    </row>
    <row r="2224" spans="1:16" ht="14.4" x14ac:dyDescent="0.3">
      <c r="A2224">
        <v>248258</v>
      </c>
      <c r="B2224" t="e">
        <f t="shared" si="68"/>
        <v>#N/A</v>
      </c>
      <c r="C2224" s="185" t="e">
        <f t="shared" si="69"/>
        <v>#N/A</v>
      </c>
      <c r="D2224" s="407" t="e">
        <v>#N/A</v>
      </c>
      <c r="E2224" s="407" t="e">
        <v>#N/A</v>
      </c>
      <c r="F2224" s="407" t="e">
        <v>#N/A</v>
      </c>
      <c r="G2224" s="407" t="e">
        <v>#N/A</v>
      </c>
      <c r="H2224" s="460" t="e">
        <v>#N/A</v>
      </c>
      <c r="I2224" s="460" t="e">
        <v>#N/A</v>
      </c>
      <c r="J2224" s="460" t="e">
        <v>#N/A</v>
      </c>
      <c r="K2224" s="460" t="e">
        <v>#N/A</v>
      </c>
      <c r="L2224" s="459" t="e">
        <v>#N/A</v>
      </c>
      <c r="O2224" t="e">
        <v>#N/A</v>
      </c>
      <c r="P2224" t="e">
        <v>#N/A</v>
      </c>
    </row>
    <row r="2225" spans="1:16" ht="14.4" x14ac:dyDescent="0.3">
      <c r="A2225">
        <v>248259</v>
      </c>
      <c r="B2225" t="str">
        <f t="shared" si="68"/>
        <v>WC C Rura łącząca 32 mm - 3 m</v>
      </c>
      <c r="C2225" s="185">
        <f t="shared" si="69"/>
        <v>277.04973999999999</v>
      </c>
      <c r="D2225" s="407" t="s">
        <v>8468</v>
      </c>
      <c r="E2225" s="407" t="s">
        <v>8469</v>
      </c>
      <c r="F2225" s="407" t="s">
        <v>8470</v>
      </c>
      <c r="G2225" s="407" t="s">
        <v>8471</v>
      </c>
      <c r="H2225" s="460">
        <v>1750.684</v>
      </c>
      <c r="I2225" s="460">
        <v>67.158000000000001</v>
      </c>
      <c r="J2225" s="460">
        <v>277.04973999999999</v>
      </c>
      <c r="K2225" s="460" t="e">
        <v>#N/A</v>
      </c>
      <c r="L2225" s="459" t="s">
        <v>538</v>
      </c>
      <c r="O2225">
        <v>57.2</v>
      </c>
      <c r="P2225" t="s">
        <v>10220</v>
      </c>
    </row>
    <row r="2226" spans="1:16" ht="14.4" x14ac:dyDescent="0.3">
      <c r="A2226">
        <v>248260</v>
      </c>
      <c r="B2226" t="str">
        <f t="shared" si="68"/>
        <v>WC Mocowanie rur do ściany</v>
      </c>
      <c r="C2226" s="185">
        <f t="shared" si="69"/>
        <v>21.86786</v>
      </c>
      <c r="D2226" s="407" t="s">
        <v>8472</v>
      </c>
      <c r="E2226" s="407" t="s">
        <v>8473</v>
      </c>
      <c r="F2226" s="407" t="s">
        <v>8474</v>
      </c>
      <c r="G2226" s="407" t="s">
        <v>8475</v>
      </c>
      <c r="H2226" s="460">
        <v>154.8682</v>
      </c>
      <c r="I2226" s="460">
        <v>5.9409000000000001</v>
      </c>
      <c r="J2226" s="460">
        <v>21.86786</v>
      </c>
      <c r="K2226" s="460" t="e">
        <v>#N/A</v>
      </c>
      <c r="L2226" s="459" t="s">
        <v>538</v>
      </c>
      <c r="O2226">
        <v>5.0599999999999996</v>
      </c>
      <c r="P2226" t="s">
        <v>10221</v>
      </c>
    </row>
    <row r="2227" spans="1:16" ht="14.4" x14ac:dyDescent="0.3">
      <c r="A2227">
        <v>248261</v>
      </c>
      <c r="B2227" t="str">
        <f t="shared" si="68"/>
        <v>WC Narożne łącze do rur 90 stopni</v>
      </c>
      <c r="C2227" s="185">
        <f t="shared" si="69"/>
        <v>87.324799999999996</v>
      </c>
      <c r="D2227" s="407" t="s">
        <v>8476</v>
      </c>
      <c r="E2227" s="407" t="s">
        <v>8477</v>
      </c>
      <c r="F2227" s="407" t="s">
        <v>8478</v>
      </c>
      <c r="G2227" s="407" t="s">
        <v>8479</v>
      </c>
      <c r="H2227" s="460">
        <v>614.75941999999998</v>
      </c>
      <c r="I2227" s="460">
        <v>23.582789999999999</v>
      </c>
      <c r="J2227" s="460">
        <v>87.324799999999996</v>
      </c>
      <c r="K2227" s="460" t="e">
        <v>#N/A</v>
      </c>
      <c r="L2227" s="459" t="s">
        <v>538</v>
      </c>
      <c r="O2227">
        <v>20.085999999999999</v>
      </c>
      <c r="P2227" t="s">
        <v>10222</v>
      </c>
    </row>
    <row r="2228" spans="1:16" ht="14.4" x14ac:dyDescent="0.3">
      <c r="A2228">
        <v>248262</v>
      </c>
      <c r="B2228" t="str">
        <f t="shared" si="68"/>
        <v>WC Łącze do rur T</v>
      </c>
      <c r="C2228" s="185">
        <f t="shared" si="69"/>
        <v>87.324799999999996</v>
      </c>
      <c r="D2228" s="407" t="s">
        <v>8480</v>
      </c>
      <c r="E2228" s="407" t="s">
        <v>8481</v>
      </c>
      <c r="F2228" s="407" t="s">
        <v>8480</v>
      </c>
      <c r="G2228" s="407" t="s">
        <v>8482</v>
      </c>
      <c r="H2228" s="460">
        <v>626.07097999999996</v>
      </c>
      <c r="I2228" s="460">
        <v>23.582789999999999</v>
      </c>
      <c r="J2228" s="460">
        <v>87.324799999999996</v>
      </c>
      <c r="K2228" s="460" t="e">
        <v>#N/A</v>
      </c>
      <c r="L2228" s="459" t="s">
        <v>538</v>
      </c>
      <c r="O2228">
        <v>17.05</v>
      </c>
      <c r="P2228" t="s">
        <v>10223</v>
      </c>
    </row>
    <row r="2229" spans="1:16" ht="14.4" x14ac:dyDescent="0.3">
      <c r="A2229">
        <v>248263</v>
      </c>
      <c r="B2229" t="e">
        <f t="shared" si="68"/>
        <v>#N/A</v>
      </c>
      <c r="C2229" s="185" t="e">
        <f t="shared" si="69"/>
        <v>#N/A</v>
      </c>
      <c r="D2229" s="407" t="e">
        <v>#N/A</v>
      </c>
      <c r="E2229" s="407" t="e">
        <v>#N/A</v>
      </c>
      <c r="F2229" s="407" t="e">
        <v>#N/A</v>
      </c>
      <c r="G2229" s="407" t="e">
        <v>#N/A</v>
      </c>
      <c r="H2229" s="460" t="e">
        <v>#N/A</v>
      </c>
      <c r="I2229" s="460" t="e">
        <v>#N/A</v>
      </c>
      <c r="J2229" s="460" t="e">
        <v>#N/A</v>
      </c>
      <c r="K2229" s="460" t="e">
        <v>#N/A</v>
      </c>
      <c r="L2229" s="459" t="e">
        <v>#N/A</v>
      </c>
      <c r="O2229" t="e">
        <v>#N/A</v>
      </c>
      <c r="P2229" t="e">
        <v>#N/A</v>
      </c>
    </row>
    <row r="2230" spans="1:16" ht="14.4" x14ac:dyDescent="0.3">
      <c r="A2230">
        <v>248264</v>
      </c>
      <c r="B2230" t="e">
        <f t="shared" si="68"/>
        <v>#N/A</v>
      </c>
      <c r="C2230" s="185" t="e">
        <f t="shared" si="69"/>
        <v>#N/A</v>
      </c>
      <c r="D2230" s="407" t="e">
        <v>#N/A</v>
      </c>
      <c r="E2230" s="407" t="e">
        <v>#N/A</v>
      </c>
      <c r="F2230" s="407" t="e">
        <v>#N/A</v>
      </c>
      <c r="G2230" s="407" t="e">
        <v>#N/A</v>
      </c>
      <c r="H2230" s="460" t="e">
        <v>#N/A</v>
      </c>
      <c r="I2230" s="460" t="e">
        <v>#N/A</v>
      </c>
      <c r="J2230" s="460" t="e">
        <v>#N/A</v>
      </c>
      <c r="K2230" s="460" t="e">
        <v>#N/A</v>
      </c>
      <c r="L2230" s="459" t="e">
        <v>#N/A</v>
      </c>
      <c r="O2230" t="e">
        <v>#N/A</v>
      </c>
      <c r="P2230" t="e">
        <v>#N/A</v>
      </c>
    </row>
    <row r="2231" spans="1:16" ht="14.4" x14ac:dyDescent="0.3">
      <c r="A2231">
        <v>248265</v>
      </c>
      <c r="B2231" t="e">
        <f t="shared" si="68"/>
        <v>#N/A</v>
      </c>
      <c r="C2231" s="185" t="e">
        <f t="shared" si="69"/>
        <v>#N/A</v>
      </c>
      <c r="D2231" s="407" t="e">
        <v>#N/A</v>
      </c>
      <c r="E2231" s="407" t="e">
        <v>#N/A</v>
      </c>
      <c r="F2231" s="407" t="e">
        <v>#N/A</v>
      </c>
      <c r="G2231" s="407" t="e">
        <v>#N/A</v>
      </c>
      <c r="H2231" s="460" t="e">
        <v>#N/A</v>
      </c>
      <c r="I2231" s="460" t="e">
        <v>#N/A</v>
      </c>
      <c r="J2231" s="460" t="e">
        <v>#N/A</v>
      </c>
      <c r="K2231" s="460" t="e">
        <v>#N/A</v>
      </c>
      <c r="L2231" s="459" t="e">
        <v>#N/A</v>
      </c>
      <c r="O2231" t="e">
        <v>#N/A</v>
      </c>
      <c r="P2231" t="e">
        <v>#N/A</v>
      </c>
    </row>
    <row r="2232" spans="1:16" ht="14.4" x14ac:dyDescent="0.3">
      <c r="A2232">
        <v>248266</v>
      </c>
      <c r="B2232" t="e">
        <f t="shared" si="68"/>
        <v>#N/A</v>
      </c>
      <c r="C2232" s="185" t="e">
        <f t="shared" si="69"/>
        <v>#N/A</v>
      </c>
      <c r="D2232" s="407" t="e">
        <v>#N/A</v>
      </c>
      <c r="E2232" s="407" t="e">
        <v>#N/A</v>
      </c>
      <c r="F2232" s="407" t="e">
        <v>#N/A</v>
      </c>
      <c r="G2232" s="407" t="e">
        <v>#N/A</v>
      </c>
      <c r="H2232" s="460" t="e">
        <v>#N/A</v>
      </c>
      <c r="I2232" s="460" t="e">
        <v>#N/A</v>
      </c>
      <c r="J2232" s="460" t="e">
        <v>#N/A</v>
      </c>
      <c r="K2232" s="460" t="e">
        <v>#N/A</v>
      </c>
      <c r="L2232" s="459" t="e">
        <v>#N/A</v>
      </c>
      <c r="O2232" t="e">
        <v>#N/A</v>
      </c>
      <c r="P2232" t="e">
        <v>#N/A</v>
      </c>
    </row>
    <row r="2233" spans="1:16" ht="14.4" x14ac:dyDescent="0.3">
      <c r="A2233">
        <v>248268</v>
      </c>
      <c r="B2233" t="e">
        <f t="shared" si="68"/>
        <v>#N/A</v>
      </c>
      <c r="C2233" s="185" t="e">
        <f t="shared" si="69"/>
        <v>#N/A</v>
      </c>
      <c r="D2233" s="407" t="e">
        <v>#N/A</v>
      </c>
      <c r="E2233" s="407" t="e">
        <v>#N/A</v>
      </c>
      <c r="F2233" s="407" t="e">
        <v>#N/A</v>
      </c>
      <c r="G2233" s="407" t="e">
        <v>#N/A</v>
      </c>
      <c r="H2233" s="460" t="e">
        <v>#N/A</v>
      </c>
      <c r="I2233" s="460" t="e">
        <v>#N/A</v>
      </c>
      <c r="J2233" s="460" t="e">
        <v>#N/A</v>
      </c>
      <c r="K2233" s="460" t="e">
        <v>#N/A</v>
      </c>
      <c r="L2233" s="459" t="e">
        <v>#N/A</v>
      </c>
      <c r="O2233" t="e">
        <v>#N/A</v>
      </c>
      <c r="P2233" t="e">
        <v>#N/A</v>
      </c>
    </row>
    <row r="2234" spans="1:16" ht="14.4" x14ac:dyDescent="0.3">
      <c r="A2234">
        <v>248270</v>
      </c>
      <c r="B2234" t="str">
        <f t="shared" si="68"/>
        <v>WC Górny zacisk 90° 12mm</v>
      </c>
      <c r="C2234" s="185">
        <f t="shared" si="69"/>
        <v>92.020989999999998</v>
      </c>
      <c r="D2234" s="407" t="s">
        <v>8483</v>
      </c>
      <c r="E2234" s="407" t="s">
        <v>8484</v>
      </c>
      <c r="F2234" s="407" t="s">
        <v>8485</v>
      </c>
      <c r="G2234" s="407" t="s">
        <v>8486</v>
      </c>
      <c r="H2234" s="460">
        <v>646.40639999999996</v>
      </c>
      <c r="I2234" s="460">
        <v>24.796800000000001</v>
      </c>
      <c r="J2234" s="460">
        <v>92.020989999999998</v>
      </c>
      <c r="K2234" s="460" t="e">
        <v>#N/A</v>
      </c>
      <c r="L2234" s="459" t="s">
        <v>538</v>
      </c>
      <c r="O2234">
        <v>26.886679999999998</v>
      </c>
      <c r="P2234" t="s">
        <v>10224</v>
      </c>
    </row>
    <row r="2235" spans="1:16" ht="14.4" x14ac:dyDescent="0.3">
      <c r="A2235">
        <v>249432</v>
      </c>
      <c r="B2235" t="str">
        <f t="shared" si="68"/>
        <v>S-S15 profil uchwytowy + profl maskujący alu 2,7m</v>
      </c>
      <c r="C2235" s="185" t="e">
        <f t="shared" si="69"/>
        <v>#N/A</v>
      </c>
      <c r="D2235" s="407" t="s">
        <v>8487</v>
      </c>
      <c r="E2235" s="407" t="s">
        <v>8488</v>
      </c>
      <c r="F2235" s="407" t="s">
        <v>8489</v>
      </c>
      <c r="G2235" s="407" t="s">
        <v>8490</v>
      </c>
      <c r="H2235" s="460" t="e">
        <v>#N/A</v>
      </c>
      <c r="I2235" s="460" t="e">
        <v>#N/A</v>
      </c>
      <c r="J2235" s="460" t="e">
        <v>#N/A</v>
      </c>
      <c r="K2235" s="460" t="e">
        <v>#N/A</v>
      </c>
      <c r="L2235" s="459" t="e">
        <v>#N/A</v>
      </c>
      <c r="O2235">
        <v>0</v>
      </c>
      <c r="P2235" t="s">
        <v>10225</v>
      </c>
    </row>
    <row r="2236" spans="1:16" ht="14.4" x14ac:dyDescent="0.3">
      <c r="A2236">
        <v>249446</v>
      </c>
      <c r="B2236" t="str">
        <f t="shared" si="68"/>
        <v>S-komplet okuć S55A</v>
      </c>
      <c r="C2236" s="185">
        <f t="shared" si="69"/>
        <v>56.740940000000002</v>
      </c>
      <c r="D2236" s="407" t="s">
        <v>8491</v>
      </c>
      <c r="E2236" s="407" t="s">
        <v>8492</v>
      </c>
      <c r="F2236" s="407" t="s">
        <v>8493</v>
      </c>
      <c r="G2236" s="407" t="s">
        <v>8494</v>
      </c>
      <c r="H2236" s="460">
        <v>301.35000000000002</v>
      </c>
      <c r="I2236" s="460">
        <v>12.86153</v>
      </c>
      <c r="J2236" s="460">
        <v>56.740940000000002</v>
      </c>
      <c r="K2236" s="460" t="e">
        <v>#N/A</v>
      </c>
      <c r="L2236" s="459" t="s">
        <v>537</v>
      </c>
      <c r="O2236">
        <v>10.83942</v>
      </c>
      <c r="P2236" t="s">
        <v>10226</v>
      </c>
    </row>
    <row r="2237" spans="1:16" ht="14.4" x14ac:dyDescent="0.3">
      <c r="A2237">
        <v>249840</v>
      </c>
      <c r="B2237" t="str">
        <f t="shared" si="68"/>
        <v>IC-łącznik do skośnych aluminiowych drzwi Comfort</v>
      </c>
      <c r="C2237" s="185" t="e">
        <f t="shared" si="69"/>
        <v>#N/A</v>
      </c>
      <c r="D2237" s="407" t="s">
        <v>8495</v>
      </c>
      <c r="E2237" s="407" t="s">
        <v>8496</v>
      </c>
      <c r="F2237" s="407" t="s">
        <v>8497</v>
      </c>
      <c r="G2237" s="407" t="s">
        <v>8498</v>
      </c>
      <c r="H2237" s="460" t="e">
        <v>#N/A</v>
      </c>
      <c r="I2237" s="460" t="e">
        <v>#N/A</v>
      </c>
      <c r="J2237" s="460" t="e">
        <v>#N/A</v>
      </c>
      <c r="K2237" s="460" t="e">
        <v>#N/A</v>
      </c>
      <c r="L2237" s="459" t="e">
        <v>#N/A</v>
      </c>
      <c r="O2237">
        <v>0</v>
      </c>
      <c r="P2237" t="s">
        <v>10227</v>
      </c>
    </row>
    <row r="2238" spans="1:16" ht="14.4" x14ac:dyDescent="0.3">
      <c r="A2238">
        <v>278305</v>
      </c>
      <c r="B2238" t="str">
        <f t="shared" si="68"/>
        <v>S-szczotka odbojowa niska 13x5 mm, szara</v>
      </c>
      <c r="C2238" s="185">
        <f t="shared" si="69"/>
        <v>2.21428</v>
      </c>
      <c r="D2238" s="407" t="s">
        <v>8499</v>
      </c>
      <c r="E2238" s="407" t="s">
        <v>8500</v>
      </c>
      <c r="F2238" s="407" t="s">
        <v>8501</v>
      </c>
      <c r="G2238" s="407" t="s">
        <v>8502</v>
      </c>
      <c r="H2238" s="460">
        <v>11.76</v>
      </c>
      <c r="I2238" s="460">
        <v>0.50190999999999997</v>
      </c>
      <c r="J2238" s="460">
        <v>2.21428</v>
      </c>
      <c r="K2238" s="460" t="e">
        <v>#N/A</v>
      </c>
      <c r="L2238" s="459" t="s">
        <v>537</v>
      </c>
      <c r="O2238">
        <v>0.40794999999999998</v>
      </c>
      <c r="P2238" t="s">
        <v>10228</v>
      </c>
    </row>
    <row r="2239" spans="1:16" ht="14.4" x14ac:dyDescent="0.3">
      <c r="A2239">
        <v>279404</v>
      </c>
      <c r="B2239" t="str">
        <f t="shared" si="68"/>
        <v>IC-rączka Portland 10mm 2,7m srebrna</v>
      </c>
      <c r="C2239" s="185" t="e">
        <f t="shared" si="69"/>
        <v>#N/A</v>
      </c>
      <c r="D2239" s="407" t="s">
        <v>8503</v>
      </c>
      <c r="E2239" s="407" t="s">
        <v>8504</v>
      </c>
      <c r="F2239" s="407" t="s">
        <v>8505</v>
      </c>
      <c r="G2239" s="407" t="s">
        <v>8506</v>
      </c>
      <c r="H2239" s="460" t="e">
        <v>#N/A</v>
      </c>
      <c r="I2239" s="460" t="e">
        <v>#N/A</v>
      </c>
      <c r="J2239" s="460" t="e">
        <v>#N/A</v>
      </c>
      <c r="K2239" s="460" t="e">
        <v>#N/A</v>
      </c>
      <c r="L2239" s="459" t="e">
        <v>#N/A</v>
      </c>
      <c r="O2239">
        <v>0</v>
      </c>
      <c r="P2239" t="s">
        <v>10229</v>
      </c>
    </row>
    <row r="2240" spans="1:16" ht="14.4" x14ac:dyDescent="0.3">
      <c r="A2240">
        <v>281867</v>
      </c>
      <c r="B2240" t="e">
        <f t="shared" si="68"/>
        <v>#N/A</v>
      </c>
      <c r="C2240" s="185" t="e">
        <f t="shared" si="69"/>
        <v>#N/A</v>
      </c>
      <c r="D2240" s="407" t="e">
        <v>#N/A</v>
      </c>
      <c r="E2240" s="407" t="e">
        <v>#N/A</v>
      </c>
      <c r="F2240" s="407" t="e">
        <v>#N/A</v>
      </c>
      <c r="G2240" s="407" t="e">
        <v>#N/A</v>
      </c>
      <c r="H2240" s="460" t="e">
        <v>#N/A</v>
      </c>
      <c r="I2240" s="460" t="e">
        <v>#N/A</v>
      </c>
      <c r="J2240" s="460" t="e">
        <v>#N/A</v>
      </c>
      <c r="K2240" s="460" t="e">
        <v>#N/A</v>
      </c>
      <c r="L2240" s="459" t="e">
        <v>#N/A</v>
      </c>
      <c r="O2240" t="e">
        <v>#N/A</v>
      </c>
      <c r="P2240" t="e">
        <v>#N/A</v>
      </c>
    </row>
    <row r="2241" spans="1:16" ht="14.4" x14ac:dyDescent="0.3">
      <c r="A2241">
        <v>281980</v>
      </c>
      <c r="B2241" t="str">
        <f t="shared" si="68"/>
        <v>S-tłumienie obustronne Slidix Centro T25 S55/S60/S65</v>
      </c>
      <c r="C2241" s="185" t="e">
        <f t="shared" si="69"/>
        <v>#N/A</v>
      </c>
      <c r="D2241" s="407" t="s">
        <v>8507</v>
      </c>
      <c r="E2241" s="407" t="s">
        <v>8508</v>
      </c>
      <c r="F2241" s="407" t="s">
        <v>8509</v>
      </c>
      <c r="G2241" s="407" t="s">
        <v>8510</v>
      </c>
      <c r="H2241" s="460" t="e">
        <v>#N/A</v>
      </c>
      <c r="I2241" s="460" t="e">
        <v>#N/A</v>
      </c>
      <c r="J2241" s="460" t="e">
        <v>#N/A</v>
      </c>
      <c r="K2241" s="460" t="e">
        <v>#N/A</v>
      </c>
      <c r="L2241" s="459" t="e">
        <v>#N/A</v>
      </c>
      <c r="O2241">
        <v>61.015500000000003</v>
      </c>
      <c r="P2241" t="s">
        <v>10230</v>
      </c>
    </row>
    <row r="2242" spans="1:16" ht="14.4" x14ac:dyDescent="0.3">
      <c r="A2242">
        <v>282183</v>
      </c>
      <c r="B2242" t="e">
        <f t="shared" si="68"/>
        <v>#N/A</v>
      </c>
      <c r="C2242" s="185" t="e">
        <f t="shared" si="69"/>
        <v>#N/A</v>
      </c>
      <c r="D2242" s="407" t="e">
        <v>#N/A</v>
      </c>
      <c r="E2242" s="407" t="e">
        <v>#N/A</v>
      </c>
      <c r="F2242" s="407" t="e">
        <v>#N/A</v>
      </c>
      <c r="G2242" s="407" t="e">
        <v>#N/A</v>
      </c>
      <c r="H2242" s="460" t="e">
        <v>#N/A</v>
      </c>
      <c r="I2242" s="460" t="e">
        <v>#N/A</v>
      </c>
      <c r="J2242" s="460" t="e">
        <v>#N/A</v>
      </c>
      <c r="K2242" s="460" t="e">
        <v>#N/A</v>
      </c>
      <c r="L2242" s="459" t="e">
        <v>#N/A</v>
      </c>
      <c r="O2242" t="e">
        <v>#N/A</v>
      </c>
      <c r="P2242" t="e">
        <v>#N/A</v>
      </c>
    </row>
    <row r="2243" spans="1:16" ht="14.4" x14ac:dyDescent="0.3">
      <c r="A2243">
        <v>282185</v>
      </c>
      <c r="B2243" t="e">
        <f t="shared" si="68"/>
        <v>#N/A</v>
      </c>
      <c r="C2243" s="185" t="e">
        <f t="shared" si="69"/>
        <v>#N/A</v>
      </c>
      <c r="D2243" s="407" t="e">
        <v>#N/A</v>
      </c>
      <c r="E2243" s="407" t="e">
        <v>#N/A</v>
      </c>
      <c r="F2243" s="407" t="e">
        <v>#N/A</v>
      </c>
      <c r="G2243" s="407" t="e">
        <v>#N/A</v>
      </c>
      <c r="H2243" s="460" t="e">
        <v>#N/A</v>
      </c>
      <c r="I2243" s="460" t="e">
        <v>#N/A</v>
      </c>
      <c r="J2243" s="460" t="e">
        <v>#N/A</v>
      </c>
      <c r="K2243" s="460" t="e">
        <v>#N/A</v>
      </c>
      <c r="L2243" s="459" t="e">
        <v>#N/A</v>
      </c>
      <c r="O2243" t="e">
        <v>#N/A</v>
      </c>
      <c r="P2243" t="e">
        <v>#N/A</v>
      </c>
    </row>
    <row r="2244" spans="1:16" ht="14.4" x14ac:dyDescent="0.3">
      <c r="A2244">
        <v>282188</v>
      </c>
      <c r="B2244" t="e">
        <f t="shared" ref="B2244:B2307" si="70">IF($A$2=1,D2244,IF($A$2=2,F2244,IF($A$2=3,G2244,IF($A$2=4,E2244,IF($A$2&gt;4,P2244,"zadat jazyk")))))</f>
        <v>#N/A</v>
      </c>
      <c r="C2244" s="185" t="e">
        <f t="shared" ref="C2244:C2307" si="71">IF($A$2=1,H2244,IF($A$2=2,I2244,IF($A$2=3,J2244,IF($A$2=4,K2244,IF($A$2&gt;4,O2244,"zadat jazyk")))))</f>
        <v>#N/A</v>
      </c>
      <c r="D2244" s="407" t="e">
        <v>#N/A</v>
      </c>
      <c r="E2244" s="407" t="e">
        <v>#N/A</v>
      </c>
      <c r="F2244" s="407" t="e">
        <v>#N/A</v>
      </c>
      <c r="G2244" s="407" t="e">
        <v>#N/A</v>
      </c>
      <c r="H2244" s="460" t="e">
        <v>#N/A</v>
      </c>
      <c r="I2244" s="460" t="e">
        <v>#N/A</v>
      </c>
      <c r="J2244" s="460" t="e">
        <v>#N/A</v>
      </c>
      <c r="K2244" s="460" t="e">
        <v>#N/A</v>
      </c>
      <c r="L2244" s="459" t="e">
        <v>#N/A</v>
      </c>
      <c r="O2244" t="e">
        <v>#N/A</v>
      </c>
      <c r="P2244" t="e">
        <v>#N/A</v>
      </c>
    </row>
    <row r="2245" spans="1:16" ht="14.4" x14ac:dyDescent="0.3">
      <c r="A2245">
        <v>282189</v>
      </c>
      <c r="B2245" t="e">
        <f t="shared" si="70"/>
        <v>#N/A</v>
      </c>
      <c r="C2245" s="185" t="e">
        <f t="shared" si="71"/>
        <v>#N/A</v>
      </c>
      <c r="D2245" s="407" t="e">
        <v>#N/A</v>
      </c>
      <c r="E2245" s="407" t="e">
        <v>#N/A</v>
      </c>
      <c r="F2245" s="407" t="e">
        <v>#N/A</v>
      </c>
      <c r="G2245" s="407" t="e">
        <v>#N/A</v>
      </c>
      <c r="H2245" s="460" t="e">
        <v>#N/A</v>
      </c>
      <c r="I2245" s="460" t="e">
        <v>#N/A</v>
      </c>
      <c r="J2245" s="460" t="e">
        <v>#N/A</v>
      </c>
      <c r="K2245" s="460" t="e">
        <v>#N/A</v>
      </c>
      <c r="L2245" s="459" t="e">
        <v>#N/A</v>
      </c>
      <c r="O2245" t="e">
        <v>#N/A</v>
      </c>
      <c r="P2245" t="e">
        <v>#N/A</v>
      </c>
    </row>
    <row r="2246" spans="1:16" ht="14.4" x14ac:dyDescent="0.3">
      <c r="A2246">
        <v>282191</v>
      </c>
      <c r="B2246" t="e">
        <f t="shared" si="70"/>
        <v>#N/A</v>
      </c>
      <c r="C2246" s="185" t="e">
        <f t="shared" si="71"/>
        <v>#N/A</v>
      </c>
      <c r="D2246" s="407" t="e">
        <v>#N/A</v>
      </c>
      <c r="E2246" s="407" t="e">
        <v>#N/A</v>
      </c>
      <c r="F2246" s="407" t="e">
        <v>#N/A</v>
      </c>
      <c r="G2246" s="407" t="e">
        <v>#N/A</v>
      </c>
      <c r="H2246" s="460" t="e">
        <v>#N/A</v>
      </c>
      <c r="I2246" s="460" t="e">
        <v>#N/A</v>
      </c>
      <c r="J2246" s="460" t="e">
        <v>#N/A</v>
      </c>
      <c r="K2246" s="460" t="e">
        <v>#N/A</v>
      </c>
      <c r="L2246" s="459" t="e">
        <v>#N/A</v>
      </c>
      <c r="O2246" t="e">
        <v>#N/A</v>
      </c>
      <c r="P2246" t="e">
        <v>#N/A</v>
      </c>
    </row>
    <row r="2247" spans="1:16" ht="14.4" x14ac:dyDescent="0.3">
      <c r="A2247">
        <v>259427</v>
      </c>
      <c r="B2247" t="str">
        <f t="shared" si="70"/>
        <v>IC-tor dolny 3 m arktyczne srebro</v>
      </c>
      <c r="C2247" s="185" t="e">
        <f t="shared" si="71"/>
        <v>#N/A</v>
      </c>
      <c r="D2247" s="407" t="s">
        <v>8511</v>
      </c>
      <c r="E2247" s="407" t="s">
        <v>8512</v>
      </c>
      <c r="F2247" s="407" t="s">
        <v>8513</v>
      </c>
      <c r="G2247" s="407" t="s">
        <v>8514</v>
      </c>
      <c r="H2247" s="460" t="e">
        <v>#N/A</v>
      </c>
      <c r="I2247" s="460" t="e">
        <v>#N/A</v>
      </c>
      <c r="J2247" s="460" t="e">
        <v>#N/A</v>
      </c>
      <c r="K2247" s="460" t="e">
        <v>#N/A</v>
      </c>
      <c r="L2247" s="459" t="e">
        <v>#N/A</v>
      </c>
      <c r="O2247">
        <v>0</v>
      </c>
      <c r="P2247" t="s">
        <v>10231</v>
      </c>
    </row>
    <row r="2248" spans="1:16" ht="14.4" x14ac:dyDescent="0.3">
      <c r="A2248">
        <v>259428</v>
      </c>
      <c r="B2248" t="str">
        <f t="shared" si="70"/>
        <v>IC-Profil  10mm 2,4m arktyczne srebro</v>
      </c>
      <c r="C2248" s="185" t="e">
        <f t="shared" si="71"/>
        <v>#N/A</v>
      </c>
      <c r="D2248" s="407" t="s">
        <v>8515</v>
      </c>
      <c r="E2248" s="407" t="s">
        <v>8516</v>
      </c>
      <c r="F2248" s="407" t="s">
        <v>8517</v>
      </c>
      <c r="G2248" s="407" t="s">
        <v>8518</v>
      </c>
      <c r="H2248" s="460" t="e">
        <v>#N/A</v>
      </c>
      <c r="I2248" s="460" t="e">
        <v>#N/A</v>
      </c>
      <c r="J2248" s="460" t="e">
        <v>#N/A</v>
      </c>
      <c r="K2248" s="460" t="e">
        <v>#N/A</v>
      </c>
      <c r="L2248" s="459" t="e">
        <v>#N/A</v>
      </c>
      <c r="O2248">
        <v>0</v>
      </c>
      <c r="P2248" t="s">
        <v>10232</v>
      </c>
    </row>
    <row r="2249" spans="1:16" ht="14.4" x14ac:dyDescent="0.3">
      <c r="A2249">
        <v>259432</v>
      </c>
      <c r="B2249" t="str">
        <f t="shared" si="70"/>
        <v>S-S06NN dolny profil 3m elox srebrny</v>
      </c>
      <c r="C2249" s="185" t="e">
        <f t="shared" si="71"/>
        <v>#N/A</v>
      </c>
      <c r="D2249" s="407" t="s">
        <v>8519</v>
      </c>
      <c r="E2249" s="407" t="s">
        <v>8520</v>
      </c>
      <c r="F2249" s="407" t="s">
        <v>8521</v>
      </c>
      <c r="G2249" s="407" t="s">
        <v>8522</v>
      </c>
      <c r="H2249" s="460" t="e">
        <v>#N/A</v>
      </c>
      <c r="I2249" s="460" t="e">
        <v>#N/A</v>
      </c>
      <c r="J2249" s="460" t="e">
        <v>#N/A</v>
      </c>
      <c r="K2249" s="460" t="e">
        <v>#N/A</v>
      </c>
      <c r="L2249" s="459" t="e">
        <v>#N/A</v>
      </c>
      <c r="O2249">
        <v>0</v>
      </c>
      <c r="P2249" t="s">
        <v>10233</v>
      </c>
    </row>
    <row r="2250" spans="1:16" ht="14.4" x14ac:dyDescent="0.3">
      <c r="A2250">
        <v>260284</v>
      </c>
      <c r="B2250" t="e">
        <f t="shared" si="70"/>
        <v>#N/A</v>
      </c>
      <c r="C2250" s="185" t="e">
        <f t="shared" si="71"/>
        <v>#N/A</v>
      </c>
      <c r="D2250" s="407" t="e">
        <v>#N/A</v>
      </c>
      <c r="E2250" s="407" t="e">
        <v>#N/A</v>
      </c>
      <c r="F2250" s="407" t="e">
        <v>#N/A</v>
      </c>
      <c r="G2250" s="407" t="e">
        <v>#N/A</v>
      </c>
      <c r="H2250" s="460" t="e">
        <v>#N/A</v>
      </c>
      <c r="I2250" s="460" t="e">
        <v>#N/A</v>
      </c>
      <c r="J2250" s="460" t="e">
        <v>#N/A</v>
      </c>
      <c r="K2250" s="460" t="e">
        <v>#N/A</v>
      </c>
      <c r="L2250" s="459" t="e">
        <v>#N/A</v>
      </c>
      <c r="O2250" t="e">
        <v>#N/A</v>
      </c>
      <c r="P2250" t="e">
        <v>#N/A</v>
      </c>
    </row>
    <row r="2251" spans="1:16" ht="14.4" x14ac:dyDescent="0.3">
      <c r="A2251">
        <v>260393</v>
      </c>
      <c r="B2251" t="str">
        <f t="shared" si="70"/>
        <v>S-Softclose S60/S60N (Slidix T25) tłumienie</v>
      </c>
      <c r="C2251" s="185" t="e">
        <f t="shared" si="71"/>
        <v>#N/A</v>
      </c>
      <c r="D2251" s="407" t="s">
        <v>8523</v>
      </c>
      <c r="E2251" s="407" t="s">
        <v>8524</v>
      </c>
      <c r="F2251" s="407" t="s">
        <v>8525</v>
      </c>
      <c r="G2251" s="407" t="s">
        <v>8526</v>
      </c>
      <c r="H2251" s="460" t="e">
        <v>#N/A</v>
      </c>
      <c r="I2251" s="460" t="e">
        <v>#N/A</v>
      </c>
      <c r="J2251" s="460" t="e">
        <v>#N/A</v>
      </c>
      <c r="K2251" s="460" t="e">
        <v>#N/A</v>
      </c>
      <c r="L2251" s="459" t="e">
        <v>#N/A</v>
      </c>
      <c r="O2251">
        <v>20.39678</v>
      </c>
      <c r="P2251" t="s">
        <v>10234</v>
      </c>
    </row>
    <row r="2252" spans="1:16" ht="14.4" x14ac:dyDescent="0.3">
      <c r="A2252">
        <v>188667</v>
      </c>
      <c r="B2252" t="e">
        <f t="shared" si="70"/>
        <v>#N/A</v>
      </c>
      <c r="C2252" s="185" t="e">
        <f t="shared" si="71"/>
        <v>#N/A</v>
      </c>
      <c r="D2252" s="407" t="e">
        <v>#N/A</v>
      </c>
      <c r="E2252" s="407" t="e">
        <v>#N/A</v>
      </c>
      <c r="F2252" s="407" t="e">
        <v>#N/A</v>
      </c>
      <c r="G2252" s="407" t="e">
        <v>#N/A</v>
      </c>
      <c r="H2252" s="460" t="e">
        <v>#N/A</v>
      </c>
      <c r="I2252" s="460" t="e">
        <v>#N/A</v>
      </c>
      <c r="J2252" s="460" t="e">
        <v>#N/A</v>
      </c>
      <c r="K2252" s="460" t="e">
        <v>#N/A</v>
      </c>
      <c r="L2252" s="459" t="e">
        <v>#N/A</v>
      </c>
      <c r="O2252" t="e">
        <v>#N/A</v>
      </c>
      <c r="P2252" t="e">
        <v>#N/A</v>
      </c>
    </row>
    <row r="2253" spans="1:16" ht="14.4" x14ac:dyDescent="0.3">
      <c r="A2253">
        <v>189591</v>
      </c>
      <c r="B2253" t="str">
        <f t="shared" si="70"/>
        <v>SEVROLL zestaw Apollo 2/756</v>
      </c>
      <c r="C2253" s="185" t="e">
        <f t="shared" si="71"/>
        <v>#N/A</v>
      </c>
      <c r="D2253" s="407" t="s">
        <v>1695</v>
      </c>
      <c r="E2253" s="407" t="s">
        <v>2127</v>
      </c>
      <c r="F2253" s="407" t="s">
        <v>1695</v>
      </c>
      <c r="G2253" s="407" t="s">
        <v>2603</v>
      </c>
      <c r="H2253" s="460" t="e">
        <v>#N/A</v>
      </c>
      <c r="I2253" s="460" t="e">
        <v>#N/A</v>
      </c>
      <c r="J2253" s="460" t="e">
        <v>#N/A</v>
      </c>
      <c r="K2253" s="460" t="e">
        <v>#N/A</v>
      </c>
      <c r="L2253" s="459" t="e">
        <v>#N/A</v>
      </c>
      <c r="O2253">
        <v>26.268000000000001</v>
      </c>
      <c r="P2253" t="s">
        <v>10235</v>
      </c>
    </row>
    <row r="2254" spans="1:16" ht="14.4" x14ac:dyDescent="0.3">
      <c r="A2254">
        <v>190488</v>
      </c>
      <c r="B2254" t="str">
        <f t="shared" si="70"/>
        <v>SEVROLL zestaw okuć ZSE-10 Plus</v>
      </c>
      <c r="C2254" s="185">
        <f t="shared" si="71"/>
        <v>232.9272</v>
      </c>
      <c r="D2254" s="407" t="s">
        <v>1696</v>
      </c>
      <c r="E2254" s="407" t="s">
        <v>2128</v>
      </c>
      <c r="F2254" s="407" t="s">
        <v>6126</v>
      </c>
      <c r="G2254" s="407" t="s">
        <v>2604</v>
      </c>
      <c r="H2254" s="460">
        <v>1856.4135799999999</v>
      </c>
      <c r="I2254" s="460">
        <v>66.747969999999995</v>
      </c>
      <c r="J2254" s="460">
        <v>232.9272</v>
      </c>
      <c r="K2254" s="460">
        <v>25690.338250000001</v>
      </c>
      <c r="L2254" s="459" t="s">
        <v>539</v>
      </c>
      <c r="O2254">
        <v>62.524000000000001</v>
      </c>
      <c r="P2254" t="s">
        <v>10236</v>
      </c>
    </row>
    <row r="2255" spans="1:16" ht="14.4" x14ac:dyDescent="0.3">
      <c r="A2255">
        <v>190831</v>
      </c>
      <c r="B2255" t="str">
        <f t="shared" si="70"/>
        <v>SEVROLL zestaw okuć ZSE-18</v>
      </c>
      <c r="C2255" s="185" t="e">
        <f t="shared" si="71"/>
        <v>#N/A</v>
      </c>
      <c r="D2255" s="407" t="s">
        <v>1697</v>
      </c>
      <c r="E2255" s="407" t="s">
        <v>2129</v>
      </c>
      <c r="F2255" s="407" t="s">
        <v>6127</v>
      </c>
      <c r="G2255" s="407" t="s">
        <v>2605</v>
      </c>
      <c r="H2255" s="460" t="e">
        <v>#N/A</v>
      </c>
      <c r="I2255" s="460" t="e">
        <v>#N/A</v>
      </c>
      <c r="J2255" s="460" t="e">
        <v>#N/A</v>
      </c>
      <c r="K2255" s="460" t="e">
        <v>#N/A</v>
      </c>
      <c r="L2255" s="459" t="e">
        <v>#N/A</v>
      </c>
      <c r="O2255">
        <v>42.042000000000002</v>
      </c>
      <c r="P2255" t="s">
        <v>10237</v>
      </c>
    </row>
    <row r="2256" spans="1:16" ht="14.4" x14ac:dyDescent="0.3">
      <c r="A2256">
        <v>190832</v>
      </c>
      <c r="B2256" t="str">
        <f t="shared" si="70"/>
        <v>SEVROLL zestaw okuć ZSE-18 Plus</v>
      </c>
      <c r="C2256" s="185" t="e">
        <f t="shared" si="71"/>
        <v>#N/A</v>
      </c>
      <c r="D2256" s="407" t="s">
        <v>1698</v>
      </c>
      <c r="E2256" s="407" t="s">
        <v>2130</v>
      </c>
      <c r="F2256" s="407" t="s">
        <v>6128</v>
      </c>
      <c r="G2256" s="407" t="s">
        <v>2606</v>
      </c>
      <c r="H2256" s="460" t="e">
        <v>#N/A</v>
      </c>
      <c r="I2256" s="460" t="e">
        <v>#N/A</v>
      </c>
      <c r="J2256" s="460" t="e">
        <v>#N/A</v>
      </c>
      <c r="K2256" s="460" t="e">
        <v>#N/A</v>
      </c>
      <c r="L2256" s="459" t="e">
        <v>#N/A</v>
      </c>
      <c r="O2256">
        <v>61.6</v>
      </c>
      <c r="P2256" t="s">
        <v>10238</v>
      </c>
    </row>
    <row r="2257" spans="1:16" ht="14.4" x14ac:dyDescent="0.3">
      <c r="A2257">
        <v>190841</v>
      </c>
      <c r="B2257" t="str">
        <f t="shared" si="70"/>
        <v>SEVROLL zestaw okuć ZSE-18 U Plus</v>
      </c>
      <c r="C2257" s="185" t="e">
        <f t="shared" si="71"/>
        <v>#N/A</v>
      </c>
      <c r="D2257" s="407" t="s">
        <v>1699</v>
      </c>
      <c r="E2257" s="407" t="s">
        <v>2131</v>
      </c>
      <c r="F2257" s="407" t="s">
        <v>6129</v>
      </c>
      <c r="G2257" s="407" t="s">
        <v>2607</v>
      </c>
      <c r="H2257" s="460" t="e">
        <v>#N/A</v>
      </c>
      <c r="I2257" s="460" t="e">
        <v>#N/A</v>
      </c>
      <c r="J2257" s="460" t="e">
        <v>#N/A</v>
      </c>
      <c r="K2257" s="460" t="e">
        <v>#N/A</v>
      </c>
      <c r="L2257" s="459" t="e">
        <v>#N/A</v>
      </c>
      <c r="O2257">
        <v>61.82</v>
      </c>
      <c r="P2257" t="s">
        <v>10239</v>
      </c>
    </row>
    <row r="2258" spans="1:16" ht="14.4" x14ac:dyDescent="0.3">
      <c r="A2258">
        <v>191628</v>
      </c>
      <c r="B2258" t="str">
        <f t="shared" si="70"/>
        <v>IC-tor górny prosty 2m srebrny</v>
      </c>
      <c r="C2258" s="185" t="e">
        <f t="shared" si="71"/>
        <v>#N/A</v>
      </c>
      <c r="D2258" s="407" t="s">
        <v>8527</v>
      </c>
      <c r="E2258" s="407" t="s">
        <v>8528</v>
      </c>
      <c r="F2258" s="407" t="s">
        <v>8529</v>
      </c>
      <c r="G2258" s="407" t="s">
        <v>8530</v>
      </c>
      <c r="H2258" s="460" t="e">
        <v>#N/A</v>
      </c>
      <c r="I2258" s="460" t="e">
        <v>#N/A</v>
      </c>
      <c r="J2258" s="460" t="e">
        <v>#N/A</v>
      </c>
      <c r="K2258" s="460" t="e">
        <v>#N/A</v>
      </c>
      <c r="L2258" s="459" t="e">
        <v>#N/A</v>
      </c>
      <c r="O2258">
        <v>0</v>
      </c>
      <c r="P2258" t="s">
        <v>10240</v>
      </c>
    </row>
    <row r="2259" spans="1:16" ht="14.4" x14ac:dyDescent="0.3">
      <c r="A2259">
        <v>191629</v>
      </c>
      <c r="B2259" t="str">
        <f t="shared" si="70"/>
        <v>IC-tor górny prosty 3m srebrny</v>
      </c>
      <c r="C2259" s="185" t="e">
        <f t="shared" si="71"/>
        <v>#N/A</v>
      </c>
      <c r="D2259" s="407" t="s">
        <v>8531</v>
      </c>
      <c r="E2259" s="407" t="s">
        <v>8532</v>
      </c>
      <c r="F2259" s="407" t="s">
        <v>8533</v>
      </c>
      <c r="G2259" s="407" t="s">
        <v>8534</v>
      </c>
      <c r="H2259" s="460" t="e">
        <v>#N/A</v>
      </c>
      <c r="I2259" s="460" t="e">
        <v>#N/A</v>
      </c>
      <c r="J2259" s="460" t="e">
        <v>#N/A</v>
      </c>
      <c r="K2259" s="460" t="e">
        <v>#N/A</v>
      </c>
      <c r="L2259" s="459" t="e">
        <v>#N/A</v>
      </c>
      <c r="O2259">
        <v>0</v>
      </c>
      <c r="P2259" t="s">
        <v>10241</v>
      </c>
    </row>
    <row r="2260" spans="1:16" ht="14.4" x14ac:dyDescent="0.3">
      <c r="A2260">
        <v>191632</v>
      </c>
      <c r="B2260" t="str">
        <f t="shared" si="70"/>
        <v>IC-tor dolny prosty 2m srebrny</v>
      </c>
      <c r="C2260" s="185" t="e">
        <f t="shared" si="71"/>
        <v>#N/A</v>
      </c>
      <c r="D2260" s="407" t="s">
        <v>8535</v>
      </c>
      <c r="E2260" s="407" t="s">
        <v>8536</v>
      </c>
      <c r="F2260" s="407" t="s">
        <v>8537</v>
      </c>
      <c r="G2260" s="407" t="s">
        <v>8538</v>
      </c>
      <c r="H2260" s="460" t="e">
        <v>#N/A</v>
      </c>
      <c r="I2260" s="460" t="e">
        <v>#N/A</v>
      </c>
      <c r="J2260" s="460" t="e">
        <v>#N/A</v>
      </c>
      <c r="K2260" s="460" t="e">
        <v>#N/A</v>
      </c>
      <c r="L2260" s="459" t="e">
        <v>#N/A</v>
      </c>
      <c r="O2260">
        <v>0</v>
      </c>
      <c r="P2260" t="s">
        <v>10242</v>
      </c>
    </row>
    <row r="2261" spans="1:16" ht="14.4" x14ac:dyDescent="0.3">
      <c r="A2261">
        <v>191633</v>
      </c>
      <c r="B2261" t="str">
        <f t="shared" si="70"/>
        <v>IC-tor dolny prosty 3m srebrny</v>
      </c>
      <c r="C2261" s="185" t="e">
        <f t="shared" si="71"/>
        <v>#N/A</v>
      </c>
      <c r="D2261" s="407" t="s">
        <v>8539</v>
      </c>
      <c r="E2261" s="407" t="s">
        <v>8540</v>
      </c>
      <c r="F2261" s="407" t="s">
        <v>8541</v>
      </c>
      <c r="G2261" s="407" t="s">
        <v>8542</v>
      </c>
      <c r="H2261" s="460" t="e">
        <v>#N/A</v>
      </c>
      <c r="I2261" s="460" t="e">
        <v>#N/A</v>
      </c>
      <c r="J2261" s="460" t="e">
        <v>#N/A</v>
      </c>
      <c r="K2261" s="460" t="e">
        <v>#N/A</v>
      </c>
      <c r="L2261" s="459" t="e">
        <v>#N/A</v>
      </c>
      <c r="O2261">
        <v>0</v>
      </c>
      <c r="P2261" t="s">
        <v>10243</v>
      </c>
    </row>
    <row r="2262" spans="1:16" ht="14.4" x14ac:dyDescent="0.3">
      <c r="A2262">
        <v>191634</v>
      </c>
      <c r="B2262" t="str">
        <f t="shared" si="70"/>
        <v>IC-tor dolny prosty 5m srebrny</v>
      </c>
      <c r="C2262" s="185" t="e">
        <f t="shared" si="71"/>
        <v>#N/A</v>
      </c>
      <c r="D2262" s="407" t="s">
        <v>8543</v>
      </c>
      <c r="E2262" s="407" t="s">
        <v>8544</v>
      </c>
      <c r="F2262" s="407" t="s">
        <v>8545</v>
      </c>
      <c r="G2262" s="407" t="s">
        <v>8546</v>
      </c>
      <c r="H2262" s="460" t="e">
        <v>#N/A</v>
      </c>
      <c r="I2262" s="460" t="e">
        <v>#N/A</v>
      </c>
      <c r="J2262" s="460" t="e">
        <v>#N/A</v>
      </c>
      <c r="K2262" s="460" t="e">
        <v>#N/A</v>
      </c>
      <c r="L2262" s="459" t="e">
        <v>#N/A</v>
      </c>
      <c r="O2262">
        <v>0</v>
      </c>
      <c r="P2262" t="s">
        <v>10244</v>
      </c>
    </row>
    <row r="2263" spans="1:16" ht="14.4" x14ac:dyDescent="0.3">
      <c r="A2263">
        <v>191637</v>
      </c>
      <c r="B2263" t="e">
        <f t="shared" si="70"/>
        <v>#N/A</v>
      </c>
      <c r="C2263" s="185" t="e">
        <f t="shared" si="71"/>
        <v>#N/A</v>
      </c>
      <c r="D2263" s="407" t="e">
        <v>#N/A</v>
      </c>
      <c r="E2263" s="407" t="e">
        <v>#N/A</v>
      </c>
      <c r="F2263" s="407" t="e">
        <v>#N/A</v>
      </c>
      <c r="G2263" s="407" t="e">
        <v>#N/A</v>
      </c>
      <c r="H2263" s="460" t="e">
        <v>#N/A</v>
      </c>
      <c r="I2263" s="460" t="e">
        <v>#N/A</v>
      </c>
      <c r="J2263" s="460" t="e">
        <v>#N/A</v>
      </c>
      <c r="K2263" s="460" t="e">
        <v>#N/A</v>
      </c>
      <c r="L2263" s="459" t="e">
        <v>#N/A</v>
      </c>
      <c r="O2263" t="e">
        <v>#N/A</v>
      </c>
      <c r="P2263" t="e">
        <v>#N/A</v>
      </c>
    </row>
    <row r="2264" spans="1:16" ht="14.4" x14ac:dyDescent="0.3">
      <c r="A2264">
        <v>192609</v>
      </c>
      <c r="B2264" t="str">
        <f t="shared" si="70"/>
        <v>S-S06N dolny profil prowadzący 3m srebrny</v>
      </c>
      <c r="C2264" s="185" t="e">
        <f t="shared" si="71"/>
        <v>#N/A</v>
      </c>
      <c r="D2264" s="407" t="s">
        <v>8547</v>
      </c>
      <c r="E2264" s="407" t="s">
        <v>8548</v>
      </c>
      <c r="F2264" s="407" t="s">
        <v>8549</v>
      </c>
      <c r="G2264" s="407" t="s">
        <v>8550</v>
      </c>
      <c r="H2264" s="460" t="e">
        <v>#N/A</v>
      </c>
      <c r="I2264" s="460" t="e">
        <v>#N/A</v>
      </c>
      <c r="J2264" s="460" t="e">
        <v>#N/A</v>
      </c>
      <c r="K2264" s="460" t="e">
        <v>#N/A</v>
      </c>
      <c r="L2264" s="459" t="e">
        <v>#N/A</v>
      </c>
      <c r="O2264">
        <v>0</v>
      </c>
      <c r="P2264" t="s">
        <v>10245</v>
      </c>
    </row>
    <row r="2265" spans="1:16" ht="14.4" x14ac:dyDescent="0.3">
      <c r="A2265">
        <v>192611</v>
      </c>
      <c r="B2265" t="str">
        <f t="shared" si="70"/>
        <v>S-S06N profl maskujący (maskownica) 3m srebrny</v>
      </c>
      <c r="C2265" s="185" t="e">
        <f t="shared" si="71"/>
        <v>#N/A</v>
      </c>
      <c r="D2265" s="407" t="s">
        <v>8551</v>
      </c>
      <c r="E2265" s="407" t="s">
        <v>8552</v>
      </c>
      <c r="F2265" s="407" t="s">
        <v>8553</v>
      </c>
      <c r="G2265" s="407" t="s">
        <v>8554</v>
      </c>
      <c r="H2265" s="460" t="e">
        <v>#N/A</v>
      </c>
      <c r="I2265" s="460" t="e">
        <v>#N/A</v>
      </c>
      <c r="J2265" s="460" t="e">
        <v>#N/A</v>
      </c>
      <c r="K2265" s="460" t="e">
        <v>#N/A</v>
      </c>
      <c r="L2265" s="459" t="e">
        <v>#N/A</v>
      </c>
      <c r="O2265">
        <v>0</v>
      </c>
      <c r="P2265" t="s">
        <v>10246</v>
      </c>
    </row>
    <row r="2266" spans="1:16" ht="14.4" x14ac:dyDescent="0.3">
      <c r="A2266">
        <v>466290</v>
      </c>
      <c r="B2266" t="e">
        <f t="shared" si="70"/>
        <v>#N/A</v>
      </c>
      <c r="C2266" s="185" t="e">
        <f t="shared" si="71"/>
        <v>#N/A</v>
      </c>
      <c r="D2266" s="407" t="e">
        <v>#N/A</v>
      </c>
      <c r="E2266" s="407" t="e">
        <v>#N/A</v>
      </c>
      <c r="F2266" s="407" t="e">
        <v>#N/A</v>
      </c>
      <c r="G2266" s="407" t="e">
        <v>#N/A</v>
      </c>
      <c r="H2266" s="460" t="e">
        <v>#N/A</v>
      </c>
      <c r="I2266" s="460" t="e">
        <v>#N/A</v>
      </c>
      <c r="J2266" s="460" t="e">
        <v>#N/A</v>
      </c>
      <c r="K2266" s="460" t="e">
        <v>#N/A</v>
      </c>
      <c r="L2266" s="459" t="e">
        <v>#N/A</v>
      </c>
      <c r="O2266" t="e">
        <v>#N/A</v>
      </c>
      <c r="P2266" t="e">
        <v>#N/A</v>
      </c>
    </row>
    <row r="2267" spans="1:16" ht="14.4" x14ac:dyDescent="0.3">
      <c r="A2267">
        <v>466291</v>
      </c>
      <c r="B2267" t="e">
        <f t="shared" si="70"/>
        <v>#N/A</v>
      </c>
      <c r="C2267" s="185" t="e">
        <f t="shared" si="71"/>
        <v>#N/A</v>
      </c>
      <c r="D2267" s="407" t="e">
        <v>#N/A</v>
      </c>
      <c r="E2267" s="407" t="e">
        <v>#N/A</v>
      </c>
      <c r="F2267" s="407" t="e">
        <v>#N/A</v>
      </c>
      <c r="G2267" s="407" t="e">
        <v>#N/A</v>
      </c>
      <c r="H2267" s="460" t="e">
        <v>#N/A</v>
      </c>
      <c r="I2267" s="460" t="e">
        <v>#N/A</v>
      </c>
      <c r="J2267" s="460" t="e">
        <v>#N/A</v>
      </c>
      <c r="K2267" s="460" t="e">
        <v>#N/A</v>
      </c>
      <c r="L2267" s="459" t="e">
        <v>#N/A</v>
      </c>
      <c r="O2267" t="e">
        <v>#N/A</v>
      </c>
      <c r="P2267" t="e">
        <v>#N/A</v>
      </c>
    </row>
    <row r="2268" spans="1:16" ht="14.4" x14ac:dyDescent="0.3">
      <c r="A2268">
        <v>466292</v>
      </c>
      <c r="B2268" t="e">
        <f t="shared" si="70"/>
        <v>#N/A</v>
      </c>
      <c r="C2268" s="185" t="e">
        <f t="shared" si="71"/>
        <v>#N/A</v>
      </c>
      <c r="D2268" s="407" t="e">
        <v>#N/A</v>
      </c>
      <c r="E2268" s="407" t="e">
        <v>#N/A</v>
      </c>
      <c r="F2268" s="407" t="e">
        <v>#N/A</v>
      </c>
      <c r="G2268" s="407" t="e">
        <v>#N/A</v>
      </c>
      <c r="H2268" s="460" t="e">
        <v>#N/A</v>
      </c>
      <c r="I2268" s="460" t="e">
        <v>#N/A</v>
      </c>
      <c r="J2268" s="460" t="e">
        <v>#N/A</v>
      </c>
      <c r="K2268" s="460" t="e">
        <v>#N/A</v>
      </c>
      <c r="L2268" s="459" t="e">
        <v>#N/A</v>
      </c>
      <c r="O2268" t="e">
        <v>#N/A</v>
      </c>
      <c r="P2268" t="e">
        <v>#N/A</v>
      </c>
    </row>
    <row r="2269" spans="1:16" ht="14.4" x14ac:dyDescent="0.3">
      <c r="A2269">
        <v>467244</v>
      </c>
      <c r="B2269" t="str">
        <f t="shared" si="70"/>
        <v>SEVROLL Alfa II rączka 100mm jasny brąz new</v>
      </c>
      <c r="C2269" s="185" t="e">
        <f t="shared" si="71"/>
        <v>#N/A</v>
      </c>
      <c r="D2269" s="407" t="s">
        <v>1700</v>
      </c>
      <c r="E2269" s="407" t="s">
        <v>2132</v>
      </c>
      <c r="F2269" s="407" t="s">
        <v>6130</v>
      </c>
      <c r="G2269" s="407" t="s">
        <v>2608</v>
      </c>
      <c r="H2269" s="460" t="e">
        <v>#N/A</v>
      </c>
      <c r="I2269" s="460" t="e">
        <v>#N/A</v>
      </c>
      <c r="J2269" s="460" t="e">
        <v>#N/A</v>
      </c>
      <c r="K2269" s="460" t="e">
        <v>#N/A</v>
      </c>
      <c r="L2269" s="459" t="e">
        <v>#N/A</v>
      </c>
      <c r="O2269" t="e">
        <v>#N/A</v>
      </c>
      <c r="P2269" t="e">
        <v>#N/A</v>
      </c>
    </row>
    <row r="2270" spans="1:16" ht="14.4" x14ac:dyDescent="0.3">
      <c r="A2270">
        <v>467250</v>
      </c>
      <c r="B2270" t="str">
        <f t="shared" si="70"/>
        <v>DI-pojedynczy profil górny 5m</v>
      </c>
      <c r="C2270" s="185" t="e">
        <f t="shared" si="71"/>
        <v>#N/A</v>
      </c>
      <c r="D2270" s="407" t="s">
        <v>8555</v>
      </c>
      <c r="E2270" s="407" t="s">
        <v>8556</v>
      </c>
      <c r="F2270" s="407" t="s">
        <v>8557</v>
      </c>
      <c r="G2270" s="407" t="s">
        <v>8558</v>
      </c>
      <c r="H2270" s="460" t="e">
        <v>#N/A</v>
      </c>
      <c r="I2270" s="460" t="e">
        <v>#N/A</v>
      </c>
      <c r="J2270" s="460" t="e">
        <v>#N/A</v>
      </c>
      <c r="K2270" s="460" t="e">
        <v>#N/A</v>
      </c>
      <c r="L2270" s="459" t="e">
        <v>#N/A</v>
      </c>
      <c r="O2270">
        <v>37.664679999999997</v>
      </c>
      <c r="P2270" t="s">
        <v>10247</v>
      </c>
    </row>
    <row r="2271" spans="1:16" ht="14.4" x14ac:dyDescent="0.3">
      <c r="A2271" t="s">
        <v>1270</v>
      </c>
      <c r="B2271" t="str">
        <f t="shared" si="70"/>
        <v>PROFIL S08 srebrny 2,7 M</v>
      </c>
      <c r="C2271" s="185" t="e">
        <f t="shared" si="71"/>
        <v>#N/A</v>
      </c>
      <c r="D2271" s="407" t="s">
        <v>8559</v>
      </c>
      <c r="E2271" s="407" t="s">
        <v>8560</v>
      </c>
      <c r="F2271" s="407" t="s">
        <v>8561</v>
      </c>
      <c r="G2271" s="407" t="s">
        <v>8562</v>
      </c>
      <c r="H2271" s="460" t="e">
        <v>#N/A</v>
      </c>
      <c r="I2271" s="460" t="e">
        <v>#N/A</v>
      </c>
      <c r="J2271" s="460" t="e">
        <v>#N/A</v>
      </c>
      <c r="K2271" s="460" t="e">
        <v>#N/A</v>
      </c>
      <c r="L2271" s="459" t="e">
        <v>#N/A</v>
      </c>
      <c r="O2271">
        <v>12.52946</v>
      </c>
      <c r="P2271" t="s">
        <v>10248</v>
      </c>
    </row>
    <row r="2272" spans="1:16" ht="14.4" x14ac:dyDescent="0.3">
      <c r="A2272" t="s">
        <v>1271</v>
      </c>
      <c r="B2272" t="str">
        <f t="shared" si="70"/>
        <v>S-S03 profil prowadzący alu elox 2,5m</v>
      </c>
      <c r="C2272" s="185" t="e">
        <f t="shared" si="71"/>
        <v>#N/A</v>
      </c>
      <c r="D2272" s="407" t="s">
        <v>8563</v>
      </c>
      <c r="E2272" s="407" t="s">
        <v>8564</v>
      </c>
      <c r="F2272" s="407" t="s">
        <v>7561</v>
      </c>
      <c r="G2272" s="407" t="s">
        <v>8565</v>
      </c>
      <c r="H2272" s="460" t="e">
        <v>#N/A</v>
      </c>
      <c r="I2272" s="460" t="e">
        <v>#N/A</v>
      </c>
      <c r="J2272" s="460" t="e">
        <v>#N/A</v>
      </c>
      <c r="K2272" s="460" t="e">
        <v>#N/A</v>
      </c>
      <c r="L2272" s="459" t="e">
        <v>#N/A</v>
      </c>
      <c r="O2272">
        <v>6.8741000000000003</v>
      </c>
      <c r="P2272" t="s">
        <v>10249</v>
      </c>
    </row>
    <row r="2273" spans="1:16" ht="14.4" x14ac:dyDescent="0.3">
      <c r="A2273" t="s">
        <v>1272</v>
      </c>
      <c r="B2273" t="str">
        <f t="shared" si="70"/>
        <v>S-S03 profil prowadzący alu elox 3m</v>
      </c>
      <c r="C2273" s="185" t="e">
        <f t="shared" si="71"/>
        <v>#N/A</v>
      </c>
      <c r="D2273" s="407" t="s">
        <v>7513</v>
      </c>
      <c r="E2273" s="407" t="s">
        <v>8566</v>
      </c>
      <c r="F2273" s="407" t="s">
        <v>7515</v>
      </c>
      <c r="G2273" s="407" t="s">
        <v>8567</v>
      </c>
      <c r="H2273" s="460" t="e">
        <v>#N/A</v>
      </c>
      <c r="I2273" s="460" t="e">
        <v>#N/A</v>
      </c>
      <c r="J2273" s="460" t="e">
        <v>#N/A</v>
      </c>
      <c r="K2273" s="460" t="e">
        <v>#N/A</v>
      </c>
      <c r="L2273" s="459" t="e">
        <v>#N/A</v>
      </c>
      <c r="O2273">
        <v>0</v>
      </c>
      <c r="P2273" t="s">
        <v>10250</v>
      </c>
    </row>
    <row r="2274" spans="1:16" ht="14.4" x14ac:dyDescent="0.3">
      <c r="A2274" t="s">
        <v>1273</v>
      </c>
      <c r="B2274" t="str">
        <f t="shared" si="70"/>
        <v>PROFIL S30 podwójny ELOX. 4,5 M</v>
      </c>
      <c r="C2274" s="185" t="e">
        <f t="shared" si="71"/>
        <v>#N/A</v>
      </c>
      <c r="D2274" s="407" t="s">
        <v>8568</v>
      </c>
      <c r="E2274" s="407" t="s">
        <v>8569</v>
      </c>
      <c r="F2274" s="407" t="s">
        <v>8570</v>
      </c>
      <c r="G2274" s="407" t="s">
        <v>8571</v>
      </c>
      <c r="H2274" s="460" t="e">
        <v>#N/A</v>
      </c>
      <c r="I2274" s="460" t="e">
        <v>#N/A</v>
      </c>
      <c r="J2274" s="460" t="e">
        <v>#N/A</v>
      </c>
      <c r="K2274" s="460" t="e">
        <v>#N/A</v>
      </c>
      <c r="L2274" s="459" t="e">
        <v>#N/A</v>
      </c>
      <c r="O2274">
        <v>0</v>
      </c>
      <c r="P2274" t="s">
        <v>10251</v>
      </c>
    </row>
    <row r="2275" spans="1:16" ht="14.4" x14ac:dyDescent="0.3">
      <c r="A2275">
        <v>236320</v>
      </c>
      <c r="B2275" t="str">
        <f t="shared" si="70"/>
        <v>S-szcotka przeciwkurzowa wysoka 6,7x12 mm szara</v>
      </c>
      <c r="C2275" s="185">
        <f t="shared" si="71"/>
        <v>3.5981999999999998</v>
      </c>
      <c r="D2275" s="407" t="s">
        <v>8572</v>
      </c>
      <c r="E2275" s="407" t="s">
        <v>8573</v>
      </c>
      <c r="F2275" s="407" t="s">
        <v>8574</v>
      </c>
      <c r="G2275" s="407" t="s">
        <v>8575</v>
      </c>
      <c r="H2275" s="460">
        <v>19.11</v>
      </c>
      <c r="I2275" s="460">
        <v>0.81560999999999995</v>
      </c>
      <c r="J2275" s="460">
        <v>3.5981999999999998</v>
      </c>
      <c r="K2275" s="460" t="e">
        <v>#N/A</v>
      </c>
      <c r="L2275" s="459" t="s">
        <v>537</v>
      </c>
      <c r="O2275">
        <v>0.69932000000000005</v>
      </c>
      <c r="P2275" t="s">
        <v>10252</v>
      </c>
    </row>
    <row r="2276" spans="1:16" ht="14.4" x14ac:dyDescent="0.3">
      <c r="A2276">
        <v>236355</v>
      </c>
      <c r="B2276" t="str">
        <f t="shared" si="70"/>
        <v>S-Softclose S60/S60N (Slidix T60) tłumienie</v>
      </c>
      <c r="C2276" s="185" t="e">
        <f t="shared" si="71"/>
        <v>#N/A</v>
      </c>
      <c r="D2276" s="407" t="s">
        <v>8576</v>
      </c>
      <c r="E2276" s="407" t="s">
        <v>8577</v>
      </c>
      <c r="F2276" s="407" t="s">
        <v>8578</v>
      </c>
      <c r="G2276" s="407" t="s">
        <v>8579</v>
      </c>
      <c r="H2276" s="460" t="e">
        <v>#N/A</v>
      </c>
      <c r="I2276" s="460" t="e">
        <v>#N/A</v>
      </c>
      <c r="J2276" s="460" t="e">
        <v>#N/A</v>
      </c>
      <c r="K2276" s="460" t="e">
        <v>#N/A</v>
      </c>
      <c r="L2276" s="459" t="e">
        <v>#N/A</v>
      </c>
      <c r="O2276">
        <v>20.39678</v>
      </c>
      <c r="P2276" t="s">
        <v>10253</v>
      </c>
    </row>
    <row r="2277" spans="1:16" ht="14.4" x14ac:dyDescent="0.3">
      <c r="A2277">
        <v>236753</v>
      </c>
      <c r="B2277" t="e">
        <f t="shared" si="70"/>
        <v>#N/A</v>
      </c>
      <c r="C2277" s="185" t="e">
        <f t="shared" si="71"/>
        <v>#N/A</v>
      </c>
      <c r="D2277" s="407" t="e">
        <v>#N/A</v>
      </c>
      <c r="E2277" s="407" t="e">
        <v>#N/A</v>
      </c>
      <c r="F2277" s="407" t="e">
        <v>#N/A</v>
      </c>
      <c r="G2277" s="407" t="e">
        <v>#N/A</v>
      </c>
      <c r="H2277" s="460" t="e">
        <v>#N/A</v>
      </c>
      <c r="I2277" s="460" t="e">
        <v>#N/A</v>
      </c>
      <c r="J2277" s="460" t="e">
        <v>#N/A</v>
      </c>
      <c r="K2277" s="460" t="e">
        <v>#N/A</v>
      </c>
      <c r="L2277" s="459" t="e">
        <v>#N/A</v>
      </c>
      <c r="O2277" t="e">
        <v>#N/A</v>
      </c>
      <c r="P2277" t="e">
        <v>#N/A</v>
      </c>
    </row>
    <row r="2278" spans="1:16" ht="14.4" x14ac:dyDescent="0.3">
      <c r="A2278">
        <v>236764</v>
      </c>
      <c r="B2278" t="e">
        <f t="shared" si="70"/>
        <v>#N/A</v>
      </c>
      <c r="C2278" s="185" t="e">
        <f t="shared" si="71"/>
        <v>#N/A</v>
      </c>
      <c r="D2278" s="407" t="e">
        <v>#N/A</v>
      </c>
      <c r="E2278" s="407" t="e">
        <v>#N/A</v>
      </c>
      <c r="F2278" s="407" t="e">
        <v>#N/A</v>
      </c>
      <c r="G2278" s="407" t="e">
        <v>#N/A</v>
      </c>
      <c r="H2278" s="460" t="e">
        <v>#N/A</v>
      </c>
      <c r="I2278" s="460" t="e">
        <v>#N/A</v>
      </c>
      <c r="J2278" s="460" t="e">
        <v>#N/A</v>
      </c>
      <c r="K2278" s="460" t="e">
        <v>#N/A</v>
      </c>
      <c r="L2278" s="459" t="e">
        <v>#N/A</v>
      </c>
      <c r="O2278" t="e">
        <v>#N/A</v>
      </c>
      <c r="P2278" t="e">
        <v>#N/A</v>
      </c>
    </row>
    <row r="2279" spans="1:16" ht="14.4" x14ac:dyDescent="0.3">
      <c r="A2279">
        <v>236765</v>
      </c>
      <c r="B2279" t="e">
        <f t="shared" si="70"/>
        <v>#N/A</v>
      </c>
      <c r="C2279" s="185" t="e">
        <f t="shared" si="71"/>
        <v>#N/A</v>
      </c>
      <c r="D2279" s="407" t="e">
        <v>#N/A</v>
      </c>
      <c r="E2279" s="407" t="e">
        <v>#N/A</v>
      </c>
      <c r="F2279" s="407" t="e">
        <v>#N/A</v>
      </c>
      <c r="G2279" s="407" t="e">
        <v>#N/A</v>
      </c>
      <c r="H2279" s="460" t="e">
        <v>#N/A</v>
      </c>
      <c r="I2279" s="460" t="e">
        <v>#N/A</v>
      </c>
      <c r="J2279" s="460" t="e">
        <v>#N/A</v>
      </c>
      <c r="K2279" s="460" t="e">
        <v>#N/A</v>
      </c>
      <c r="L2279" s="459" t="e">
        <v>#N/A</v>
      </c>
      <c r="O2279" t="e">
        <v>#N/A</v>
      </c>
      <c r="P2279" t="e">
        <v>#N/A</v>
      </c>
    </row>
    <row r="2280" spans="1:16" ht="14.4" x14ac:dyDescent="0.3">
      <c r="A2280">
        <v>236766</v>
      </c>
      <c r="B2280" t="e">
        <f t="shared" si="70"/>
        <v>#N/A</v>
      </c>
      <c r="C2280" s="185" t="e">
        <f t="shared" si="71"/>
        <v>#N/A</v>
      </c>
      <c r="D2280" s="407" t="e">
        <v>#N/A</v>
      </c>
      <c r="E2280" s="407" t="e">
        <v>#N/A</v>
      </c>
      <c r="F2280" s="407" t="e">
        <v>#N/A</v>
      </c>
      <c r="G2280" s="407" t="e">
        <v>#N/A</v>
      </c>
      <c r="H2280" s="460" t="e">
        <v>#N/A</v>
      </c>
      <c r="I2280" s="460" t="e">
        <v>#N/A</v>
      </c>
      <c r="J2280" s="460" t="e">
        <v>#N/A</v>
      </c>
      <c r="K2280" s="460" t="e">
        <v>#N/A</v>
      </c>
      <c r="L2280" s="459" t="e">
        <v>#N/A</v>
      </c>
      <c r="O2280" t="e">
        <v>#N/A</v>
      </c>
      <c r="P2280" t="e">
        <v>#N/A</v>
      </c>
    </row>
    <row r="2281" spans="1:16" ht="14.4" x14ac:dyDescent="0.3">
      <c r="A2281">
        <v>236771</v>
      </c>
      <c r="B2281" t="e">
        <f t="shared" si="70"/>
        <v>#N/A</v>
      </c>
      <c r="C2281" s="185" t="e">
        <f t="shared" si="71"/>
        <v>#N/A</v>
      </c>
      <c r="D2281" s="407" t="e">
        <v>#N/A</v>
      </c>
      <c r="E2281" s="407" t="e">
        <v>#N/A</v>
      </c>
      <c r="F2281" s="407" t="e">
        <v>#N/A</v>
      </c>
      <c r="G2281" s="407" t="e">
        <v>#N/A</v>
      </c>
      <c r="H2281" s="460" t="e">
        <v>#N/A</v>
      </c>
      <c r="I2281" s="460" t="e">
        <v>#N/A</v>
      </c>
      <c r="J2281" s="460" t="e">
        <v>#N/A</v>
      </c>
      <c r="K2281" s="460" t="e">
        <v>#N/A</v>
      </c>
      <c r="L2281" s="459" t="e">
        <v>#N/A</v>
      </c>
      <c r="O2281" t="e">
        <v>#N/A</v>
      </c>
      <c r="P2281" t="e">
        <v>#N/A</v>
      </c>
    </row>
    <row r="2282" spans="1:16" ht="14.4" x14ac:dyDescent="0.3">
      <c r="A2282">
        <v>236772</v>
      </c>
      <c r="B2282" t="e">
        <f t="shared" si="70"/>
        <v>#N/A</v>
      </c>
      <c r="C2282" s="185" t="e">
        <f t="shared" si="71"/>
        <v>#N/A</v>
      </c>
      <c r="D2282" s="407" t="e">
        <v>#N/A</v>
      </c>
      <c r="E2282" s="407" t="e">
        <v>#N/A</v>
      </c>
      <c r="F2282" s="407" t="e">
        <v>#N/A</v>
      </c>
      <c r="G2282" s="407" t="e">
        <v>#N/A</v>
      </c>
      <c r="H2282" s="460" t="e">
        <v>#N/A</v>
      </c>
      <c r="I2282" s="460" t="e">
        <v>#N/A</v>
      </c>
      <c r="J2282" s="460" t="e">
        <v>#N/A</v>
      </c>
      <c r="K2282" s="460" t="e">
        <v>#N/A</v>
      </c>
      <c r="L2282" s="459" t="e">
        <v>#N/A</v>
      </c>
      <c r="O2282" t="e">
        <v>#N/A</v>
      </c>
      <c r="P2282" t="e">
        <v>#N/A</v>
      </c>
    </row>
    <row r="2283" spans="1:16" ht="14.4" x14ac:dyDescent="0.3">
      <c r="A2283">
        <v>237690</v>
      </c>
      <c r="B2283" t="e">
        <f t="shared" si="70"/>
        <v>#N/A</v>
      </c>
      <c r="C2283" s="185" t="e">
        <f t="shared" si="71"/>
        <v>#N/A</v>
      </c>
      <c r="D2283" s="407" t="e">
        <v>#N/A</v>
      </c>
      <c r="E2283" s="407" t="e">
        <v>#N/A</v>
      </c>
      <c r="F2283" s="407" t="e">
        <v>#N/A</v>
      </c>
      <c r="G2283" s="407" t="e">
        <v>#N/A</v>
      </c>
      <c r="H2283" s="460" t="e">
        <v>#N/A</v>
      </c>
      <c r="I2283" s="460" t="e">
        <v>#N/A</v>
      </c>
      <c r="J2283" s="460" t="e">
        <v>#N/A</v>
      </c>
      <c r="K2283" s="460" t="e">
        <v>#N/A</v>
      </c>
      <c r="L2283" s="459" t="e">
        <v>#N/A</v>
      </c>
      <c r="O2283" t="e">
        <v>#N/A</v>
      </c>
      <c r="P2283" t="e">
        <v>#N/A</v>
      </c>
    </row>
    <row r="2284" spans="1:16" ht="14.4" x14ac:dyDescent="0.3">
      <c r="A2284">
        <v>465329</v>
      </c>
      <c r="B2284" t="e">
        <f t="shared" si="70"/>
        <v>#N/A</v>
      </c>
      <c r="C2284" s="185" t="e">
        <f t="shared" si="71"/>
        <v>#N/A</v>
      </c>
      <c r="D2284" s="407" t="e">
        <v>#N/A</v>
      </c>
      <c r="E2284" s="407" t="e">
        <v>#N/A</v>
      </c>
      <c r="F2284" s="407" t="e">
        <v>#N/A</v>
      </c>
      <c r="G2284" s="407" t="e">
        <v>#N/A</v>
      </c>
      <c r="H2284" s="460" t="e">
        <v>#N/A</v>
      </c>
      <c r="I2284" s="460" t="e">
        <v>#N/A</v>
      </c>
      <c r="J2284" s="460" t="e">
        <v>#N/A</v>
      </c>
      <c r="K2284" s="460" t="e">
        <v>#N/A</v>
      </c>
      <c r="L2284" s="459" t="e">
        <v>#N/A</v>
      </c>
      <c r="O2284" t="e">
        <v>#N/A</v>
      </c>
      <c r="P2284" t="e">
        <v>#N/A</v>
      </c>
    </row>
    <row r="2285" spans="1:16" ht="14.4" x14ac:dyDescent="0.3">
      <c r="A2285">
        <v>465330</v>
      </c>
      <c r="B2285" t="e">
        <f t="shared" si="70"/>
        <v>#N/A</v>
      </c>
      <c r="C2285" s="185" t="e">
        <f t="shared" si="71"/>
        <v>#N/A</v>
      </c>
      <c r="D2285" s="407" t="e">
        <v>#N/A</v>
      </c>
      <c r="E2285" s="407" t="e">
        <v>#N/A</v>
      </c>
      <c r="F2285" s="407" t="e">
        <v>#N/A</v>
      </c>
      <c r="G2285" s="407" t="e">
        <v>#N/A</v>
      </c>
      <c r="H2285" s="460" t="e">
        <v>#N/A</v>
      </c>
      <c r="I2285" s="460" t="e">
        <v>#N/A</v>
      </c>
      <c r="J2285" s="460" t="e">
        <v>#N/A</v>
      </c>
      <c r="K2285" s="460" t="e">
        <v>#N/A</v>
      </c>
      <c r="L2285" s="459" t="e">
        <v>#N/A</v>
      </c>
      <c r="O2285" t="e">
        <v>#N/A</v>
      </c>
      <c r="P2285" t="e">
        <v>#N/A</v>
      </c>
    </row>
    <row r="2286" spans="1:16" ht="14.4" x14ac:dyDescent="0.3">
      <c r="A2286">
        <v>465331</v>
      </c>
      <c r="B2286" t="e">
        <f t="shared" si="70"/>
        <v>#N/A</v>
      </c>
      <c r="C2286" s="185" t="e">
        <f t="shared" si="71"/>
        <v>#N/A</v>
      </c>
      <c r="D2286" s="407" t="e">
        <v>#N/A</v>
      </c>
      <c r="E2286" s="407" t="e">
        <v>#N/A</v>
      </c>
      <c r="F2286" s="407" t="e">
        <v>#N/A</v>
      </c>
      <c r="G2286" s="407" t="e">
        <v>#N/A</v>
      </c>
      <c r="H2286" s="460" t="e">
        <v>#N/A</v>
      </c>
      <c r="I2286" s="460" t="e">
        <v>#N/A</v>
      </c>
      <c r="J2286" s="460" t="e">
        <v>#N/A</v>
      </c>
      <c r="K2286" s="460" t="e">
        <v>#N/A</v>
      </c>
      <c r="L2286" s="459" t="e">
        <v>#N/A</v>
      </c>
      <c r="O2286" t="e">
        <v>#N/A</v>
      </c>
      <c r="P2286" t="e">
        <v>#N/A</v>
      </c>
    </row>
    <row r="2287" spans="1:16" ht="14.4" x14ac:dyDescent="0.3">
      <c r="A2287">
        <v>465332</v>
      </c>
      <c r="B2287" t="e">
        <f t="shared" si="70"/>
        <v>#N/A</v>
      </c>
      <c r="C2287" s="185" t="e">
        <f t="shared" si="71"/>
        <v>#N/A</v>
      </c>
      <c r="D2287" s="407" t="e">
        <v>#N/A</v>
      </c>
      <c r="E2287" s="407" t="e">
        <v>#N/A</v>
      </c>
      <c r="F2287" s="407" t="e">
        <v>#N/A</v>
      </c>
      <c r="G2287" s="407" t="e">
        <v>#N/A</v>
      </c>
      <c r="H2287" s="460" t="e">
        <v>#N/A</v>
      </c>
      <c r="I2287" s="460" t="e">
        <v>#N/A</v>
      </c>
      <c r="J2287" s="460" t="e">
        <v>#N/A</v>
      </c>
      <c r="K2287" s="460" t="e">
        <v>#N/A</v>
      </c>
      <c r="L2287" s="459" t="e">
        <v>#N/A</v>
      </c>
      <c r="O2287" t="e">
        <v>#N/A</v>
      </c>
      <c r="P2287" t="e">
        <v>#N/A</v>
      </c>
    </row>
    <row r="2288" spans="1:16" ht="14.4" x14ac:dyDescent="0.3">
      <c r="A2288">
        <v>465333</v>
      </c>
      <c r="B2288" t="e">
        <f t="shared" si="70"/>
        <v>#N/A</v>
      </c>
      <c r="C2288" s="185" t="e">
        <f t="shared" si="71"/>
        <v>#N/A</v>
      </c>
      <c r="D2288" s="407" t="e">
        <v>#N/A</v>
      </c>
      <c r="E2288" s="407" t="e">
        <v>#N/A</v>
      </c>
      <c r="F2288" s="407" t="e">
        <v>#N/A</v>
      </c>
      <c r="G2288" s="407" t="e">
        <v>#N/A</v>
      </c>
      <c r="H2288" s="460" t="e">
        <v>#N/A</v>
      </c>
      <c r="I2288" s="460" t="e">
        <v>#N/A</v>
      </c>
      <c r="J2288" s="460" t="e">
        <v>#N/A</v>
      </c>
      <c r="K2288" s="460" t="e">
        <v>#N/A</v>
      </c>
      <c r="L2288" s="459" t="e">
        <v>#N/A</v>
      </c>
      <c r="O2288" t="e">
        <v>#N/A</v>
      </c>
      <c r="P2288" t="e">
        <v>#N/A</v>
      </c>
    </row>
    <row r="2289" spans="1:16" ht="14.4" x14ac:dyDescent="0.3">
      <c r="A2289">
        <v>465334</v>
      </c>
      <c r="B2289" t="e">
        <f t="shared" si="70"/>
        <v>#N/A</v>
      </c>
      <c r="C2289" s="185" t="e">
        <f t="shared" si="71"/>
        <v>#N/A</v>
      </c>
      <c r="D2289" s="407" t="e">
        <v>#N/A</v>
      </c>
      <c r="E2289" s="407" t="e">
        <v>#N/A</v>
      </c>
      <c r="F2289" s="407" t="e">
        <v>#N/A</v>
      </c>
      <c r="G2289" s="407" t="e">
        <v>#N/A</v>
      </c>
      <c r="H2289" s="460" t="e">
        <v>#N/A</v>
      </c>
      <c r="I2289" s="460" t="e">
        <v>#N/A</v>
      </c>
      <c r="J2289" s="460" t="e">
        <v>#N/A</v>
      </c>
      <c r="K2289" s="460" t="e">
        <v>#N/A</v>
      </c>
      <c r="L2289" s="459" t="e">
        <v>#N/A</v>
      </c>
      <c r="O2289" t="e">
        <v>#N/A</v>
      </c>
      <c r="P2289" t="e">
        <v>#N/A</v>
      </c>
    </row>
    <row r="2290" spans="1:16" ht="14.4" x14ac:dyDescent="0.3">
      <c r="A2290">
        <v>465335</v>
      </c>
      <c r="B2290" t="e">
        <f t="shared" si="70"/>
        <v>#N/A</v>
      </c>
      <c r="C2290" s="185" t="e">
        <f t="shared" si="71"/>
        <v>#N/A</v>
      </c>
      <c r="D2290" s="407" t="e">
        <v>#N/A</v>
      </c>
      <c r="E2290" s="407" t="e">
        <v>#N/A</v>
      </c>
      <c r="F2290" s="407" t="e">
        <v>#N/A</v>
      </c>
      <c r="G2290" s="407" t="e">
        <v>#N/A</v>
      </c>
      <c r="H2290" s="460" t="e">
        <v>#N/A</v>
      </c>
      <c r="I2290" s="460" t="e">
        <v>#N/A</v>
      </c>
      <c r="J2290" s="460" t="e">
        <v>#N/A</v>
      </c>
      <c r="K2290" s="460" t="e">
        <v>#N/A</v>
      </c>
      <c r="L2290" s="459" t="e">
        <v>#N/A</v>
      </c>
      <c r="O2290" t="e">
        <v>#N/A</v>
      </c>
      <c r="P2290" t="e">
        <v>#N/A</v>
      </c>
    </row>
    <row r="2291" spans="1:16" ht="14.4" x14ac:dyDescent="0.3">
      <c r="A2291">
        <v>465336</v>
      </c>
      <c r="B2291" t="e">
        <f t="shared" si="70"/>
        <v>#N/A</v>
      </c>
      <c r="C2291" s="185" t="e">
        <f t="shared" si="71"/>
        <v>#N/A</v>
      </c>
      <c r="D2291" s="407" t="e">
        <v>#N/A</v>
      </c>
      <c r="E2291" s="407" t="e">
        <v>#N/A</v>
      </c>
      <c r="F2291" s="407" t="e">
        <v>#N/A</v>
      </c>
      <c r="G2291" s="407" t="e">
        <v>#N/A</v>
      </c>
      <c r="H2291" s="460" t="e">
        <v>#N/A</v>
      </c>
      <c r="I2291" s="460" t="e">
        <v>#N/A</v>
      </c>
      <c r="J2291" s="460" t="e">
        <v>#N/A</v>
      </c>
      <c r="K2291" s="460" t="e">
        <v>#N/A</v>
      </c>
      <c r="L2291" s="459" t="e">
        <v>#N/A</v>
      </c>
      <c r="O2291" t="e">
        <v>#N/A</v>
      </c>
      <c r="P2291" t="e">
        <v>#N/A</v>
      </c>
    </row>
    <row r="2292" spans="1:16" ht="14.4" x14ac:dyDescent="0.3">
      <c r="A2292">
        <v>465337</v>
      </c>
      <c r="B2292" t="e">
        <f t="shared" si="70"/>
        <v>#N/A</v>
      </c>
      <c r="C2292" s="185" t="e">
        <f t="shared" si="71"/>
        <v>#N/A</v>
      </c>
      <c r="D2292" s="407" t="e">
        <v>#N/A</v>
      </c>
      <c r="E2292" s="407" t="e">
        <v>#N/A</v>
      </c>
      <c r="F2292" s="407" t="e">
        <v>#N/A</v>
      </c>
      <c r="G2292" s="407" t="e">
        <v>#N/A</v>
      </c>
      <c r="H2292" s="460" t="e">
        <v>#N/A</v>
      </c>
      <c r="I2292" s="460" t="e">
        <v>#N/A</v>
      </c>
      <c r="J2292" s="460" t="e">
        <v>#N/A</v>
      </c>
      <c r="K2292" s="460" t="e">
        <v>#N/A</v>
      </c>
      <c r="L2292" s="459" t="e">
        <v>#N/A</v>
      </c>
      <c r="O2292" t="e">
        <v>#N/A</v>
      </c>
      <c r="P2292" t="e">
        <v>#N/A</v>
      </c>
    </row>
    <row r="2293" spans="1:16" ht="14.4" x14ac:dyDescent="0.3">
      <c r="A2293">
        <v>465338</v>
      </c>
      <c r="B2293" t="e">
        <f t="shared" si="70"/>
        <v>#N/A</v>
      </c>
      <c r="C2293" s="185" t="e">
        <f t="shared" si="71"/>
        <v>#N/A</v>
      </c>
      <c r="D2293" s="407" t="e">
        <v>#N/A</v>
      </c>
      <c r="E2293" s="407" t="e">
        <v>#N/A</v>
      </c>
      <c r="F2293" s="407" t="e">
        <v>#N/A</v>
      </c>
      <c r="G2293" s="407" t="e">
        <v>#N/A</v>
      </c>
      <c r="H2293" s="460" t="e">
        <v>#N/A</v>
      </c>
      <c r="I2293" s="460" t="e">
        <v>#N/A</v>
      </c>
      <c r="J2293" s="460" t="e">
        <v>#N/A</v>
      </c>
      <c r="K2293" s="460" t="e">
        <v>#N/A</v>
      </c>
      <c r="L2293" s="459" t="e">
        <v>#N/A</v>
      </c>
      <c r="O2293" t="e">
        <v>#N/A</v>
      </c>
      <c r="P2293" t="e">
        <v>#N/A</v>
      </c>
    </row>
    <row r="2294" spans="1:16" ht="14.4" x14ac:dyDescent="0.3">
      <c r="A2294">
        <v>465339</v>
      </c>
      <c r="B2294" t="e">
        <f t="shared" si="70"/>
        <v>#N/A</v>
      </c>
      <c r="C2294" s="185" t="e">
        <f t="shared" si="71"/>
        <v>#N/A</v>
      </c>
      <c r="D2294" s="407" t="e">
        <v>#N/A</v>
      </c>
      <c r="E2294" s="407" t="e">
        <v>#N/A</v>
      </c>
      <c r="F2294" s="407" t="e">
        <v>#N/A</v>
      </c>
      <c r="G2294" s="407" t="e">
        <v>#N/A</v>
      </c>
      <c r="H2294" s="460" t="e">
        <v>#N/A</v>
      </c>
      <c r="I2294" s="460" t="e">
        <v>#N/A</v>
      </c>
      <c r="J2294" s="460" t="e">
        <v>#N/A</v>
      </c>
      <c r="K2294" s="460" t="e">
        <v>#N/A</v>
      </c>
      <c r="L2294" s="459" t="e">
        <v>#N/A</v>
      </c>
      <c r="O2294" t="e">
        <v>#N/A</v>
      </c>
      <c r="P2294" t="e">
        <v>#N/A</v>
      </c>
    </row>
    <row r="2295" spans="1:16" ht="14.4" x14ac:dyDescent="0.3">
      <c r="A2295">
        <v>465340</v>
      </c>
      <c r="B2295" t="e">
        <f t="shared" si="70"/>
        <v>#N/A</v>
      </c>
      <c r="C2295" s="185" t="e">
        <f t="shared" si="71"/>
        <v>#N/A</v>
      </c>
      <c r="D2295" s="407" t="e">
        <v>#N/A</v>
      </c>
      <c r="E2295" s="407" t="e">
        <v>#N/A</v>
      </c>
      <c r="F2295" s="407" t="e">
        <v>#N/A</v>
      </c>
      <c r="G2295" s="407" t="e">
        <v>#N/A</v>
      </c>
      <c r="H2295" s="460" t="e">
        <v>#N/A</v>
      </c>
      <c r="I2295" s="460" t="e">
        <v>#N/A</v>
      </c>
      <c r="J2295" s="460" t="e">
        <v>#N/A</v>
      </c>
      <c r="K2295" s="460" t="e">
        <v>#N/A</v>
      </c>
      <c r="L2295" s="459" t="e">
        <v>#N/A</v>
      </c>
      <c r="O2295" t="e">
        <v>#N/A</v>
      </c>
      <c r="P2295" t="e">
        <v>#N/A</v>
      </c>
    </row>
    <row r="2296" spans="1:16" ht="14.4" x14ac:dyDescent="0.3">
      <c r="A2296">
        <v>465341</v>
      </c>
      <c r="B2296" t="e">
        <f t="shared" si="70"/>
        <v>#N/A</v>
      </c>
      <c r="C2296" s="185" t="e">
        <f t="shared" si="71"/>
        <v>#N/A</v>
      </c>
      <c r="D2296" s="407" t="e">
        <v>#N/A</v>
      </c>
      <c r="E2296" s="407" t="e">
        <v>#N/A</v>
      </c>
      <c r="F2296" s="407" t="e">
        <v>#N/A</v>
      </c>
      <c r="G2296" s="407" t="e">
        <v>#N/A</v>
      </c>
      <c r="H2296" s="460" t="e">
        <v>#N/A</v>
      </c>
      <c r="I2296" s="460" t="e">
        <v>#N/A</v>
      </c>
      <c r="J2296" s="460" t="e">
        <v>#N/A</v>
      </c>
      <c r="K2296" s="460" t="e">
        <v>#N/A</v>
      </c>
      <c r="L2296" s="459" t="e">
        <v>#N/A</v>
      </c>
      <c r="O2296" t="e">
        <v>#N/A</v>
      </c>
      <c r="P2296" t="e">
        <v>#N/A</v>
      </c>
    </row>
    <row r="2297" spans="1:16" ht="14.4" x14ac:dyDescent="0.3">
      <c r="A2297">
        <v>465342</v>
      </c>
      <c r="B2297" t="e">
        <f t="shared" si="70"/>
        <v>#N/A</v>
      </c>
      <c r="C2297" s="185" t="e">
        <f t="shared" si="71"/>
        <v>#N/A</v>
      </c>
      <c r="D2297" s="407" t="e">
        <v>#N/A</v>
      </c>
      <c r="E2297" s="407" t="e">
        <v>#N/A</v>
      </c>
      <c r="F2297" s="407" t="e">
        <v>#N/A</v>
      </c>
      <c r="G2297" s="407" t="e">
        <v>#N/A</v>
      </c>
      <c r="H2297" s="460" t="e">
        <v>#N/A</v>
      </c>
      <c r="I2297" s="460" t="e">
        <v>#N/A</v>
      </c>
      <c r="J2297" s="460" t="e">
        <v>#N/A</v>
      </c>
      <c r="K2297" s="460" t="e">
        <v>#N/A</v>
      </c>
      <c r="L2297" s="459" t="e">
        <v>#N/A</v>
      </c>
      <c r="O2297" t="e">
        <v>#N/A</v>
      </c>
      <c r="P2297" t="e">
        <v>#N/A</v>
      </c>
    </row>
    <row r="2298" spans="1:16" ht="14.4" x14ac:dyDescent="0.3">
      <c r="A2298">
        <v>465343</v>
      </c>
      <c r="B2298" t="e">
        <f t="shared" si="70"/>
        <v>#N/A</v>
      </c>
      <c r="C2298" s="185" t="e">
        <f t="shared" si="71"/>
        <v>#N/A</v>
      </c>
      <c r="D2298" s="407" t="e">
        <v>#N/A</v>
      </c>
      <c r="E2298" s="407" t="e">
        <v>#N/A</v>
      </c>
      <c r="F2298" s="407" t="e">
        <v>#N/A</v>
      </c>
      <c r="G2298" s="407" t="e">
        <v>#N/A</v>
      </c>
      <c r="H2298" s="460" t="e">
        <v>#N/A</v>
      </c>
      <c r="I2298" s="460" t="e">
        <v>#N/A</v>
      </c>
      <c r="J2298" s="460" t="e">
        <v>#N/A</v>
      </c>
      <c r="K2298" s="460" t="e">
        <v>#N/A</v>
      </c>
      <c r="L2298" s="459" t="e">
        <v>#N/A</v>
      </c>
      <c r="O2298" t="e">
        <v>#N/A</v>
      </c>
      <c r="P2298" t="e">
        <v>#N/A</v>
      </c>
    </row>
    <row r="2299" spans="1:16" ht="14.4" x14ac:dyDescent="0.3">
      <c r="A2299">
        <v>465344</v>
      </c>
      <c r="B2299" t="e">
        <f t="shared" si="70"/>
        <v>#N/A</v>
      </c>
      <c r="C2299" s="185" t="e">
        <f t="shared" si="71"/>
        <v>#N/A</v>
      </c>
      <c r="D2299" s="407" t="e">
        <v>#N/A</v>
      </c>
      <c r="E2299" s="407" t="e">
        <v>#N/A</v>
      </c>
      <c r="F2299" s="407" t="e">
        <v>#N/A</v>
      </c>
      <c r="G2299" s="407" t="e">
        <v>#N/A</v>
      </c>
      <c r="H2299" s="460" t="e">
        <v>#N/A</v>
      </c>
      <c r="I2299" s="460" t="e">
        <v>#N/A</v>
      </c>
      <c r="J2299" s="460" t="e">
        <v>#N/A</v>
      </c>
      <c r="K2299" s="460" t="e">
        <v>#N/A</v>
      </c>
      <c r="L2299" s="459" t="e">
        <v>#N/A</v>
      </c>
      <c r="O2299" t="e">
        <v>#N/A</v>
      </c>
      <c r="P2299" t="e">
        <v>#N/A</v>
      </c>
    </row>
    <row r="2300" spans="1:16" ht="14.4" x14ac:dyDescent="0.3">
      <c r="A2300">
        <v>465345</v>
      </c>
      <c r="B2300" t="e">
        <f t="shared" si="70"/>
        <v>#N/A</v>
      </c>
      <c r="C2300" s="185" t="e">
        <f t="shared" si="71"/>
        <v>#N/A</v>
      </c>
      <c r="D2300" s="407" t="e">
        <v>#N/A</v>
      </c>
      <c r="E2300" s="407" t="e">
        <v>#N/A</v>
      </c>
      <c r="F2300" s="407" t="e">
        <v>#N/A</v>
      </c>
      <c r="G2300" s="407" t="e">
        <v>#N/A</v>
      </c>
      <c r="H2300" s="460" t="e">
        <v>#N/A</v>
      </c>
      <c r="I2300" s="460" t="e">
        <v>#N/A</v>
      </c>
      <c r="J2300" s="460" t="e">
        <v>#N/A</v>
      </c>
      <c r="K2300" s="460" t="e">
        <v>#N/A</v>
      </c>
      <c r="L2300" s="459" t="e">
        <v>#N/A</v>
      </c>
      <c r="O2300" t="e">
        <v>#N/A</v>
      </c>
      <c r="P2300" t="e">
        <v>#N/A</v>
      </c>
    </row>
    <row r="2301" spans="1:16" ht="14.4" x14ac:dyDescent="0.3">
      <c r="A2301">
        <v>465346</v>
      </c>
      <c r="B2301" t="e">
        <f t="shared" si="70"/>
        <v>#N/A</v>
      </c>
      <c r="C2301" s="185" t="e">
        <f t="shared" si="71"/>
        <v>#N/A</v>
      </c>
      <c r="D2301" s="407" t="e">
        <v>#N/A</v>
      </c>
      <c r="E2301" s="407" t="e">
        <v>#N/A</v>
      </c>
      <c r="F2301" s="407" t="e">
        <v>#N/A</v>
      </c>
      <c r="G2301" s="407" t="e">
        <v>#N/A</v>
      </c>
      <c r="H2301" s="460" t="e">
        <v>#N/A</v>
      </c>
      <c r="I2301" s="460" t="e">
        <v>#N/A</v>
      </c>
      <c r="J2301" s="460" t="e">
        <v>#N/A</v>
      </c>
      <c r="K2301" s="460" t="e">
        <v>#N/A</v>
      </c>
      <c r="L2301" s="459" t="e">
        <v>#N/A</v>
      </c>
      <c r="O2301" t="e">
        <v>#N/A</v>
      </c>
      <c r="P2301" t="e">
        <v>#N/A</v>
      </c>
    </row>
    <row r="2302" spans="1:16" ht="14.4" x14ac:dyDescent="0.3">
      <c r="A2302">
        <v>465347</v>
      </c>
      <c r="B2302" t="e">
        <f t="shared" si="70"/>
        <v>#N/A</v>
      </c>
      <c r="C2302" s="185" t="e">
        <f t="shared" si="71"/>
        <v>#N/A</v>
      </c>
      <c r="D2302" s="407" t="e">
        <v>#N/A</v>
      </c>
      <c r="E2302" s="407" t="e">
        <v>#N/A</v>
      </c>
      <c r="F2302" s="407" t="e">
        <v>#N/A</v>
      </c>
      <c r="G2302" s="407" t="e">
        <v>#N/A</v>
      </c>
      <c r="H2302" s="460" t="e">
        <v>#N/A</v>
      </c>
      <c r="I2302" s="460" t="e">
        <v>#N/A</v>
      </c>
      <c r="J2302" s="460" t="e">
        <v>#N/A</v>
      </c>
      <c r="K2302" s="460" t="e">
        <v>#N/A</v>
      </c>
      <c r="L2302" s="459" t="e">
        <v>#N/A</v>
      </c>
      <c r="O2302" t="e">
        <v>#N/A</v>
      </c>
      <c r="P2302" t="e">
        <v>#N/A</v>
      </c>
    </row>
    <row r="2303" spans="1:16" ht="14.4" x14ac:dyDescent="0.3">
      <c r="A2303">
        <v>465348</v>
      </c>
      <c r="B2303" t="e">
        <f t="shared" si="70"/>
        <v>#N/A</v>
      </c>
      <c r="C2303" s="185" t="e">
        <f t="shared" si="71"/>
        <v>#N/A</v>
      </c>
      <c r="D2303" s="407" t="e">
        <v>#N/A</v>
      </c>
      <c r="E2303" s="407" t="e">
        <v>#N/A</v>
      </c>
      <c r="F2303" s="407" t="e">
        <v>#N/A</v>
      </c>
      <c r="G2303" s="407" t="e">
        <v>#N/A</v>
      </c>
      <c r="H2303" s="460" t="e">
        <v>#N/A</v>
      </c>
      <c r="I2303" s="460" t="e">
        <v>#N/A</v>
      </c>
      <c r="J2303" s="460" t="e">
        <v>#N/A</v>
      </c>
      <c r="K2303" s="460" t="e">
        <v>#N/A</v>
      </c>
      <c r="L2303" s="459" t="e">
        <v>#N/A</v>
      </c>
      <c r="O2303" t="e">
        <v>#N/A</v>
      </c>
      <c r="P2303" t="e">
        <v>#N/A</v>
      </c>
    </row>
    <row r="2304" spans="1:16" ht="14.4" x14ac:dyDescent="0.3">
      <c r="A2304">
        <v>465349</v>
      </c>
      <c r="B2304" t="e">
        <f t="shared" si="70"/>
        <v>#N/A</v>
      </c>
      <c r="C2304" s="185" t="e">
        <f t="shared" si="71"/>
        <v>#N/A</v>
      </c>
      <c r="D2304" s="407" t="e">
        <v>#N/A</v>
      </c>
      <c r="E2304" s="407" t="e">
        <v>#N/A</v>
      </c>
      <c r="F2304" s="407" t="e">
        <v>#N/A</v>
      </c>
      <c r="G2304" s="407" t="e">
        <v>#N/A</v>
      </c>
      <c r="H2304" s="460" t="e">
        <v>#N/A</v>
      </c>
      <c r="I2304" s="460" t="e">
        <v>#N/A</v>
      </c>
      <c r="J2304" s="460" t="e">
        <v>#N/A</v>
      </c>
      <c r="K2304" s="460" t="e">
        <v>#N/A</v>
      </c>
      <c r="L2304" s="459" t="e">
        <v>#N/A</v>
      </c>
      <c r="O2304" t="e">
        <v>#N/A</v>
      </c>
      <c r="P2304" t="e">
        <v>#N/A</v>
      </c>
    </row>
    <row r="2305" spans="1:16" ht="14.4" x14ac:dyDescent="0.3">
      <c r="A2305">
        <v>465350</v>
      </c>
      <c r="B2305" t="e">
        <f t="shared" si="70"/>
        <v>#N/A</v>
      </c>
      <c r="C2305" s="185" t="e">
        <f t="shared" si="71"/>
        <v>#N/A</v>
      </c>
      <c r="D2305" s="407" t="e">
        <v>#N/A</v>
      </c>
      <c r="E2305" s="407" t="e">
        <v>#N/A</v>
      </c>
      <c r="F2305" s="407" t="e">
        <v>#N/A</v>
      </c>
      <c r="G2305" s="407" t="e">
        <v>#N/A</v>
      </c>
      <c r="H2305" s="460" t="e">
        <v>#N/A</v>
      </c>
      <c r="I2305" s="460" t="e">
        <v>#N/A</v>
      </c>
      <c r="J2305" s="460" t="e">
        <v>#N/A</v>
      </c>
      <c r="K2305" s="460" t="e">
        <v>#N/A</v>
      </c>
      <c r="L2305" s="459" t="e">
        <v>#N/A</v>
      </c>
      <c r="O2305" t="e">
        <v>#N/A</v>
      </c>
      <c r="P2305" t="e">
        <v>#N/A</v>
      </c>
    </row>
    <row r="2306" spans="1:16" ht="14.4" x14ac:dyDescent="0.3">
      <c r="A2306">
        <v>465351</v>
      </c>
      <c r="B2306" t="e">
        <f t="shared" si="70"/>
        <v>#N/A</v>
      </c>
      <c r="C2306" s="185" t="e">
        <f t="shared" si="71"/>
        <v>#N/A</v>
      </c>
      <c r="D2306" s="407" t="e">
        <v>#N/A</v>
      </c>
      <c r="E2306" s="407" t="e">
        <v>#N/A</v>
      </c>
      <c r="F2306" s="407" t="e">
        <v>#N/A</v>
      </c>
      <c r="G2306" s="407" t="e">
        <v>#N/A</v>
      </c>
      <c r="H2306" s="460" t="e">
        <v>#N/A</v>
      </c>
      <c r="I2306" s="460" t="e">
        <v>#N/A</v>
      </c>
      <c r="J2306" s="460" t="e">
        <v>#N/A</v>
      </c>
      <c r="K2306" s="460" t="e">
        <v>#N/A</v>
      </c>
      <c r="L2306" s="459" t="e">
        <v>#N/A</v>
      </c>
      <c r="O2306" t="e">
        <v>#N/A</v>
      </c>
      <c r="P2306" t="e">
        <v>#N/A</v>
      </c>
    </row>
    <row r="2307" spans="1:16" ht="14.4" x14ac:dyDescent="0.3">
      <c r="A2307">
        <v>465352</v>
      </c>
      <c r="B2307" t="e">
        <f t="shared" si="70"/>
        <v>#N/A</v>
      </c>
      <c r="C2307" s="185" t="e">
        <f t="shared" si="71"/>
        <v>#N/A</v>
      </c>
      <c r="D2307" s="407" t="e">
        <v>#N/A</v>
      </c>
      <c r="E2307" s="407" t="e">
        <v>#N/A</v>
      </c>
      <c r="F2307" s="407" t="e">
        <v>#N/A</v>
      </c>
      <c r="G2307" s="407" t="e">
        <v>#N/A</v>
      </c>
      <c r="H2307" s="460" t="e">
        <v>#N/A</v>
      </c>
      <c r="I2307" s="460" t="e">
        <v>#N/A</v>
      </c>
      <c r="J2307" s="460" t="e">
        <v>#N/A</v>
      </c>
      <c r="K2307" s="460" t="e">
        <v>#N/A</v>
      </c>
      <c r="L2307" s="459" t="e">
        <v>#N/A</v>
      </c>
      <c r="O2307" t="e">
        <v>#N/A</v>
      </c>
      <c r="P2307" t="e">
        <v>#N/A</v>
      </c>
    </row>
    <row r="2308" spans="1:16" ht="14.4" x14ac:dyDescent="0.3">
      <c r="A2308">
        <v>465353</v>
      </c>
      <c r="B2308" t="e">
        <f t="shared" ref="B2308:B2371" si="72">IF($A$2=1,D2308,IF($A$2=2,F2308,IF($A$2=3,G2308,IF($A$2=4,E2308,IF($A$2&gt;4,P2308,"zadat jazyk")))))</f>
        <v>#N/A</v>
      </c>
      <c r="C2308" s="185" t="e">
        <f t="shared" ref="C2308:C2371" si="73">IF($A$2=1,H2308,IF($A$2=2,I2308,IF($A$2=3,J2308,IF($A$2=4,K2308,IF($A$2&gt;4,O2308,"zadat jazyk")))))</f>
        <v>#N/A</v>
      </c>
      <c r="D2308" s="407" t="e">
        <v>#N/A</v>
      </c>
      <c r="E2308" s="407" t="e">
        <v>#N/A</v>
      </c>
      <c r="F2308" s="407" t="e">
        <v>#N/A</v>
      </c>
      <c r="G2308" s="407" t="e">
        <v>#N/A</v>
      </c>
      <c r="H2308" s="460" t="e">
        <v>#N/A</v>
      </c>
      <c r="I2308" s="460" t="e">
        <v>#N/A</v>
      </c>
      <c r="J2308" s="460" t="e">
        <v>#N/A</v>
      </c>
      <c r="K2308" s="460" t="e">
        <v>#N/A</v>
      </c>
      <c r="L2308" s="459" t="e">
        <v>#N/A</v>
      </c>
      <c r="O2308" t="e">
        <v>#N/A</v>
      </c>
      <c r="P2308" t="e">
        <v>#N/A</v>
      </c>
    </row>
    <row r="2309" spans="1:16" ht="14.4" x14ac:dyDescent="0.3">
      <c r="A2309">
        <v>465354</v>
      </c>
      <c r="B2309" t="e">
        <f t="shared" si="72"/>
        <v>#N/A</v>
      </c>
      <c r="C2309" s="185" t="e">
        <f t="shared" si="73"/>
        <v>#N/A</v>
      </c>
      <c r="D2309" s="407" t="e">
        <v>#N/A</v>
      </c>
      <c r="E2309" s="407" t="e">
        <v>#N/A</v>
      </c>
      <c r="F2309" s="407" t="e">
        <v>#N/A</v>
      </c>
      <c r="G2309" s="407" t="e">
        <v>#N/A</v>
      </c>
      <c r="H2309" s="460" t="e">
        <v>#N/A</v>
      </c>
      <c r="I2309" s="460" t="e">
        <v>#N/A</v>
      </c>
      <c r="J2309" s="460" t="e">
        <v>#N/A</v>
      </c>
      <c r="K2309" s="460" t="e">
        <v>#N/A</v>
      </c>
      <c r="L2309" s="459" t="e">
        <v>#N/A</v>
      </c>
      <c r="O2309" t="e">
        <v>#N/A</v>
      </c>
      <c r="P2309" t="e">
        <v>#N/A</v>
      </c>
    </row>
    <row r="2310" spans="1:16" ht="14.4" x14ac:dyDescent="0.3">
      <c r="A2310">
        <v>465355</v>
      </c>
      <c r="B2310" t="e">
        <f t="shared" si="72"/>
        <v>#N/A</v>
      </c>
      <c r="C2310" s="185" t="e">
        <f t="shared" si="73"/>
        <v>#N/A</v>
      </c>
      <c r="D2310" s="407" t="e">
        <v>#N/A</v>
      </c>
      <c r="E2310" s="407" t="e">
        <v>#N/A</v>
      </c>
      <c r="F2310" s="407" t="e">
        <v>#N/A</v>
      </c>
      <c r="G2310" s="407" t="e">
        <v>#N/A</v>
      </c>
      <c r="H2310" s="460" t="e">
        <v>#N/A</v>
      </c>
      <c r="I2310" s="460" t="e">
        <v>#N/A</v>
      </c>
      <c r="J2310" s="460" t="e">
        <v>#N/A</v>
      </c>
      <c r="K2310" s="460" t="e">
        <v>#N/A</v>
      </c>
      <c r="L2310" s="459" t="e">
        <v>#N/A</v>
      </c>
      <c r="O2310" t="e">
        <v>#N/A</v>
      </c>
      <c r="P2310" t="e">
        <v>#N/A</v>
      </c>
    </row>
    <row r="2311" spans="1:16" ht="14.4" x14ac:dyDescent="0.3">
      <c r="A2311">
        <v>465356</v>
      </c>
      <c r="B2311" t="e">
        <f t="shared" si="72"/>
        <v>#N/A</v>
      </c>
      <c r="C2311" s="185" t="e">
        <f t="shared" si="73"/>
        <v>#N/A</v>
      </c>
      <c r="D2311" s="407" t="e">
        <v>#N/A</v>
      </c>
      <c r="E2311" s="407" t="e">
        <v>#N/A</v>
      </c>
      <c r="F2311" s="407" t="e">
        <v>#N/A</v>
      </c>
      <c r="G2311" s="407" t="e">
        <v>#N/A</v>
      </c>
      <c r="H2311" s="460" t="e">
        <v>#N/A</v>
      </c>
      <c r="I2311" s="460" t="e">
        <v>#N/A</v>
      </c>
      <c r="J2311" s="460" t="e">
        <v>#N/A</v>
      </c>
      <c r="K2311" s="460" t="e">
        <v>#N/A</v>
      </c>
      <c r="L2311" s="459" t="e">
        <v>#N/A</v>
      </c>
      <c r="O2311" t="e">
        <v>#N/A</v>
      </c>
      <c r="P2311" t="e">
        <v>#N/A</v>
      </c>
    </row>
    <row r="2312" spans="1:16" ht="14.4" x14ac:dyDescent="0.3">
      <c r="A2312">
        <v>465357</v>
      </c>
      <c r="B2312" t="e">
        <f t="shared" si="72"/>
        <v>#N/A</v>
      </c>
      <c r="C2312" s="185" t="e">
        <f t="shared" si="73"/>
        <v>#N/A</v>
      </c>
      <c r="D2312" s="407" t="e">
        <v>#N/A</v>
      </c>
      <c r="E2312" s="407" t="e">
        <v>#N/A</v>
      </c>
      <c r="F2312" s="407" t="e">
        <v>#N/A</v>
      </c>
      <c r="G2312" s="407" t="e">
        <v>#N/A</v>
      </c>
      <c r="H2312" s="460" t="e">
        <v>#N/A</v>
      </c>
      <c r="I2312" s="460" t="e">
        <v>#N/A</v>
      </c>
      <c r="J2312" s="460" t="e">
        <v>#N/A</v>
      </c>
      <c r="K2312" s="460" t="e">
        <v>#N/A</v>
      </c>
      <c r="L2312" s="459" t="e">
        <v>#N/A</v>
      </c>
      <c r="O2312" t="e">
        <v>#N/A</v>
      </c>
      <c r="P2312" t="e">
        <v>#N/A</v>
      </c>
    </row>
    <row r="2313" spans="1:16" ht="14.4" x14ac:dyDescent="0.3">
      <c r="A2313">
        <v>465358</v>
      </c>
      <c r="B2313" t="e">
        <f t="shared" si="72"/>
        <v>#N/A</v>
      </c>
      <c r="C2313" s="185" t="e">
        <f t="shared" si="73"/>
        <v>#N/A</v>
      </c>
      <c r="D2313" s="407" t="e">
        <v>#N/A</v>
      </c>
      <c r="E2313" s="407" t="e">
        <v>#N/A</v>
      </c>
      <c r="F2313" s="407" t="e">
        <v>#N/A</v>
      </c>
      <c r="G2313" s="407" t="e">
        <v>#N/A</v>
      </c>
      <c r="H2313" s="460" t="e">
        <v>#N/A</v>
      </c>
      <c r="I2313" s="460" t="e">
        <v>#N/A</v>
      </c>
      <c r="J2313" s="460" t="e">
        <v>#N/A</v>
      </c>
      <c r="K2313" s="460" t="e">
        <v>#N/A</v>
      </c>
      <c r="L2313" s="459" t="e">
        <v>#N/A</v>
      </c>
      <c r="O2313" t="e">
        <v>#N/A</v>
      </c>
      <c r="P2313" t="e">
        <v>#N/A</v>
      </c>
    </row>
    <row r="2314" spans="1:16" ht="14.4" x14ac:dyDescent="0.3">
      <c r="A2314">
        <v>465359</v>
      </c>
      <c r="B2314" t="e">
        <f t="shared" si="72"/>
        <v>#N/A</v>
      </c>
      <c r="C2314" s="185" t="e">
        <f t="shared" si="73"/>
        <v>#N/A</v>
      </c>
      <c r="D2314" s="407" t="e">
        <v>#N/A</v>
      </c>
      <c r="E2314" s="407" t="e">
        <v>#N/A</v>
      </c>
      <c r="F2314" s="407" t="e">
        <v>#N/A</v>
      </c>
      <c r="G2314" s="407" t="e">
        <v>#N/A</v>
      </c>
      <c r="H2314" s="460" t="e">
        <v>#N/A</v>
      </c>
      <c r="I2314" s="460" t="e">
        <v>#N/A</v>
      </c>
      <c r="J2314" s="460" t="e">
        <v>#N/A</v>
      </c>
      <c r="K2314" s="460" t="e">
        <v>#N/A</v>
      </c>
      <c r="L2314" s="459" t="e">
        <v>#N/A</v>
      </c>
      <c r="O2314" t="e">
        <v>#N/A</v>
      </c>
      <c r="P2314" t="e">
        <v>#N/A</v>
      </c>
    </row>
    <row r="2315" spans="1:16" ht="14.4" x14ac:dyDescent="0.3">
      <c r="A2315">
        <v>465360</v>
      </c>
      <c r="B2315" t="e">
        <f t="shared" si="72"/>
        <v>#N/A</v>
      </c>
      <c r="C2315" s="185" t="e">
        <f t="shared" si="73"/>
        <v>#N/A</v>
      </c>
      <c r="D2315" s="407" t="e">
        <v>#N/A</v>
      </c>
      <c r="E2315" s="407" t="e">
        <v>#N/A</v>
      </c>
      <c r="F2315" s="407" t="e">
        <v>#N/A</v>
      </c>
      <c r="G2315" s="407" t="e">
        <v>#N/A</v>
      </c>
      <c r="H2315" s="460" t="e">
        <v>#N/A</v>
      </c>
      <c r="I2315" s="460" t="e">
        <v>#N/A</v>
      </c>
      <c r="J2315" s="460" t="e">
        <v>#N/A</v>
      </c>
      <c r="K2315" s="460" t="e">
        <v>#N/A</v>
      </c>
      <c r="L2315" s="459" t="e">
        <v>#N/A</v>
      </c>
      <c r="O2315" t="e">
        <v>#N/A</v>
      </c>
      <c r="P2315" t="e">
        <v>#N/A</v>
      </c>
    </row>
    <row r="2316" spans="1:16" ht="14.4" x14ac:dyDescent="0.3">
      <c r="A2316">
        <v>465361</v>
      </c>
      <c r="B2316" t="e">
        <f t="shared" si="72"/>
        <v>#N/A</v>
      </c>
      <c r="C2316" s="185" t="e">
        <f t="shared" si="73"/>
        <v>#N/A</v>
      </c>
      <c r="D2316" s="407" t="e">
        <v>#N/A</v>
      </c>
      <c r="E2316" s="407" t="e">
        <v>#N/A</v>
      </c>
      <c r="F2316" s="407" t="e">
        <v>#N/A</v>
      </c>
      <c r="G2316" s="407" t="e">
        <v>#N/A</v>
      </c>
      <c r="H2316" s="460" t="e">
        <v>#N/A</v>
      </c>
      <c r="I2316" s="460" t="e">
        <v>#N/A</v>
      </c>
      <c r="J2316" s="460" t="e">
        <v>#N/A</v>
      </c>
      <c r="K2316" s="460" t="e">
        <v>#N/A</v>
      </c>
      <c r="L2316" s="459" t="e">
        <v>#N/A</v>
      </c>
      <c r="O2316" t="e">
        <v>#N/A</v>
      </c>
      <c r="P2316" t="e">
        <v>#N/A</v>
      </c>
    </row>
    <row r="2317" spans="1:16" ht="14.4" x14ac:dyDescent="0.3">
      <c r="A2317">
        <v>465362</v>
      </c>
      <c r="B2317" t="e">
        <f t="shared" si="72"/>
        <v>#N/A</v>
      </c>
      <c r="C2317" s="185" t="e">
        <f t="shared" si="73"/>
        <v>#N/A</v>
      </c>
      <c r="D2317" s="407" t="e">
        <v>#N/A</v>
      </c>
      <c r="E2317" s="407" t="e">
        <v>#N/A</v>
      </c>
      <c r="F2317" s="407" t="e">
        <v>#N/A</v>
      </c>
      <c r="G2317" s="407" t="e">
        <v>#N/A</v>
      </c>
      <c r="H2317" s="460" t="e">
        <v>#N/A</v>
      </c>
      <c r="I2317" s="460" t="e">
        <v>#N/A</v>
      </c>
      <c r="J2317" s="460" t="e">
        <v>#N/A</v>
      </c>
      <c r="K2317" s="460" t="e">
        <v>#N/A</v>
      </c>
      <c r="L2317" s="459" t="e">
        <v>#N/A</v>
      </c>
      <c r="O2317" t="e">
        <v>#N/A</v>
      </c>
      <c r="P2317" t="e">
        <v>#N/A</v>
      </c>
    </row>
    <row r="2318" spans="1:16" ht="14.4" x14ac:dyDescent="0.3">
      <c r="A2318">
        <v>465363</v>
      </c>
      <c r="B2318" t="e">
        <f t="shared" si="72"/>
        <v>#N/A</v>
      </c>
      <c r="C2318" s="185" t="e">
        <f t="shared" si="73"/>
        <v>#N/A</v>
      </c>
      <c r="D2318" s="407" t="e">
        <v>#N/A</v>
      </c>
      <c r="E2318" s="407" t="e">
        <v>#N/A</v>
      </c>
      <c r="F2318" s="407" t="e">
        <v>#N/A</v>
      </c>
      <c r="G2318" s="407" t="e">
        <v>#N/A</v>
      </c>
      <c r="H2318" s="460" t="e">
        <v>#N/A</v>
      </c>
      <c r="I2318" s="460" t="e">
        <v>#N/A</v>
      </c>
      <c r="J2318" s="460" t="e">
        <v>#N/A</v>
      </c>
      <c r="K2318" s="460" t="e">
        <v>#N/A</v>
      </c>
      <c r="L2318" s="459" t="e">
        <v>#N/A</v>
      </c>
      <c r="O2318" t="e">
        <v>#N/A</v>
      </c>
      <c r="P2318" t="e">
        <v>#N/A</v>
      </c>
    </row>
    <row r="2319" spans="1:16" ht="14.4" x14ac:dyDescent="0.3">
      <c r="A2319">
        <v>465364</v>
      </c>
      <c r="B2319" t="e">
        <f t="shared" si="72"/>
        <v>#N/A</v>
      </c>
      <c r="C2319" s="185" t="e">
        <f t="shared" si="73"/>
        <v>#N/A</v>
      </c>
      <c r="D2319" s="407" t="e">
        <v>#N/A</v>
      </c>
      <c r="E2319" s="407" t="e">
        <v>#N/A</v>
      </c>
      <c r="F2319" s="407" t="e">
        <v>#N/A</v>
      </c>
      <c r="G2319" s="407" t="e">
        <v>#N/A</v>
      </c>
      <c r="H2319" s="460" t="e">
        <v>#N/A</v>
      </c>
      <c r="I2319" s="460" t="e">
        <v>#N/A</v>
      </c>
      <c r="J2319" s="460" t="e">
        <v>#N/A</v>
      </c>
      <c r="K2319" s="460" t="e">
        <v>#N/A</v>
      </c>
      <c r="L2319" s="459" t="e">
        <v>#N/A</v>
      </c>
      <c r="O2319" t="e">
        <v>#N/A</v>
      </c>
      <c r="P2319" t="e">
        <v>#N/A</v>
      </c>
    </row>
    <row r="2320" spans="1:16" ht="14.4" x14ac:dyDescent="0.3">
      <c r="A2320">
        <v>465365</v>
      </c>
      <c r="B2320" t="e">
        <f t="shared" si="72"/>
        <v>#N/A</v>
      </c>
      <c r="C2320" s="185" t="e">
        <f t="shared" si="73"/>
        <v>#N/A</v>
      </c>
      <c r="D2320" s="407" t="e">
        <v>#N/A</v>
      </c>
      <c r="E2320" s="407" t="e">
        <v>#N/A</v>
      </c>
      <c r="F2320" s="407" t="e">
        <v>#N/A</v>
      </c>
      <c r="G2320" s="407" t="e">
        <v>#N/A</v>
      </c>
      <c r="H2320" s="460" t="e">
        <v>#N/A</v>
      </c>
      <c r="I2320" s="460" t="e">
        <v>#N/A</v>
      </c>
      <c r="J2320" s="460" t="e">
        <v>#N/A</v>
      </c>
      <c r="K2320" s="460" t="e">
        <v>#N/A</v>
      </c>
      <c r="L2320" s="459" t="e">
        <v>#N/A</v>
      </c>
      <c r="O2320" t="e">
        <v>#N/A</v>
      </c>
      <c r="P2320" t="e">
        <v>#N/A</v>
      </c>
    </row>
    <row r="2321" spans="1:16" ht="14.4" x14ac:dyDescent="0.3">
      <c r="A2321">
        <v>465366</v>
      </c>
      <c r="B2321" t="e">
        <f t="shared" si="72"/>
        <v>#N/A</v>
      </c>
      <c r="C2321" s="185" t="e">
        <f t="shared" si="73"/>
        <v>#N/A</v>
      </c>
      <c r="D2321" s="407" t="e">
        <v>#N/A</v>
      </c>
      <c r="E2321" s="407" t="e">
        <v>#N/A</v>
      </c>
      <c r="F2321" s="407" t="e">
        <v>#N/A</v>
      </c>
      <c r="G2321" s="407" t="e">
        <v>#N/A</v>
      </c>
      <c r="H2321" s="460" t="e">
        <v>#N/A</v>
      </c>
      <c r="I2321" s="460" t="e">
        <v>#N/A</v>
      </c>
      <c r="J2321" s="460" t="e">
        <v>#N/A</v>
      </c>
      <c r="K2321" s="460" t="e">
        <v>#N/A</v>
      </c>
      <c r="L2321" s="459" t="e">
        <v>#N/A</v>
      </c>
      <c r="O2321" t="e">
        <v>#N/A</v>
      </c>
      <c r="P2321" t="e">
        <v>#N/A</v>
      </c>
    </row>
    <row r="2322" spans="1:16" ht="14.4" x14ac:dyDescent="0.3">
      <c r="A2322">
        <v>465367</v>
      </c>
      <c r="B2322" t="e">
        <f t="shared" si="72"/>
        <v>#N/A</v>
      </c>
      <c r="C2322" s="185" t="e">
        <f t="shared" si="73"/>
        <v>#N/A</v>
      </c>
      <c r="D2322" s="407" t="e">
        <v>#N/A</v>
      </c>
      <c r="E2322" s="407" t="e">
        <v>#N/A</v>
      </c>
      <c r="F2322" s="407" t="e">
        <v>#N/A</v>
      </c>
      <c r="G2322" s="407" t="e">
        <v>#N/A</v>
      </c>
      <c r="H2322" s="460" t="e">
        <v>#N/A</v>
      </c>
      <c r="I2322" s="460" t="e">
        <v>#N/A</v>
      </c>
      <c r="J2322" s="460" t="e">
        <v>#N/A</v>
      </c>
      <c r="K2322" s="460" t="e">
        <v>#N/A</v>
      </c>
      <c r="L2322" s="459" t="e">
        <v>#N/A</v>
      </c>
      <c r="O2322" t="e">
        <v>#N/A</v>
      </c>
      <c r="P2322" t="e">
        <v>#N/A</v>
      </c>
    </row>
    <row r="2323" spans="1:16" ht="14.4" x14ac:dyDescent="0.3">
      <c r="A2323">
        <v>465368</v>
      </c>
      <c r="B2323" t="e">
        <f t="shared" si="72"/>
        <v>#N/A</v>
      </c>
      <c r="C2323" s="185" t="e">
        <f t="shared" si="73"/>
        <v>#N/A</v>
      </c>
      <c r="D2323" s="407" t="e">
        <v>#N/A</v>
      </c>
      <c r="E2323" s="407" t="e">
        <v>#N/A</v>
      </c>
      <c r="F2323" s="407" t="e">
        <v>#N/A</v>
      </c>
      <c r="G2323" s="407" t="e">
        <v>#N/A</v>
      </c>
      <c r="H2323" s="460" t="e">
        <v>#N/A</v>
      </c>
      <c r="I2323" s="460" t="e">
        <v>#N/A</v>
      </c>
      <c r="J2323" s="460" t="e">
        <v>#N/A</v>
      </c>
      <c r="K2323" s="460" t="e">
        <v>#N/A</v>
      </c>
      <c r="L2323" s="459" t="e">
        <v>#N/A</v>
      </c>
      <c r="O2323" t="e">
        <v>#N/A</v>
      </c>
      <c r="P2323" t="e">
        <v>#N/A</v>
      </c>
    </row>
    <row r="2324" spans="1:16" ht="14.4" x14ac:dyDescent="0.3">
      <c r="A2324">
        <v>465369</v>
      </c>
      <c r="B2324" t="e">
        <f t="shared" si="72"/>
        <v>#N/A</v>
      </c>
      <c r="C2324" s="185" t="e">
        <f t="shared" si="73"/>
        <v>#N/A</v>
      </c>
      <c r="D2324" s="407" t="e">
        <v>#N/A</v>
      </c>
      <c r="E2324" s="407" t="e">
        <v>#N/A</v>
      </c>
      <c r="F2324" s="407" t="e">
        <v>#N/A</v>
      </c>
      <c r="G2324" s="407" t="e">
        <v>#N/A</v>
      </c>
      <c r="H2324" s="460" t="e">
        <v>#N/A</v>
      </c>
      <c r="I2324" s="460" t="e">
        <v>#N/A</v>
      </c>
      <c r="J2324" s="460" t="e">
        <v>#N/A</v>
      </c>
      <c r="K2324" s="460" t="e">
        <v>#N/A</v>
      </c>
      <c r="L2324" s="459" t="e">
        <v>#N/A</v>
      </c>
      <c r="O2324" t="e">
        <v>#N/A</v>
      </c>
      <c r="P2324" t="e">
        <v>#N/A</v>
      </c>
    </row>
    <row r="2325" spans="1:16" ht="14.4" x14ac:dyDescent="0.3">
      <c r="A2325">
        <v>465370</v>
      </c>
      <c r="B2325" t="e">
        <f t="shared" si="72"/>
        <v>#N/A</v>
      </c>
      <c r="C2325" s="185" t="e">
        <f t="shared" si="73"/>
        <v>#N/A</v>
      </c>
      <c r="D2325" s="407" t="e">
        <v>#N/A</v>
      </c>
      <c r="E2325" s="407" t="e">
        <v>#N/A</v>
      </c>
      <c r="F2325" s="407" t="e">
        <v>#N/A</v>
      </c>
      <c r="G2325" s="407" t="e">
        <v>#N/A</v>
      </c>
      <c r="H2325" s="460" t="e">
        <v>#N/A</v>
      </c>
      <c r="I2325" s="460" t="e">
        <v>#N/A</v>
      </c>
      <c r="J2325" s="460" t="e">
        <v>#N/A</v>
      </c>
      <c r="K2325" s="460" t="e">
        <v>#N/A</v>
      </c>
      <c r="L2325" s="459" t="e">
        <v>#N/A</v>
      </c>
      <c r="O2325" t="e">
        <v>#N/A</v>
      </c>
      <c r="P2325" t="e">
        <v>#N/A</v>
      </c>
    </row>
    <row r="2326" spans="1:16" ht="14.4" x14ac:dyDescent="0.3">
      <c r="A2326">
        <v>465371</v>
      </c>
      <c r="B2326" t="e">
        <f t="shared" si="72"/>
        <v>#N/A</v>
      </c>
      <c r="C2326" s="185" t="e">
        <f t="shared" si="73"/>
        <v>#N/A</v>
      </c>
      <c r="D2326" s="407" t="e">
        <v>#N/A</v>
      </c>
      <c r="E2326" s="407" t="e">
        <v>#N/A</v>
      </c>
      <c r="F2326" s="407" t="e">
        <v>#N/A</v>
      </c>
      <c r="G2326" s="407" t="e">
        <v>#N/A</v>
      </c>
      <c r="H2326" s="460" t="e">
        <v>#N/A</v>
      </c>
      <c r="I2326" s="460" t="e">
        <v>#N/A</v>
      </c>
      <c r="J2326" s="460" t="e">
        <v>#N/A</v>
      </c>
      <c r="K2326" s="460" t="e">
        <v>#N/A</v>
      </c>
      <c r="L2326" s="459" t="e">
        <v>#N/A</v>
      </c>
      <c r="O2326" t="e">
        <v>#N/A</v>
      </c>
      <c r="P2326" t="e">
        <v>#N/A</v>
      </c>
    </row>
    <row r="2327" spans="1:16" ht="14.4" x14ac:dyDescent="0.3">
      <c r="A2327">
        <v>465372</v>
      </c>
      <c r="B2327" t="e">
        <f t="shared" si="72"/>
        <v>#N/A</v>
      </c>
      <c r="C2327" s="185" t="e">
        <f t="shared" si="73"/>
        <v>#N/A</v>
      </c>
      <c r="D2327" s="407" t="e">
        <v>#N/A</v>
      </c>
      <c r="E2327" s="407" t="e">
        <v>#N/A</v>
      </c>
      <c r="F2327" s="407" t="e">
        <v>#N/A</v>
      </c>
      <c r="G2327" s="407" t="e">
        <v>#N/A</v>
      </c>
      <c r="H2327" s="460" t="e">
        <v>#N/A</v>
      </c>
      <c r="I2327" s="460" t="e">
        <v>#N/A</v>
      </c>
      <c r="J2327" s="460" t="e">
        <v>#N/A</v>
      </c>
      <c r="K2327" s="460" t="e">
        <v>#N/A</v>
      </c>
      <c r="L2327" s="459" t="e">
        <v>#N/A</v>
      </c>
      <c r="O2327" t="e">
        <v>#N/A</v>
      </c>
      <c r="P2327" t="e">
        <v>#N/A</v>
      </c>
    </row>
    <row r="2328" spans="1:16" ht="14.4" x14ac:dyDescent="0.3">
      <c r="A2328">
        <v>465373</v>
      </c>
      <c r="B2328" t="e">
        <f t="shared" si="72"/>
        <v>#N/A</v>
      </c>
      <c r="C2328" s="185" t="e">
        <f t="shared" si="73"/>
        <v>#N/A</v>
      </c>
      <c r="D2328" s="407" t="e">
        <v>#N/A</v>
      </c>
      <c r="E2328" s="407" t="e">
        <v>#N/A</v>
      </c>
      <c r="F2328" s="407" t="e">
        <v>#N/A</v>
      </c>
      <c r="G2328" s="407" t="e">
        <v>#N/A</v>
      </c>
      <c r="H2328" s="460" t="e">
        <v>#N/A</v>
      </c>
      <c r="I2328" s="460" t="e">
        <v>#N/A</v>
      </c>
      <c r="J2328" s="460" t="e">
        <v>#N/A</v>
      </c>
      <c r="K2328" s="460" t="e">
        <v>#N/A</v>
      </c>
      <c r="L2328" s="459" t="e">
        <v>#N/A</v>
      </c>
      <c r="O2328" t="e">
        <v>#N/A</v>
      </c>
      <c r="P2328" t="e">
        <v>#N/A</v>
      </c>
    </row>
    <row r="2329" spans="1:16" ht="14.4" x14ac:dyDescent="0.3">
      <c r="A2329">
        <v>465374</v>
      </c>
      <c r="B2329" t="e">
        <f t="shared" si="72"/>
        <v>#N/A</v>
      </c>
      <c r="C2329" s="185" t="e">
        <f t="shared" si="73"/>
        <v>#N/A</v>
      </c>
      <c r="D2329" s="407" t="e">
        <v>#N/A</v>
      </c>
      <c r="E2329" s="407" t="e">
        <v>#N/A</v>
      </c>
      <c r="F2329" s="407" t="e">
        <v>#N/A</v>
      </c>
      <c r="G2329" s="407" t="e">
        <v>#N/A</v>
      </c>
      <c r="H2329" s="460" t="e">
        <v>#N/A</v>
      </c>
      <c r="I2329" s="460" t="e">
        <v>#N/A</v>
      </c>
      <c r="J2329" s="460" t="e">
        <v>#N/A</v>
      </c>
      <c r="K2329" s="460" t="e">
        <v>#N/A</v>
      </c>
      <c r="L2329" s="459" t="e">
        <v>#N/A</v>
      </c>
      <c r="O2329" t="e">
        <v>#N/A</v>
      </c>
      <c r="P2329" t="e">
        <v>#N/A</v>
      </c>
    </row>
    <row r="2330" spans="1:16" ht="14.4" x14ac:dyDescent="0.3">
      <c r="A2330">
        <v>465375</v>
      </c>
      <c r="B2330" t="e">
        <f t="shared" si="72"/>
        <v>#N/A</v>
      </c>
      <c r="C2330" s="185" t="e">
        <f t="shared" si="73"/>
        <v>#N/A</v>
      </c>
      <c r="D2330" s="407" t="e">
        <v>#N/A</v>
      </c>
      <c r="E2330" s="407" t="e">
        <v>#N/A</v>
      </c>
      <c r="F2330" s="407" t="e">
        <v>#N/A</v>
      </c>
      <c r="G2330" s="407" t="e">
        <v>#N/A</v>
      </c>
      <c r="H2330" s="460" t="e">
        <v>#N/A</v>
      </c>
      <c r="I2330" s="460" t="e">
        <v>#N/A</v>
      </c>
      <c r="J2330" s="460" t="e">
        <v>#N/A</v>
      </c>
      <c r="K2330" s="460" t="e">
        <v>#N/A</v>
      </c>
      <c r="L2330" s="459" t="e">
        <v>#N/A</v>
      </c>
      <c r="O2330" t="e">
        <v>#N/A</v>
      </c>
      <c r="P2330" t="e">
        <v>#N/A</v>
      </c>
    </row>
    <row r="2331" spans="1:16" ht="14.4" x14ac:dyDescent="0.3">
      <c r="A2331">
        <v>465376</v>
      </c>
      <c r="B2331" t="e">
        <f t="shared" si="72"/>
        <v>#N/A</v>
      </c>
      <c r="C2331" s="185" t="e">
        <f t="shared" si="73"/>
        <v>#N/A</v>
      </c>
      <c r="D2331" s="407" t="e">
        <v>#N/A</v>
      </c>
      <c r="E2331" s="407" t="e">
        <v>#N/A</v>
      </c>
      <c r="F2331" s="407" t="e">
        <v>#N/A</v>
      </c>
      <c r="G2331" s="407" t="e">
        <v>#N/A</v>
      </c>
      <c r="H2331" s="460" t="e">
        <v>#N/A</v>
      </c>
      <c r="I2331" s="460" t="e">
        <v>#N/A</v>
      </c>
      <c r="J2331" s="460" t="e">
        <v>#N/A</v>
      </c>
      <c r="K2331" s="460" t="e">
        <v>#N/A</v>
      </c>
      <c r="L2331" s="459" t="e">
        <v>#N/A</v>
      </c>
      <c r="O2331" t="e">
        <v>#N/A</v>
      </c>
      <c r="P2331" t="e">
        <v>#N/A</v>
      </c>
    </row>
    <row r="2332" spans="1:16" ht="14.4" x14ac:dyDescent="0.3">
      <c r="A2332">
        <v>465377</v>
      </c>
      <c r="B2332" t="e">
        <f t="shared" si="72"/>
        <v>#N/A</v>
      </c>
      <c r="C2332" s="185" t="e">
        <f t="shared" si="73"/>
        <v>#N/A</v>
      </c>
      <c r="D2332" s="407" t="e">
        <v>#N/A</v>
      </c>
      <c r="E2332" s="407" t="e">
        <v>#N/A</v>
      </c>
      <c r="F2332" s="407" t="e">
        <v>#N/A</v>
      </c>
      <c r="G2332" s="407" t="e">
        <v>#N/A</v>
      </c>
      <c r="H2332" s="460" t="e">
        <v>#N/A</v>
      </c>
      <c r="I2332" s="460" t="e">
        <v>#N/A</v>
      </c>
      <c r="J2332" s="460" t="e">
        <v>#N/A</v>
      </c>
      <c r="K2332" s="460" t="e">
        <v>#N/A</v>
      </c>
      <c r="L2332" s="459" t="e">
        <v>#N/A</v>
      </c>
      <c r="O2332" t="e">
        <v>#N/A</v>
      </c>
      <c r="P2332" t="e">
        <v>#N/A</v>
      </c>
    </row>
    <row r="2333" spans="1:16" ht="14.4" x14ac:dyDescent="0.3">
      <c r="A2333">
        <v>465378</v>
      </c>
      <c r="B2333" t="e">
        <f t="shared" si="72"/>
        <v>#N/A</v>
      </c>
      <c r="C2333" s="185" t="e">
        <f t="shared" si="73"/>
        <v>#N/A</v>
      </c>
      <c r="D2333" s="407" t="e">
        <v>#N/A</v>
      </c>
      <c r="E2333" s="407" t="e">
        <v>#N/A</v>
      </c>
      <c r="F2333" s="407" t="e">
        <v>#N/A</v>
      </c>
      <c r="G2333" s="407" t="e">
        <v>#N/A</v>
      </c>
      <c r="H2333" s="460" t="e">
        <v>#N/A</v>
      </c>
      <c r="I2333" s="460" t="e">
        <v>#N/A</v>
      </c>
      <c r="J2333" s="460" t="e">
        <v>#N/A</v>
      </c>
      <c r="K2333" s="460" t="e">
        <v>#N/A</v>
      </c>
      <c r="L2333" s="459" t="e">
        <v>#N/A</v>
      </c>
      <c r="O2333" t="e">
        <v>#N/A</v>
      </c>
      <c r="P2333" t="e">
        <v>#N/A</v>
      </c>
    </row>
    <row r="2334" spans="1:16" ht="14.4" x14ac:dyDescent="0.3">
      <c r="A2334">
        <v>465379</v>
      </c>
      <c r="B2334" t="e">
        <f t="shared" si="72"/>
        <v>#N/A</v>
      </c>
      <c r="C2334" s="185" t="e">
        <f t="shared" si="73"/>
        <v>#N/A</v>
      </c>
      <c r="D2334" s="407" t="e">
        <v>#N/A</v>
      </c>
      <c r="E2334" s="407" t="e">
        <v>#N/A</v>
      </c>
      <c r="F2334" s="407" t="e">
        <v>#N/A</v>
      </c>
      <c r="G2334" s="407" t="e">
        <v>#N/A</v>
      </c>
      <c r="H2334" s="460" t="e">
        <v>#N/A</v>
      </c>
      <c r="I2334" s="460" t="e">
        <v>#N/A</v>
      </c>
      <c r="J2334" s="460" t="e">
        <v>#N/A</v>
      </c>
      <c r="K2334" s="460" t="e">
        <v>#N/A</v>
      </c>
      <c r="L2334" s="459" t="e">
        <v>#N/A</v>
      </c>
      <c r="O2334" t="e">
        <v>#N/A</v>
      </c>
      <c r="P2334" t="e">
        <v>#N/A</v>
      </c>
    </row>
    <row r="2335" spans="1:16" ht="14.4" x14ac:dyDescent="0.3">
      <c r="A2335">
        <v>465380</v>
      </c>
      <c r="B2335" t="e">
        <f t="shared" si="72"/>
        <v>#N/A</v>
      </c>
      <c r="C2335" s="185" t="e">
        <f t="shared" si="73"/>
        <v>#N/A</v>
      </c>
      <c r="D2335" s="407" t="e">
        <v>#N/A</v>
      </c>
      <c r="E2335" s="407" t="e">
        <v>#N/A</v>
      </c>
      <c r="F2335" s="407" t="e">
        <v>#N/A</v>
      </c>
      <c r="G2335" s="407" t="e">
        <v>#N/A</v>
      </c>
      <c r="H2335" s="460" t="e">
        <v>#N/A</v>
      </c>
      <c r="I2335" s="460" t="e">
        <v>#N/A</v>
      </c>
      <c r="J2335" s="460" t="e">
        <v>#N/A</v>
      </c>
      <c r="K2335" s="460" t="e">
        <v>#N/A</v>
      </c>
      <c r="L2335" s="459" t="e">
        <v>#N/A</v>
      </c>
      <c r="O2335" t="e">
        <v>#N/A</v>
      </c>
      <c r="P2335" t="e">
        <v>#N/A</v>
      </c>
    </row>
    <row r="2336" spans="1:16" ht="14.4" x14ac:dyDescent="0.3">
      <c r="A2336">
        <v>465381</v>
      </c>
      <c r="B2336" t="e">
        <f t="shared" si="72"/>
        <v>#N/A</v>
      </c>
      <c r="C2336" s="185" t="e">
        <f t="shared" si="73"/>
        <v>#N/A</v>
      </c>
      <c r="D2336" s="407" t="e">
        <v>#N/A</v>
      </c>
      <c r="E2336" s="407" t="e">
        <v>#N/A</v>
      </c>
      <c r="F2336" s="407" t="e">
        <v>#N/A</v>
      </c>
      <c r="G2336" s="407" t="e">
        <v>#N/A</v>
      </c>
      <c r="H2336" s="460" t="e">
        <v>#N/A</v>
      </c>
      <c r="I2336" s="460" t="e">
        <v>#N/A</v>
      </c>
      <c r="J2336" s="460" t="e">
        <v>#N/A</v>
      </c>
      <c r="K2336" s="460" t="e">
        <v>#N/A</v>
      </c>
      <c r="L2336" s="459" t="e">
        <v>#N/A</v>
      </c>
      <c r="O2336" t="e">
        <v>#N/A</v>
      </c>
      <c r="P2336" t="e">
        <v>#N/A</v>
      </c>
    </row>
    <row r="2337" spans="1:16" ht="14.4" x14ac:dyDescent="0.3">
      <c r="A2337">
        <v>465382</v>
      </c>
      <c r="B2337" t="e">
        <f t="shared" si="72"/>
        <v>#N/A</v>
      </c>
      <c r="C2337" s="185" t="e">
        <f t="shared" si="73"/>
        <v>#N/A</v>
      </c>
      <c r="D2337" s="407" t="e">
        <v>#N/A</v>
      </c>
      <c r="E2337" s="407" t="e">
        <v>#N/A</v>
      </c>
      <c r="F2337" s="407" t="e">
        <v>#N/A</v>
      </c>
      <c r="G2337" s="407" t="e">
        <v>#N/A</v>
      </c>
      <c r="H2337" s="460" t="e">
        <v>#N/A</v>
      </c>
      <c r="I2337" s="460" t="e">
        <v>#N/A</v>
      </c>
      <c r="J2337" s="460" t="e">
        <v>#N/A</v>
      </c>
      <c r="K2337" s="460" t="e">
        <v>#N/A</v>
      </c>
      <c r="L2337" s="459" t="e">
        <v>#N/A</v>
      </c>
      <c r="O2337" t="e">
        <v>#N/A</v>
      </c>
      <c r="P2337" t="e">
        <v>#N/A</v>
      </c>
    </row>
    <row r="2338" spans="1:16" ht="14.4" x14ac:dyDescent="0.3">
      <c r="A2338">
        <v>465383</v>
      </c>
      <c r="B2338" t="e">
        <f t="shared" si="72"/>
        <v>#N/A</v>
      </c>
      <c r="C2338" s="185" t="e">
        <f t="shared" si="73"/>
        <v>#N/A</v>
      </c>
      <c r="D2338" s="407" t="e">
        <v>#N/A</v>
      </c>
      <c r="E2338" s="407" t="e">
        <v>#N/A</v>
      </c>
      <c r="F2338" s="407" t="e">
        <v>#N/A</v>
      </c>
      <c r="G2338" s="407" t="e">
        <v>#N/A</v>
      </c>
      <c r="H2338" s="460" t="e">
        <v>#N/A</v>
      </c>
      <c r="I2338" s="460" t="e">
        <v>#N/A</v>
      </c>
      <c r="J2338" s="460" t="e">
        <v>#N/A</v>
      </c>
      <c r="K2338" s="460" t="e">
        <v>#N/A</v>
      </c>
      <c r="L2338" s="459" t="e">
        <v>#N/A</v>
      </c>
      <c r="O2338" t="e">
        <v>#N/A</v>
      </c>
      <c r="P2338" t="e">
        <v>#N/A</v>
      </c>
    </row>
    <row r="2339" spans="1:16" ht="14.4" x14ac:dyDescent="0.3">
      <c r="A2339">
        <v>465384</v>
      </c>
      <c r="B2339" t="e">
        <f t="shared" si="72"/>
        <v>#N/A</v>
      </c>
      <c r="C2339" s="185" t="e">
        <f t="shared" si="73"/>
        <v>#N/A</v>
      </c>
      <c r="D2339" s="407" t="e">
        <v>#N/A</v>
      </c>
      <c r="E2339" s="407" t="e">
        <v>#N/A</v>
      </c>
      <c r="F2339" s="407" t="e">
        <v>#N/A</v>
      </c>
      <c r="G2339" s="407" t="e">
        <v>#N/A</v>
      </c>
      <c r="H2339" s="460" t="e">
        <v>#N/A</v>
      </c>
      <c r="I2339" s="460" t="e">
        <v>#N/A</v>
      </c>
      <c r="J2339" s="460" t="e">
        <v>#N/A</v>
      </c>
      <c r="K2339" s="460" t="e">
        <v>#N/A</v>
      </c>
      <c r="L2339" s="459" t="e">
        <v>#N/A</v>
      </c>
      <c r="O2339" t="e">
        <v>#N/A</v>
      </c>
      <c r="P2339" t="e">
        <v>#N/A</v>
      </c>
    </row>
    <row r="2340" spans="1:16" ht="14.4" x14ac:dyDescent="0.3">
      <c r="A2340">
        <v>465385</v>
      </c>
      <c r="B2340" t="e">
        <f t="shared" si="72"/>
        <v>#N/A</v>
      </c>
      <c r="C2340" s="185" t="e">
        <f t="shared" si="73"/>
        <v>#N/A</v>
      </c>
      <c r="D2340" s="407" t="e">
        <v>#N/A</v>
      </c>
      <c r="E2340" s="407" t="e">
        <v>#N/A</v>
      </c>
      <c r="F2340" s="407" t="e">
        <v>#N/A</v>
      </c>
      <c r="G2340" s="407" t="e">
        <v>#N/A</v>
      </c>
      <c r="H2340" s="460" t="e">
        <v>#N/A</v>
      </c>
      <c r="I2340" s="460" t="e">
        <v>#N/A</v>
      </c>
      <c r="J2340" s="460" t="e">
        <v>#N/A</v>
      </c>
      <c r="K2340" s="460" t="e">
        <v>#N/A</v>
      </c>
      <c r="L2340" s="459" t="e">
        <v>#N/A</v>
      </c>
      <c r="O2340" t="e">
        <v>#N/A</v>
      </c>
      <c r="P2340" t="e">
        <v>#N/A</v>
      </c>
    </row>
    <row r="2341" spans="1:16" ht="14.4" x14ac:dyDescent="0.3">
      <c r="A2341">
        <v>465386</v>
      </c>
      <c r="B2341" t="e">
        <f t="shared" si="72"/>
        <v>#N/A</v>
      </c>
      <c r="C2341" s="185" t="e">
        <f t="shared" si="73"/>
        <v>#N/A</v>
      </c>
      <c r="D2341" s="407" t="e">
        <v>#N/A</v>
      </c>
      <c r="E2341" s="407" t="e">
        <v>#N/A</v>
      </c>
      <c r="F2341" s="407" t="e">
        <v>#N/A</v>
      </c>
      <c r="G2341" s="407" t="e">
        <v>#N/A</v>
      </c>
      <c r="H2341" s="460" t="e">
        <v>#N/A</v>
      </c>
      <c r="I2341" s="460" t="e">
        <v>#N/A</v>
      </c>
      <c r="J2341" s="460" t="e">
        <v>#N/A</v>
      </c>
      <c r="K2341" s="460" t="e">
        <v>#N/A</v>
      </c>
      <c r="L2341" s="459" t="e">
        <v>#N/A</v>
      </c>
      <c r="O2341" t="e">
        <v>#N/A</v>
      </c>
      <c r="P2341" t="e">
        <v>#N/A</v>
      </c>
    </row>
    <row r="2342" spans="1:16" ht="14.4" x14ac:dyDescent="0.3">
      <c r="A2342">
        <v>465387</v>
      </c>
      <c r="B2342" t="e">
        <f t="shared" si="72"/>
        <v>#N/A</v>
      </c>
      <c r="C2342" s="185" t="e">
        <f t="shared" si="73"/>
        <v>#N/A</v>
      </c>
      <c r="D2342" s="407" t="e">
        <v>#N/A</v>
      </c>
      <c r="E2342" s="407" t="e">
        <v>#N/A</v>
      </c>
      <c r="F2342" s="407" t="e">
        <v>#N/A</v>
      </c>
      <c r="G2342" s="407" t="e">
        <v>#N/A</v>
      </c>
      <c r="H2342" s="460" t="e">
        <v>#N/A</v>
      </c>
      <c r="I2342" s="460" t="e">
        <v>#N/A</v>
      </c>
      <c r="J2342" s="460" t="e">
        <v>#N/A</v>
      </c>
      <c r="K2342" s="460" t="e">
        <v>#N/A</v>
      </c>
      <c r="L2342" s="459" t="e">
        <v>#N/A</v>
      </c>
      <c r="O2342" t="e">
        <v>#N/A</v>
      </c>
      <c r="P2342" t="e">
        <v>#N/A</v>
      </c>
    </row>
    <row r="2343" spans="1:16" ht="14.4" x14ac:dyDescent="0.3">
      <c r="A2343">
        <v>465388</v>
      </c>
      <c r="B2343" t="e">
        <f t="shared" si="72"/>
        <v>#N/A</v>
      </c>
      <c r="C2343" s="185" t="e">
        <f t="shared" si="73"/>
        <v>#N/A</v>
      </c>
      <c r="D2343" s="407" t="e">
        <v>#N/A</v>
      </c>
      <c r="E2343" s="407" t="e">
        <v>#N/A</v>
      </c>
      <c r="F2343" s="407" t="e">
        <v>#N/A</v>
      </c>
      <c r="G2343" s="407" t="e">
        <v>#N/A</v>
      </c>
      <c r="H2343" s="460" t="e">
        <v>#N/A</v>
      </c>
      <c r="I2343" s="460" t="e">
        <v>#N/A</v>
      </c>
      <c r="J2343" s="460" t="e">
        <v>#N/A</v>
      </c>
      <c r="K2343" s="460" t="e">
        <v>#N/A</v>
      </c>
      <c r="L2343" s="459" t="e">
        <v>#N/A</v>
      </c>
      <c r="O2343" t="e">
        <v>#N/A</v>
      </c>
      <c r="P2343" t="e">
        <v>#N/A</v>
      </c>
    </row>
    <row r="2344" spans="1:16" ht="14.4" x14ac:dyDescent="0.3">
      <c r="A2344">
        <v>465389</v>
      </c>
      <c r="B2344" t="e">
        <f t="shared" si="72"/>
        <v>#N/A</v>
      </c>
      <c r="C2344" s="185" t="e">
        <f t="shared" si="73"/>
        <v>#N/A</v>
      </c>
      <c r="D2344" s="407" t="e">
        <v>#N/A</v>
      </c>
      <c r="E2344" s="407" t="e">
        <v>#N/A</v>
      </c>
      <c r="F2344" s="407" t="e">
        <v>#N/A</v>
      </c>
      <c r="G2344" s="407" t="e">
        <v>#N/A</v>
      </c>
      <c r="H2344" s="460" t="e">
        <v>#N/A</v>
      </c>
      <c r="I2344" s="460" t="e">
        <v>#N/A</v>
      </c>
      <c r="J2344" s="460" t="e">
        <v>#N/A</v>
      </c>
      <c r="K2344" s="460" t="e">
        <v>#N/A</v>
      </c>
      <c r="L2344" s="459" t="e">
        <v>#N/A</v>
      </c>
      <c r="O2344" t="e">
        <v>#N/A</v>
      </c>
      <c r="P2344" t="e">
        <v>#N/A</v>
      </c>
    </row>
    <row r="2345" spans="1:16" ht="14.4" x14ac:dyDescent="0.3">
      <c r="A2345">
        <v>465390</v>
      </c>
      <c r="B2345" t="e">
        <f t="shared" si="72"/>
        <v>#N/A</v>
      </c>
      <c r="C2345" s="185" t="e">
        <f t="shared" si="73"/>
        <v>#N/A</v>
      </c>
      <c r="D2345" s="407" t="e">
        <v>#N/A</v>
      </c>
      <c r="E2345" s="407" t="e">
        <v>#N/A</v>
      </c>
      <c r="F2345" s="407" t="e">
        <v>#N/A</v>
      </c>
      <c r="G2345" s="407" t="e">
        <v>#N/A</v>
      </c>
      <c r="H2345" s="460" t="e">
        <v>#N/A</v>
      </c>
      <c r="I2345" s="460" t="e">
        <v>#N/A</v>
      </c>
      <c r="J2345" s="460" t="e">
        <v>#N/A</v>
      </c>
      <c r="K2345" s="460" t="e">
        <v>#N/A</v>
      </c>
      <c r="L2345" s="459" t="e">
        <v>#N/A</v>
      </c>
      <c r="O2345" t="e">
        <v>#N/A</v>
      </c>
      <c r="P2345" t="e">
        <v>#N/A</v>
      </c>
    </row>
    <row r="2346" spans="1:16" ht="14.4" x14ac:dyDescent="0.3">
      <c r="A2346">
        <v>465391</v>
      </c>
      <c r="B2346" t="e">
        <f t="shared" si="72"/>
        <v>#N/A</v>
      </c>
      <c r="C2346" s="185" t="e">
        <f t="shared" si="73"/>
        <v>#N/A</v>
      </c>
      <c r="D2346" s="407" t="e">
        <v>#N/A</v>
      </c>
      <c r="E2346" s="407" t="e">
        <v>#N/A</v>
      </c>
      <c r="F2346" s="407" t="e">
        <v>#N/A</v>
      </c>
      <c r="G2346" s="407" t="e">
        <v>#N/A</v>
      </c>
      <c r="H2346" s="460" t="e">
        <v>#N/A</v>
      </c>
      <c r="I2346" s="460" t="e">
        <v>#N/A</v>
      </c>
      <c r="J2346" s="460" t="e">
        <v>#N/A</v>
      </c>
      <c r="K2346" s="460" t="e">
        <v>#N/A</v>
      </c>
      <c r="L2346" s="459" t="e">
        <v>#N/A</v>
      </c>
      <c r="O2346" t="e">
        <v>#N/A</v>
      </c>
      <c r="P2346" t="e">
        <v>#N/A</v>
      </c>
    </row>
    <row r="2347" spans="1:16" ht="14.4" x14ac:dyDescent="0.3">
      <c r="A2347">
        <v>465392</v>
      </c>
      <c r="B2347" t="e">
        <f t="shared" si="72"/>
        <v>#N/A</v>
      </c>
      <c r="C2347" s="185" t="e">
        <f t="shared" si="73"/>
        <v>#N/A</v>
      </c>
      <c r="D2347" s="407" t="e">
        <v>#N/A</v>
      </c>
      <c r="E2347" s="407" t="e">
        <v>#N/A</v>
      </c>
      <c r="F2347" s="407" t="e">
        <v>#N/A</v>
      </c>
      <c r="G2347" s="407" t="e">
        <v>#N/A</v>
      </c>
      <c r="H2347" s="460" t="e">
        <v>#N/A</v>
      </c>
      <c r="I2347" s="460" t="e">
        <v>#N/A</v>
      </c>
      <c r="J2347" s="460" t="e">
        <v>#N/A</v>
      </c>
      <c r="K2347" s="460" t="e">
        <v>#N/A</v>
      </c>
      <c r="L2347" s="459" t="e">
        <v>#N/A</v>
      </c>
      <c r="O2347" t="e">
        <v>#N/A</v>
      </c>
      <c r="P2347" t="e">
        <v>#N/A</v>
      </c>
    </row>
    <row r="2348" spans="1:16" ht="14.4" x14ac:dyDescent="0.3">
      <c r="A2348">
        <v>465393</v>
      </c>
      <c r="B2348" t="e">
        <f t="shared" si="72"/>
        <v>#N/A</v>
      </c>
      <c r="C2348" s="185" t="e">
        <f t="shared" si="73"/>
        <v>#N/A</v>
      </c>
      <c r="D2348" s="407" t="e">
        <v>#N/A</v>
      </c>
      <c r="E2348" s="407" t="e">
        <v>#N/A</v>
      </c>
      <c r="F2348" s="407" t="e">
        <v>#N/A</v>
      </c>
      <c r="G2348" s="407" t="e">
        <v>#N/A</v>
      </c>
      <c r="H2348" s="460" t="e">
        <v>#N/A</v>
      </c>
      <c r="I2348" s="460" t="e">
        <v>#N/A</v>
      </c>
      <c r="J2348" s="460" t="e">
        <v>#N/A</v>
      </c>
      <c r="K2348" s="460" t="e">
        <v>#N/A</v>
      </c>
      <c r="L2348" s="459" t="e">
        <v>#N/A</v>
      </c>
      <c r="O2348" t="e">
        <v>#N/A</v>
      </c>
      <c r="P2348" t="e">
        <v>#N/A</v>
      </c>
    </row>
    <row r="2349" spans="1:16" ht="14.4" x14ac:dyDescent="0.3">
      <c r="A2349">
        <v>465394</v>
      </c>
      <c r="B2349" t="e">
        <f t="shared" si="72"/>
        <v>#N/A</v>
      </c>
      <c r="C2349" s="185" t="e">
        <f t="shared" si="73"/>
        <v>#N/A</v>
      </c>
      <c r="D2349" s="407" t="e">
        <v>#N/A</v>
      </c>
      <c r="E2349" s="407" t="e">
        <v>#N/A</v>
      </c>
      <c r="F2349" s="407" t="e">
        <v>#N/A</v>
      </c>
      <c r="G2349" s="407" t="e">
        <v>#N/A</v>
      </c>
      <c r="H2349" s="460" t="e">
        <v>#N/A</v>
      </c>
      <c r="I2349" s="460" t="e">
        <v>#N/A</v>
      </c>
      <c r="J2349" s="460" t="e">
        <v>#N/A</v>
      </c>
      <c r="K2349" s="460" t="e">
        <v>#N/A</v>
      </c>
      <c r="L2349" s="459" t="e">
        <v>#N/A</v>
      </c>
      <c r="O2349" t="e">
        <v>#N/A</v>
      </c>
      <c r="P2349" t="e">
        <v>#N/A</v>
      </c>
    </row>
    <row r="2350" spans="1:16" ht="14.4" x14ac:dyDescent="0.3">
      <c r="A2350">
        <v>465395</v>
      </c>
      <c r="B2350" t="e">
        <f t="shared" si="72"/>
        <v>#N/A</v>
      </c>
      <c r="C2350" s="185" t="e">
        <f t="shared" si="73"/>
        <v>#N/A</v>
      </c>
      <c r="D2350" s="407" t="e">
        <v>#N/A</v>
      </c>
      <c r="E2350" s="407" t="e">
        <v>#N/A</v>
      </c>
      <c r="F2350" s="407" t="e">
        <v>#N/A</v>
      </c>
      <c r="G2350" s="407" t="e">
        <v>#N/A</v>
      </c>
      <c r="H2350" s="460" t="e">
        <v>#N/A</v>
      </c>
      <c r="I2350" s="460" t="e">
        <v>#N/A</v>
      </c>
      <c r="J2350" s="460" t="e">
        <v>#N/A</v>
      </c>
      <c r="K2350" s="460" t="e">
        <v>#N/A</v>
      </c>
      <c r="L2350" s="459" t="e">
        <v>#N/A</v>
      </c>
      <c r="O2350" t="e">
        <v>#N/A</v>
      </c>
      <c r="P2350" t="e">
        <v>#N/A</v>
      </c>
    </row>
    <row r="2351" spans="1:16" ht="14.4" x14ac:dyDescent="0.3">
      <c r="A2351">
        <v>465397</v>
      </c>
      <c r="B2351" t="e">
        <f t="shared" si="72"/>
        <v>#N/A</v>
      </c>
      <c r="C2351" s="185" t="e">
        <f t="shared" si="73"/>
        <v>#N/A</v>
      </c>
      <c r="D2351" s="407" t="e">
        <v>#N/A</v>
      </c>
      <c r="E2351" s="407" t="e">
        <v>#N/A</v>
      </c>
      <c r="F2351" s="407" t="e">
        <v>#N/A</v>
      </c>
      <c r="G2351" s="407" t="e">
        <v>#N/A</v>
      </c>
      <c r="H2351" s="460" t="e">
        <v>#N/A</v>
      </c>
      <c r="I2351" s="460" t="e">
        <v>#N/A</v>
      </c>
      <c r="J2351" s="460" t="e">
        <v>#N/A</v>
      </c>
      <c r="K2351" s="460" t="e">
        <v>#N/A</v>
      </c>
      <c r="L2351" s="459" t="e">
        <v>#N/A</v>
      </c>
      <c r="O2351" t="e">
        <v>#N/A</v>
      </c>
      <c r="P2351" t="e">
        <v>#N/A</v>
      </c>
    </row>
    <row r="2352" spans="1:16" ht="14.4" x14ac:dyDescent="0.3">
      <c r="A2352">
        <v>465398</v>
      </c>
      <c r="B2352" t="e">
        <f t="shared" si="72"/>
        <v>#N/A</v>
      </c>
      <c r="C2352" s="185" t="e">
        <f t="shared" si="73"/>
        <v>#N/A</v>
      </c>
      <c r="D2352" s="407" t="e">
        <v>#N/A</v>
      </c>
      <c r="E2352" s="407" t="e">
        <v>#N/A</v>
      </c>
      <c r="F2352" s="407" t="e">
        <v>#N/A</v>
      </c>
      <c r="G2352" s="407" t="e">
        <v>#N/A</v>
      </c>
      <c r="H2352" s="460" t="e">
        <v>#N/A</v>
      </c>
      <c r="I2352" s="460" t="e">
        <v>#N/A</v>
      </c>
      <c r="J2352" s="460" t="e">
        <v>#N/A</v>
      </c>
      <c r="K2352" s="460" t="e">
        <v>#N/A</v>
      </c>
      <c r="L2352" s="459" t="e">
        <v>#N/A</v>
      </c>
      <c r="O2352" t="e">
        <v>#N/A</v>
      </c>
      <c r="P2352" t="e">
        <v>#N/A</v>
      </c>
    </row>
    <row r="2353" spans="1:16" ht="14.4" x14ac:dyDescent="0.3">
      <c r="A2353">
        <v>210565</v>
      </c>
      <c r="B2353" t="e">
        <f t="shared" si="72"/>
        <v>#N/A</v>
      </c>
      <c r="C2353" s="185" t="e">
        <f t="shared" si="73"/>
        <v>#N/A</v>
      </c>
      <c r="D2353" s="407" t="e">
        <v>#N/A</v>
      </c>
      <c r="E2353" s="407" t="e">
        <v>#N/A</v>
      </c>
      <c r="F2353" s="407" t="e">
        <v>#N/A</v>
      </c>
      <c r="G2353" s="407" t="e">
        <v>#N/A</v>
      </c>
      <c r="H2353" s="460" t="e">
        <v>#N/A</v>
      </c>
      <c r="I2353" s="460" t="e">
        <v>#N/A</v>
      </c>
      <c r="J2353" s="460" t="e">
        <v>#N/A</v>
      </c>
      <c r="K2353" s="460" t="e">
        <v>#N/A</v>
      </c>
      <c r="L2353" s="459" t="e">
        <v>#N/A</v>
      </c>
      <c r="O2353" t="e">
        <v>#N/A</v>
      </c>
      <c r="P2353" t="e">
        <v>#N/A</v>
      </c>
    </row>
    <row r="2354" spans="1:16" ht="14.4" x14ac:dyDescent="0.3">
      <c r="A2354">
        <v>210594</v>
      </c>
      <c r="B2354" t="str">
        <f t="shared" si="72"/>
        <v>S-S06-dolny profil prowadzący 2m alu</v>
      </c>
      <c r="C2354" s="185" t="e">
        <f t="shared" si="73"/>
        <v>#N/A</v>
      </c>
      <c r="D2354" s="407" t="s">
        <v>8580</v>
      </c>
      <c r="E2354" s="407" t="s">
        <v>8581</v>
      </c>
      <c r="F2354" s="407" t="s">
        <v>8582</v>
      </c>
      <c r="G2354" s="407" t="s">
        <v>8583</v>
      </c>
      <c r="H2354" s="460" t="e">
        <v>#N/A</v>
      </c>
      <c r="I2354" s="460" t="e">
        <v>#N/A</v>
      </c>
      <c r="J2354" s="460" t="e">
        <v>#N/A</v>
      </c>
      <c r="K2354" s="460" t="e">
        <v>#N/A</v>
      </c>
      <c r="L2354" s="459" t="e">
        <v>#N/A</v>
      </c>
      <c r="O2354">
        <v>0</v>
      </c>
      <c r="P2354" t="s">
        <v>10254</v>
      </c>
    </row>
    <row r="2355" spans="1:16" ht="14.4" x14ac:dyDescent="0.3">
      <c r="A2355">
        <v>210595</v>
      </c>
      <c r="B2355" t="str">
        <f t="shared" si="72"/>
        <v>S-S06 dolny profil prowadzący 3,5m srebrny</v>
      </c>
      <c r="C2355" s="185" t="e">
        <f t="shared" si="73"/>
        <v>#N/A</v>
      </c>
      <c r="D2355" s="407" t="s">
        <v>8584</v>
      </c>
      <c r="E2355" s="407" t="s">
        <v>8585</v>
      </c>
      <c r="F2355" s="407" t="s">
        <v>8586</v>
      </c>
      <c r="G2355" s="407" t="s">
        <v>8587</v>
      </c>
      <c r="H2355" s="460" t="e">
        <v>#N/A</v>
      </c>
      <c r="I2355" s="460" t="e">
        <v>#N/A</v>
      </c>
      <c r="J2355" s="460" t="e">
        <v>#N/A</v>
      </c>
      <c r="K2355" s="460" t="e">
        <v>#N/A</v>
      </c>
      <c r="L2355" s="459" t="e">
        <v>#N/A</v>
      </c>
      <c r="O2355">
        <v>0</v>
      </c>
      <c r="P2355" t="s">
        <v>10255</v>
      </c>
    </row>
    <row r="2356" spans="1:16" ht="14.4" x14ac:dyDescent="0.3">
      <c r="A2356">
        <v>89036</v>
      </c>
      <c r="B2356" t="str">
        <f t="shared" si="72"/>
        <v>SEVROLL ZR10 zestaw do drzwi rozwieranych</v>
      </c>
      <c r="C2356" s="185">
        <f t="shared" si="73"/>
        <v>72.572999999999993</v>
      </c>
      <c r="D2356" s="407" t="s">
        <v>1701</v>
      </c>
      <c r="E2356" s="407" t="s">
        <v>2133</v>
      </c>
      <c r="F2356" s="407" t="s">
        <v>2303</v>
      </c>
      <c r="G2356" s="407" t="s">
        <v>2609</v>
      </c>
      <c r="H2356" s="460">
        <v>578.99838</v>
      </c>
      <c r="I2356" s="460">
        <v>20.818079999999998</v>
      </c>
      <c r="J2356" s="460">
        <v>72.572999999999993</v>
      </c>
      <c r="K2356" s="460">
        <v>8012.5811299999996</v>
      </c>
      <c r="L2356" s="459" t="s">
        <v>539</v>
      </c>
      <c r="O2356">
        <v>19.492000000000001</v>
      </c>
      <c r="P2356" t="s">
        <v>10256</v>
      </c>
    </row>
    <row r="2357" spans="1:16" ht="14.4" x14ac:dyDescent="0.3">
      <c r="A2357">
        <v>86277</v>
      </c>
      <c r="B2357" t="str">
        <f t="shared" si="72"/>
        <v>S-S05 górny profil prowadzący 2m srebrny</v>
      </c>
      <c r="C2357" s="185" t="e">
        <f t="shared" si="73"/>
        <v>#N/A</v>
      </c>
      <c r="D2357" s="407" t="s">
        <v>8588</v>
      </c>
      <c r="E2357" s="407" t="s">
        <v>8589</v>
      </c>
      <c r="F2357" s="407" t="s">
        <v>8590</v>
      </c>
      <c r="G2357" s="407" t="s">
        <v>8591</v>
      </c>
      <c r="H2357" s="460" t="e">
        <v>#N/A</v>
      </c>
      <c r="I2357" s="460" t="e">
        <v>#N/A</v>
      </c>
      <c r="J2357" s="460" t="e">
        <v>#N/A</v>
      </c>
      <c r="K2357" s="460" t="e">
        <v>#N/A</v>
      </c>
      <c r="L2357" s="459" t="e">
        <v>#N/A</v>
      </c>
      <c r="O2357">
        <v>0</v>
      </c>
      <c r="P2357" t="s">
        <v>10257</v>
      </c>
    </row>
    <row r="2358" spans="1:16" ht="14.4" x14ac:dyDescent="0.3">
      <c r="A2358">
        <v>86280</v>
      </c>
      <c r="B2358" t="str">
        <f t="shared" si="72"/>
        <v>S-S05 górny profil prowadzący 2,5m srebrny</v>
      </c>
      <c r="C2358" s="185" t="e">
        <f t="shared" si="73"/>
        <v>#N/A</v>
      </c>
      <c r="D2358" s="407" t="s">
        <v>8592</v>
      </c>
      <c r="E2358" s="407" t="s">
        <v>8593</v>
      </c>
      <c r="F2358" s="407" t="s">
        <v>8594</v>
      </c>
      <c r="G2358" s="407" t="s">
        <v>8595</v>
      </c>
      <c r="H2358" s="460" t="e">
        <v>#N/A</v>
      </c>
      <c r="I2358" s="460" t="e">
        <v>#N/A</v>
      </c>
      <c r="J2358" s="460" t="e">
        <v>#N/A</v>
      </c>
      <c r="K2358" s="460" t="e">
        <v>#N/A</v>
      </c>
      <c r="L2358" s="459" t="e">
        <v>#N/A</v>
      </c>
      <c r="O2358">
        <v>0</v>
      </c>
      <c r="P2358" t="s">
        <v>10258</v>
      </c>
    </row>
    <row r="2359" spans="1:16" ht="14.4" x14ac:dyDescent="0.3">
      <c r="A2359">
        <v>86281</v>
      </c>
      <c r="B2359" t="str">
        <f t="shared" si="72"/>
        <v>S-S05 górny profil prowadzący 3m srebrny</v>
      </c>
      <c r="C2359" s="185">
        <f t="shared" si="73"/>
        <v>188.49064999999999</v>
      </c>
      <c r="D2359" s="407" t="s">
        <v>8596</v>
      </c>
      <c r="E2359" s="407" t="s">
        <v>8597</v>
      </c>
      <c r="F2359" s="407" t="s">
        <v>8598</v>
      </c>
      <c r="G2359" s="407" t="s">
        <v>8599</v>
      </c>
      <c r="H2359" s="460">
        <v>1001.07</v>
      </c>
      <c r="I2359" s="460">
        <v>44.059249999999999</v>
      </c>
      <c r="J2359" s="460">
        <v>188.49064999999999</v>
      </c>
      <c r="K2359" s="460" t="e">
        <v>#N/A</v>
      </c>
      <c r="L2359" s="459" t="s">
        <v>537</v>
      </c>
      <c r="O2359">
        <v>0</v>
      </c>
      <c r="P2359" t="s">
        <v>10259</v>
      </c>
    </row>
    <row r="2360" spans="1:16" ht="14.4" x14ac:dyDescent="0.3">
      <c r="A2360">
        <v>86284</v>
      </c>
      <c r="B2360" t="str">
        <f t="shared" si="72"/>
        <v>S-S06N dolny profil prowadzący 2m srebrny</v>
      </c>
      <c r="C2360" s="185">
        <f t="shared" si="73"/>
        <v>54.803440000000002</v>
      </c>
      <c r="D2360" s="407" t="s">
        <v>8600</v>
      </c>
      <c r="E2360" s="407" t="s">
        <v>8601</v>
      </c>
      <c r="F2360" s="407" t="s">
        <v>8602</v>
      </c>
      <c r="G2360" s="407" t="s">
        <v>8603</v>
      </c>
      <c r="H2360" s="460">
        <v>387.36707000000001</v>
      </c>
      <c r="I2360" s="460">
        <v>14.77941</v>
      </c>
      <c r="J2360" s="460">
        <v>54.803440000000002</v>
      </c>
      <c r="K2360" s="460" t="e">
        <v>#N/A</v>
      </c>
      <c r="L2360" s="459" t="s">
        <v>537</v>
      </c>
      <c r="O2360">
        <v>15.005929999999999</v>
      </c>
      <c r="P2360" t="s">
        <v>10260</v>
      </c>
    </row>
    <row r="2361" spans="1:16" ht="14.4" x14ac:dyDescent="0.3">
      <c r="A2361">
        <v>86285</v>
      </c>
      <c r="B2361" t="str">
        <f t="shared" si="72"/>
        <v>S-S06 dolny profil prowadzący 2,5m srebrny</v>
      </c>
      <c r="C2361" s="185" t="e">
        <f t="shared" si="73"/>
        <v>#N/A</v>
      </c>
      <c r="D2361" s="407" t="s">
        <v>8604</v>
      </c>
      <c r="E2361" s="407" t="s">
        <v>8605</v>
      </c>
      <c r="F2361" s="407" t="s">
        <v>8606</v>
      </c>
      <c r="G2361" s="407" t="s">
        <v>8607</v>
      </c>
      <c r="H2361" s="460" t="e">
        <v>#N/A</v>
      </c>
      <c r="I2361" s="460" t="e">
        <v>#N/A</v>
      </c>
      <c r="J2361" s="460" t="e">
        <v>#N/A</v>
      </c>
      <c r="K2361" s="460" t="e">
        <v>#N/A</v>
      </c>
      <c r="L2361" s="459" t="e">
        <v>#N/A</v>
      </c>
      <c r="O2361">
        <v>0</v>
      </c>
      <c r="P2361" t="s">
        <v>10261</v>
      </c>
    </row>
    <row r="2362" spans="1:16" ht="14.4" x14ac:dyDescent="0.3">
      <c r="A2362">
        <v>86288</v>
      </c>
      <c r="B2362" t="str">
        <f t="shared" si="72"/>
        <v>S-S06 dolny profil prowadzący alu 4m</v>
      </c>
      <c r="C2362" s="185" t="e">
        <f t="shared" si="73"/>
        <v>#N/A</v>
      </c>
      <c r="D2362" s="407" t="s">
        <v>8608</v>
      </c>
      <c r="E2362" s="407" t="s">
        <v>8609</v>
      </c>
      <c r="F2362" s="407" t="s">
        <v>8610</v>
      </c>
      <c r="G2362" s="407" t="s">
        <v>8611</v>
      </c>
      <c r="H2362" s="460" t="e">
        <v>#N/A</v>
      </c>
      <c r="I2362" s="460" t="e">
        <v>#N/A</v>
      </c>
      <c r="J2362" s="460" t="e">
        <v>#N/A</v>
      </c>
      <c r="K2362" s="460" t="e">
        <v>#N/A</v>
      </c>
      <c r="L2362" s="459" t="e">
        <v>#N/A</v>
      </c>
      <c r="O2362">
        <v>0</v>
      </c>
      <c r="P2362" t="s">
        <v>10262</v>
      </c>
    </row>
    <row r="2363" spans="1:16" ht="14.4" x14ac:dyDescent="0.3">
      <c r="A2363">
        <v>86276</v>
      </c>
      <c r="B2363" t="str">
        <f t="shared" si="72"/>
        <v>S-S10 profil uchwytowy + profl maskujący alu 2,7m</v>
      </c>
      <c r="C2363" s="185" t="e">
        <f t="shared" si="73"/>
        <v>#N/A</v>
      </c>
      <c r="D2363" s="407" t="s">
        <v>8612</v>
      </c>
      <c r="E2363" s="407" t="s">
        <v>8613</v>
      </c>
      <c r="F2363" s="407" t="s">
        <v>8612</v>
      </c>
      <c r="G2363" s="407" t="s">
        <v>8614</v>
      </c>
      <c r="H2363" s="460" t="e">
        <v>#N/A</v>
      </c>
      <c r="I2363" s="460" t="e">
        <v>#N/A</v>
      </c>
      <c r="J2363" s="460" t="e">
        <v>#N/A</v>
      </c>
      <c r="K2363" s="460" t="e">
        <v>#N/A</v>
      </c>
      <c r="L2363" s="459" t="e">
        <v>#N/A</v>
      </c>
      <c r="O2363">
        <v>25.860050000000001</v>
      </c>
      <c r="P2363" t="s">
        <v>10263</v>
      </c>
    </row>
    <row r="2364" spans="1:16" ht="14.4" x14ac:dyDescent="0.3">
      <c r="A2364">
        <v>86289</v>
      </c>
      <c r="B2364" t="str">
        <f t="shared" si="72"/>
        <v>S-S65 górny i środkowy profil 4/18mm 2m srebrny</v>
      </c>
      <c r="C2364" s="185" t="e">
        <f t="shared" si="73"/>
        <v>#N/A</v>
      </c>
      <c r="D2364" s="407" t="s">
        <v>8615</v>
      </c>
      <c r="E2364" s="407" t="s">
        <v>8616</v>
      </c>
      <c r="F2364" s="407" t="s">
        <v>8617</v>
      </c>
      <c r="G2364" s="407" t="s">
        <v>8618</v>
      </c>
      <c r="H2364" s="460" t="e">
        <v>#N/A</v>
      </c>
      <c r="I2364" s="460" t="e">
        <v>#N/A</v>
      </c>
      <c r="J2364" s="460" t="e">
        <v>#N/A</v>
      </c>
      <c r="K2364" s="460" t="e">
        <v>#N/A</v>
      </c>
      <c r="L2364" s="459" t="e">
        <v>#N/A</v>
      </c>
      <c r="O2364">
        <v>19.231249999999999</v>
      </c>
      <c r="P2364" t="s">
        <v>10264</v>
      </c>
    </row>
    <row r="2365" spans="1:16" ht="14.4" x14ac:dyDescent="0.3">
      <c r="A2365">
        <v>86290</v>
      </c>
      <c r="B2365" t="str">
        <f t="shared" si="72"/>
        <v>S-S65 górny i środkowy profil 4/18mm 3m srebrny</v>
      </c>
      <c r="C2365" s="185">
        <f t="shared" si="73"/>
        <v>89.678370000000001</v>
      </c>
      <c r="D2365" s="407" t="s">
        <v>8619</v>
      </c>
      <c r="E2365" s="407" t="s">
        <v>8620</v>
      </c>
      <c r="F2365" s="407" t="s">
        <v>8621</v>
      </c>
      <c r="G2365" s="407" t="s">
        <v>8622</v>
      </c>
      <c r="H2365" s="460">
        <v>476.28</v>
      </c>
      <c r="I2365" s="460">
        <v>20.327470000000002</v>
      </c>
      <c r="J2365" s="460">
        <v>89.678370000000001</v>
      </c>
      <c r="K2365" s="460" t="e">
        <v>#N/A</v>
      </c>
      <c r="L2365" s="459" t="s">
        <v>537</v>
      </c>
      <c r="O2365">
        <v>0</v>
      </c>
      <c r="P2365" t="s">
        <v>10265</v>
      </c>
    </row>
    <row r="2366" spans="1:16" ht="14.4" x14ac:dyDescent="0.3">
      <c r="A2366">
        <v>86291</v>
      </c>
      <c r="B2366" t="str">
        <f t="shared" si="72"/>
        <v>S-S65 dolny profil 4/18mm 2m srebrny</v>
      </c>
      <c r="C2366" s="185" t="e">
        <f t="shared" si="73"/>
        <v>#N/A</v>
      </c>
      <c r="D2366" s="407" t="s">
        <v>8623</v>
      </c>
      <c r="E2366" s="407" t="s">
        <v>8624</v>
      </c>
      <c r="F2366" s="407" t="s">
        <v>8625</v>
      </c>
      <c r="G2366" s="407" t="s">
        <v>8626</v>
      </c>
      <c r="H2366" s="460" t="e">
        <v>#N/A</v>
      </c>
      <c r="I2366" s="460" t="e">
        <v>#N/A</v>
      </c>
      <c r="J2366" s="460" t="e">
        <v>#N/A</v>
      </c>
      <c r="K2366" s="460" t="e">
        <v>#N/A</v>
      </c>
      <c r="L2366" s="459" t="e">
        <v>#N/A</v>
      </c>
      <c r="O2366">
        <v>27.099139999999998</v>
      </c>
      <c r="P2366" t="s">
        <v>10266</v>
      </c>
    </row>
    <row r="2367" spans="1:16" ht="14.4" x14ac:dyDescent="0.3">
      <c r="A2367">
        <v>86292</v>
      </c>
      <c r="B2367" t="str">
        <f t="shared" si="72"/>
        <v>S-S65 dolny profil 4/18mm 3m srebrny</v>
      </c>
      <c r="C2367" s="185">
        <f t="shared" si="73"/>
        <v>187.66030000000001</v>
      </c>
      <c r="D2367" s="407" t="s">
        <v>8627</v>
      </c>
      <c r="E2367" s="407" t="s">
        <v>8628</v>
      </c>
      <c r="F2367" s="407" t="s">
        <v>8629</v>
      </c>
      <c r="G2367" s="407" t="s">
        <v>8630</v>
      </c>
      <c r="H2367" s="460">
        <v>996.66</v>
      </c>
      <c r="I2367" s="460">
        <v>42.537120000000002</v>
      </c>
      <c r="J2367" s="460">
        <v>187.66030000000001</v>
      </c>
      <c r="K2367" s="460" t="e">
        <v>#N/A</v>
      </c>
      <c r="L2367" s="459" t="s">
        <v>537</v>
      </c>
      <c r="O2367">
        <v>0</v>
      </c>
      <c r="P2367" t="s">
        <v>10267</v>
      </c>
    </row>
    <row r="2368" spans="1:16" ht="14.4" x14ac:dyDescent="0.3">
      <c r="A2368">
        <v>86299</v>
      </c>
      <c r="B2368" t="str">
        <f t="shared" si="72"/>
        <v>S-komplet okuć  S60</v>
      </c>
      <c r="C2368" s="185" t="e">
        <f t="shared" si="73"/>
        <v>#N/A</v>
      </c>
      <c r="D2368" s="407" t="s">
        <v>8631</v>
      </c>
      <c r="E2368" s="407" t="s">
        <v>8632</v>
      </c>
      <c r="F2368" s="407" t="s">
        <v>8633</v>
      </c>
      <c r="G2368" s="407" t="s">
        <v>8634</v>
      </c>
      <c r="H2368" s="460" t="e">
        <v>#N/A</v>
      </c>
      <c r="I2368" s="460" t="e">
        <v>#N/A</v>
      </c>
      <c r="J2368" s="460" t="e">
        <v>#N/A</v>
      </c>
      <c r="K2368" s="460" t="e">
        <v>#N/A</v>
      </c>
      <c r="L2368" s="459" t="e">
        <v>#N/A</v>
      </c>
      <c r="O2368">
        <v>9.2659599999999998</v>
      </c>
      <c r="P2368" t="s">
        <v>10268</v>
      </c>
    </row>
    <row r="2369" spans="1:16" ht="14.4" x14ac:dyDescent="0.3">
      <c r="A2369">
        <v>181372</v>
      </c>
      <c r="B2369" t="str">
        <f t="shared" si="72"/>
        <v>S-S06N profl maskujący alu 2,5m</v>
      </c>
      <c r="C2369" s="185" t="e">
        <f t="shared" si="73"/>
        <v>#N/A</v>
      </c>
      <c r="D2369" s="407" t="s">
        <v>8635</v>
      </c>
      <c r="E2369" s="407" t="s">
        <v>8636</v>
      </c>
      <c r="F2369" s="407" t="s">
        <v>8637</v>
      </c>
      <c r="G2369" s="407" t="s">
        <v>8638</v>
      </c>
      <c r="H2369" s="460" t="e">
        <v>#N/A</v>
      </c>
      <c r="I2369" s="460" t="e">
        <v>#N/A</v>
      </c>
      <c r="J2369" s="460" t="e">
        <v>#N/A</v>
      </c>
      <c r="K2369" s="460" t="e">
        <v>#N/A</v>
      </c>
      <c r="L2369" s="459" t="e">
        <v>#N/A</v>
      </c>
      <c r="O2369">
        <v>0</v>
      </c>
      <c r="P2369" t="s">
        <v>10269</v>
      </c>
    </row>
    <row r="2370" spans="1:16" ht="14.4" x14ac:dyDescent="0.3">
      <c r="A2370">
        <v>181374</v>
      </c>
      <c r="B2370" t="str">
        <f t="shared" si="72"/>
        <v>S-S65 dolny profil 4/18mm 3,5m srebrny</v>
      </c>
      <c r="C2370" s="185" t="e">
        <f t="shared" si="73"/>
        <v>#N/A</v>
      </c>
      <c r="D2370" s="407" t="s">
        <v>8639</v>
      </c>
      <c r="E2370" s="407" t="s">
        <v>8640</v>
      </c>
      <c r="F2370" s="407" t="s">
        <v>8641</v>
      </c>
      <c r="G2370" s="407" t="s">
        <v>8642</v>
      </c>
      <c r="H2370" s="460" t="e">
        <v>#N/A</v>
      </c>
      <c r="I2370" s="460" t="e">
        <v>#N/A</v>
      </c>
      <c r="J2370" s="460" t="e">
        <v>#N/A</v>
      </c>
      <c r="K2370" s="460" t="e">
        <v>#N/A</v>
      </c>
      <c r="L2370" s="459" t="e">
        <v>#N/A</v>
      </c>
      <c r="O2370">
        <v>0</v>
      </c>
      <c r="P2370" t="s">
        <v>10270</v>
      </c>
    </row>
    <row r="2371" spans="1:16" ht="14.4" x14ac:dyDescent="0.3">
      <c r="A2371">
        <v>183483</v>
      </c>
      <c r="B2371" t="str">
        <f t="shared" si="72"/>
        <v>S-S06NN dolny profil prowadzący alu 3,5m</v>
      </c>
      <c r="C2371" s="185" t="e">
        <f t="shared" si="73"/>
        <v>#N/A</v>
      </c>
      <c r="D2371" s="407" t="s">
        <v>8643</v>
      </c>
      <c r="E2371" s="407" t="s">
        <v>8644</v>
      </c>
      <c r="F2371" s="407" t="s">
        <v>8645</v>
      </c>
      <c r="G2371" s="407" t="s">
        <v>8646</v>
      </c>
      <c r="H2371" s="460" t="e">
        <v>#N/A</v>
      </c>
      <c r="I2371" s="460" t="e">
        <v>#N/A</v>
      </c>
      <c r="J2371" s="460" t="e">
        <v>#N/A</v>
      </c>
      <c r="K2371" s="460" t="e">
        <v>#N/A</v>
      </c>
      <c r="L2371" s="459" t="e">
        <v>#N/A</v>
      </c>
      <c r="O2371">
        <v>0</v>
      </c>
      <c r="P2371" t="s">
        <v>10271</v>
      </c>
    </row>
    <row r="2372" spans="1:16" ht="14.4" x14ac:dyDescent="0.3">
      <c r="A2372">
        <v>183533</v>
      </c>
      <c r="B2372" t="str">
        <f t="shared" ref="B2372:B2435" si="74">IF($A$2=1,D2372,IF($A$2=2,F2372,IF($A$2=3,G2372,IF($A$2=4,E2372,IF($A$2&gt;4,P2372,"zadat jazyk")))))</f>
        <v>S-S06N profl maskujący 3,5m srebrny elox</v>
      </c>
      <c r="C2372" s="185" t="e">
        <f t="shared" ref="C2372:C2435" si="75">IF($A$2=1,H2372,IF($A$2=2,I2372,IF($A$2=3,J2372,IF($A$2=4,K2372,IF($A$2&gt;4,O2372,"zadat jazyk")))))</f>
        <v>#N/A</v>
      </c>
      <c r="D2372" s="407" t="s">
        <v>8101</v>
      </c>
      <c r="E2372" s="407" t="s">
        <v>8102</v>
      </c>
      <c r="F2372" s="407" t="s">
        <v>8647</v>
      </c>
      <c r="G2372" s="407" t="s">
        <v>8104</v>
      </c>
      <c r="H2372" s="460" t="e">
        <v>#N/A</v>
      </c>
      <c r="I2372" s="460" t="e">
        <v>#N/A</v>
      </c>
      <c r="J2372" s="460" t="e">
        <v>#N/A</v>
      </c>
      <c r="K2372" s="460" t="e">
        <v>#N/A</v>
      </c>
      <c r="L2372" s="459" t="e">
        <v>#N/A</v>
      </c>
      <c r="O2372">
        <v>0</v>
      </c>
      <c r="P2372" t="s">
        <v>10042</v>
      </c>
    </row>
    <row r="2373" spans="1:16" ht="14.4" x14ac:dyDescent="0.3">
      <c r="A2373">
        <v>183643</v>
      </c>
      <c r="B2373" t="str">
        <f t="shared" si="74"/>
        <v>S-S65 górny i środkowy profil 3,5m srebrny</v>
      </c>
      <c r="C2373" s="185" t="e">
        <f t="shared" si="75"/>
        <v>#N/A</v>
      </c>
      <c r="D2373" s="407" t="s">
        <v>8648</v>
      </c>
      <c r="E2373" s="407" t="s">
        <v>8649</v>
      </c>
      <c r="F2373" s="407" t="s">
        <v>8650</v>
      </c>
      <c r="G2373" s="407" t="s">
        <v>8651</v>
      </c>
      <c r="H2373" s="460" t="e">
        <v>#N/A</v>
      </c>
      <c r="I2373" s="460" t="e">
        <v>#N/A</v>
      </c>
      <c r="J2373" s="460" t="e">
        <v>#N/A</v>
      </c>
      <c r="K2373" s="460" t="e">
        <v>#N/A</v>
      </c>
      <c r="L2373" s="459" t="e">
        <v>#N/A</v>
      </c>
      <c r="O2373">
        <v>0</v>
      </c>
      <c r="P2373" t="s">
        <v>10272</v>
      </c>
    </row>
    <row r="2374" spans="1:16" ht="14.4" x14ac:dyDescent="0.3">
      <c r="A2374">
        <v>183720</v>
      </c>
      <c r="B2374" t="str">
        <f t="shared" si="74"/>
        <v>S-S65-dolny profil 4/18mm 3,5m srebrny</v>
      </c>
      <c r="C2374" s="185" t="e">
        <f t="shared" si="75"/>
        <v>#N/A</v>
      </c>
      <c r="D2374" s="407" t="s">
        <v>8652</v>
      </c>
      <c r="E2374" s="407" t="s">
        <v>8653</v>
      </c>
      <c r="F2374" s="407" t="s">
        <v>8654</v>
      </c>
      <c r="G2374" s="407" t="s">
        <v>8655</v>
      </c>
      <c r="H2374" s="460" t="e">
        <v>#N/A</v>
      </c>
      <c r="I2374" s="460" t="e">
        <v>#N/A</v>
      </c>
      <c r="J2374" s="460" t="e">
        <v>#N/A</v>
      </c>
      <c r="K2374" s="460" t="e">
        <v>#N/A</v>
      </c>
      <c r="L2374" s="459" t="e">
        <v>#N/A</v>
      </c>
      <c r="O2374">
        <v>0</v>
      </c>
      <c r="P2374" t="s">
        <v>10273</v>
      </c>
    </row>
    <row r="2375" spans="1:16" ht="14.4" x14ac:dyDescent="0.3">
      <c r="A2375">
        <v>231537</v>
      </c>
      <c r="B2375" t="e">
        <f t="shared" si="74"/>
        <v>#N/A</v>
      </c>
      <c r="C2375" s="185" t="e">
        <f t="shared" si="75"/>
        <v>#N/A</v>
      </c>
      <c r="D2375" s="407" t="e">
        <v>#N/A</v>
      </c>
      <c r="E2375" s="407" t="e">
        <v>#N/A</v>
      </c>
      <c r="F2375" s="407" t="e">
        <v>#N/A</v>
      </c>
      <c r="G2375" s="407" t="e">
        <v>#N/A</v>
      </c>
      <c r="H2375" s="460" t="e">
        <v>#N/A</v>
      </c>
      <c r="I2375" s="460" t="e">
        <v>#N/A</v>
      </c>
      <c r="J2375" s="460" t="e">
        <v>#N/A</v>
      </c>
      <c r="K2375" s="460" t="e">
        <v>#N/A</v>
      </c>
      <c r="L2375" s="459" t="e">
        <v>#N/A</v>
      </c>
      <c r="O2375" t="e">
        <v>#N/A</v>
      </c>
      <c r="P2375" t="e">
        <v>#N/A</v>
      </c>
    </row>
    <row r="2376" spans="1:16" ht="14.4" x14ac:dyDescent="0.3">
      <c r="A2376">
        <v>231606</v>
      </c>
      <c r="B2376" t="e">
        <f t="shared" si="74"/>
        <v>#N/A</v>
      </c>
      <c r="C2376" s="185" t="e">
        <f t="shared" si="75"/>
        <v>#N/A</v>
      </c>
      <c r="D2376" s="407" t="e">
        <v>#N/A</v>
      </c>
      <c r="E2376" s="407" t="e">
        <v>#N/A</v>
      </c>
      <c r="F2376" s="407" t="e">
        <v>#N/A</v>
      </c>
      <c r="G2376" s="407" t="e">
        <v>#N/A</v>
      </c>
      <c r="H2376" s="460" t="e">
        <v>#N/A</v>
      </c>
      <c r="I2376" s="460" t="e">
        <v>#N/A</v>
      </c>
      <c r="J2376" s="460" t="e">
        <v>#N/A</v>
      </c>
      <c r="K2376" s="460" t="e">
        <v>#N/A</v>
      </c>
      <c r="L2376" s="459" t="e">
        <v>#N/A</v>
      </c>
      <c r="O2376" t="e">
        <v>#N/A</v>
      </c>
      <c r="P2376" t="e">
        <v>#N/A</v>
      </c>
    </row>
    <row r="2377" spans="1:16" ht="14.4" x14ac:dyDescent="0.3">
      <c r="A2377">
        <v>231735</v>
      </c>
      <c r="B2377" t="e">
        <f t="shared" si="74"/>
        <v>#N/A</v>
      </c>
      <c r="C2377" s="185" t="e">
        <f t="shared" si="75"/>
        <v>#N/A</v>
      </c>
      <c r="D2377" s="407" t="e">
        <v>#N/A</v>
      </c>
      <c r="E2377" s="407" t="e">
        <v>#N/A</v>
      </c>
      <c r="F2377" s="407" t="e">
        <v>#N/A</v>
      </c>
      <c r="G2377" s="407" t="e">
        <v>#N/A</v>
      </c>
      <c r="H2377" s="460" t="e">
        <v>#N/A</v>
      </c>
      <c r="I2377" s="460" t="e">
        <v>#N/A</v>
      </c>
      <c r="J2377" s="460" t="e">
        <v>#N/A</v>
      </c>
      <c r="K2377" s="460" t="e">
        <v>#N/A</v>
      </c>
      <c r="L2377" s="459" t="e">
        <v>#N/A</v>
      </c>
      <c r="O2377" t="e">
        <v>#N/A</v>
      </c>
      <c r="P2377" t="e">
        <v>#N/A</v>
      </c>
    </row>
    <row r="2378" spans="1:16" ht="14.4" x14ac:dyDescent="0.3">
      <c r="A2378">
        <v>231738</v>
      </c>
      <c r="B2378" t="e">
        <f t="shared" si="74"/>
        <v>#N/A</v>
      </c>
      <c r="C2378" s="185" t="e">
        <f t="shared" si="75"/>
        <v>#N/A</v>
      </c>
      <c r="D2378" s="407" t="e">
        <v>#N/A</v>
      </c>
      <c r="E2378" s="407" t="e">
        <v>#N/A</v>
      </c>
      <c r="F2378" s="407" t="e">
        <v>#N/A</v>
      </c>
      <c r="G2378" s="407" t="e">
        <v>#N/A</v>
      </c>
      <c r="H2378" s="460" t="e">
        <v>#N/A</v>
      </c>
      <c r="I2378" s="460" t="e">
        <v>#N/A</v>
      </c>
      <c r="J2378" s="460" t="e">
        <v>#N/A</v>
      </c>
      <c r="K2378" s="460" t="e">
        <v>#N/A</v>
      </c>
      <c r="L2378" s="459" t="e">
        <v>#N/A</v>
      </c>
      <c r="O2378" t="e">
        <v>#N/A</v>
      </c>
      <c r="P2378" t="e">
        <v>#N/A</v>
      </c>
    </row>
    <row r="2379" spans="1:16" ht="14.4" x14ac:dyDescent="0.3">
      <c r="A2379">
        <v>230010</v>
      </c>
      <c r="B2379" t="e">
        <f t="shared" si="74"/>
        <v>#N/A</v>
      </c>
      <c r="C2379" s="185" t="e">
        <f t="shared" si="75"/>
        <v>#N/A</v>
      </c>
      <c r="D2379" s="407" t="e">
        <v>#N/A</v>
      </c>
      <c r="E2379" s="407" t="e">
        <v>#N/A</v>
      </c>
      <c r="F2379" s="407" t="e">
        <v>#N/A</v>
      </c>
      <c r="G2379" s="407" t="e">
        <v>#N/A</v>
      </c>
      <c r="H2379" s="460" t="e">
        <v>#N/A</v>
      </c>
      <c r="I2379" s="460" t="e">
        <v>#N/A</v>
      </c>
      <c r="J2379" s="460" t="e">
        <v>#N/A</v>
      </c>
      <c r="K2379" s="460" t="e">
        <v>#N/A</v>
      </c>
      <c r="L2379" s="459" t="e">
        <v>#N/A</v>
      </c>
      <c r="O2379" t="e">
        <v>#N/A</v>
      </c>
      <c r="P2379" t="e">
        <v>#N/A</v>
      </c>
    </row>
    <row r="2380" spans="1:16" ht="14.4" x14ac:dyDescent="0.3">
      <c r="A2380">
        <v>230011</v>
      </c>
      <c r="B2380" t="e">
        <f t="shared" si="74"/>
        <v>#N/A</v>
      </c>
      <c r="C2380" s="185" t="e">
        <f t="shared" si="75"/>
        <v>#N/A</v>
      </c>
      <c r="D2380" s="407" t="e">
        <v>#N/A</v>
      </c>
      <c r="E2380" s="407" t="e">
        <v>#N/A</v>
      </c>
      <c r="F2380" s="407" t="e">
        <v>#N/A</v>
      </c>
      <c r="G2380" s="407" t="e">
        <v>#N/A</v>
      </c>
      <c r="H2380" s="460" t="e">
        <v>#N/A</v>
      </c>
      <c r="I2380" s="460" t="e">
        <v>#N/A</v>
      </c>
      <c r="J2380" s="460" t="e">
        <v>#N/A</v>
      </c>
      <c r="K2380" s="460" t="e">
        <v>#N/A</v>
      </c>
      <c r="L2380" s="459" t="e">
        <v>#N/A</v>
      </c>
      <c r="O2380" t="e">
        <v>#N/A</v>
      </c>
      <c r="P2380" t="e">
        <v>#N/A</v>
      </c>
    </row>
    <row r="2381" spans="1:16" ht="14.4" x14ac:dyDescent="0.3">
      <c r="A2381">
        <v>230013</v>
      </c>
      <c r="B2381" t="str">
        <f t="shared" si="74"/>
        <v>Domino komplet 3 skrzydła  max. 21mm 50kg</v>
      </c>
      <c r="C2381" s="185" t="e">
        <f t="shared" si="75"/>
        <v>#N/A</v>
      </c>
      <c r="D2381" s="407" t="s">
        <v>8656</v>
      </c>
      <c r="E2381" s="407" t="s">
        <v>8657</v>
      </c>
      <c r="F2381" s="407" t="s">
        <v>8658</v>
      </c>
      <c r="G2381" s="407" t="s">
        <v>8659</v>
      </c>
      <c r="H2381" s="460" t="e">
        <v>#N/A</v>
      </c>
      <c r="I2381" s="460" t="e">
        <v>#N/A</v>
      </c>
      <c r="J2381" s="460" t="e">
        <v>#N/A</v>
      </c>
      <c r="K2381" s="460" t="e">
        <v>#N/A</v>
      </c>
      <c r="L2381" s="459" t="e">
        <v>#N/A</v>
      </c>
      <c r="O2381">
        <v>23.539680000000001</v>
      </c>
      <c r="P2381" t="s">
        <v>10274</v>
      </c>
    </row>
    <row r="2382" spans="1:16" ht="14.4" x14ac:dyDescent="0.3">
      <c r="A2382">
        <v>230037</v>
      </c>
      <c r="B2382" t="str">
        <f t="shared" si="74"/>
        <v>Domino komplet 3 skrzydła  max. 28mm 50kg</v>
      </c>
      <c r="C2382" s="185" t="e">
        <f t="shared" si="75"/>
        <v>#N/A</v>
      </c>
      <c r="D2382" s="407" t="s">
        <v>8660</v>
      </c>
      <c r="E2382" s="407" t="s">
        <v>8661</v>
      </c>
      <c r="F2382" s="407" t="s">
        <v>8662</v>
      </c>
      <c r="G2382" s="407" t="s">
        <v>8663</v>
      </c>
      <c r="H2382" s="460" t="e">
        <v>#N/A</v>
      </c>
      <c r="I2382" s="460" t="e">
        <v>#N/A</v>
      </c>
      <c r="J2382" s="460" t="e">
        <v>#N/A</v>
      </c>
      <c r="K2382" s="460" t="e">
        <v>#N/A</v>
      </c>
      <c r="L2382" s="459" t="e">
        <v>#N/A</v>
      </c>
      <c r="O2382">
        <v>23.919</v>
      </c>
      <c r="P2382" t="s">
        <v>10275</v>
      </c>
    </row>
    <row r="2383" spans="1:16" ht="14.4" x14ac:dyDescent="0.3">
      <c r="A2383">
        <v>230041</v>
      </c>
      <c r="B2383" t="str">
        <f t="shared" si="74"/>
        <v>Domino komplet 2 tłumień 40 Nm</v>
      </c>
      <c r="C2383" s="185" t="e">
        <f t="shared" si="75"/>
        <v>#N/A</v>
      </c>
      <c r="D2383" s="407" t="s">
        <v>8664</v>
      </c>
      <c r="E2383" s="407" t="s">
        <v>8665</v>
      </c>
      <c r="F2383" s="407" t="s">
        <v>8666</v>
      </c>
      <c r="G2383" s="407" t="s">
        <v>8667</v>
      </c>
      <c r="H2383" s="460" t="e">
        <v>#N/A</v>
      </c>
      <c r="I2383" s="460" t="e">
        <v>#N/A</v>
      </c>
      <c r="J2383" s="460" t="e">
        <v>#N/A</v>
      </c>
      <c r="K2383" s="460" t="e">
        <v>#N/A</v>
      </c>
      <c r="L2383" s="459" t="e">
        <v>#N/A</v>
      </c>
      <c r="O2383">
        <v>16.101459999999999</v>
      </c>
      <c r="P2383" t="s">
        <v>10276</v>
      </c>
    </row>
    <row r="2384" spans="1:16" ht="14.4" x14ac:dyDescent="0.3">
      <c r="A2384">
        <v>230043</v>
      </c>
      <c r="B2384" t="e">
        <f t="shared" si="74"/>
        <v>#N/A</v>
      </c>
      <c r="C2384" s="185" t="e">
        <f t="shared" si="75"/>
        <v>#N/A</v>
      </c>
      <c r="D2384" s="407" t="e">
        <v>#N/A</v>
      </c>
      <c r="E2384" s="407" t="e">
        <v>#N/A</v>
      </c>
      <c r="F2384" s="407" t="e">
        <v>#N/A</v>
      </c>
      <c r="G2384" s="407" t="e">
        <v>#N/A</v>
      </c>
      <c r="H2384" s="460" t="e">
        <v>#N/A</v>
      </c>
      <c r="I2384" s="460" t="e">
        <v>#N/A</v>
      </c>
      <c r="J2384" s="460" t="e">
        <v>#N/A</v>
      </c>
      <c r="K2384" s="460" t="e">
        <v>#N/A</v>
      </c>
      <c r="L2384" s="459" t="e">
        <v>#N/A</v>
      </c>
      <c r="O2384" t="e">
        <v>#N/A</v>
      </c>
      <c r="P2384" t="e">
        <v>#N/A</v>
      </c>
    </row>
    <row r="2385" spans="1:16" ht="14.4" x14ac:dyDescent="0.3">
      <c r="A2385">
        <v>230044</v>
      </c>
      <c r="B2385" t="e">
        <f t="shared" si="74"/>
        <v>#N/A</v>
      </c>
      <c r="C2385" s="185" t="e">
        <f t="shared" si="75"/>
        <v>#N/A</v>
      </c>
      <c r="D2385" s="407" t="e">
        <v>#N/A</v>
      </c>
      <c r="E2385" s="407" t="e">
        <v>#N/A</v>
      </c>
      <c r="F2385" s="407" t="e">
        <v>#N/A</v>
      </c>
      <c r="G2385" s="407" t="e">
        <v>#N/A</v>
      </c>
      <c r="H2385" s="460" t="e">
        <v>#N/A</v>
      </c>
      <c r="I2385" s="460" t="e">
        <v>#N/A</v>
      </c>
      <c r="J2385" s="460" t="e">
        <v>#N/A</v>
      </c>
      <c r="K2385" s="460" t="e">
        <v>#N/A</v>
      </c>
      <c r="L2385" s="459" t="e">
        <v>#N/A</v>
      </c>
      <c r="O2385" t="e">
        <v>#N/A</v>
      </c>
      <c r="P2385" t="e">
        <v>#N/A</v>
      </c>
    </row>
    <row r="2386" spans="1:16" ht="14.4" x14ac:dyDescent="0.3">
      <c r="A2386">
        <v>230046</v>
      </c>
      <c r="B2386" t="str">
        <f t="shared" si="74"/>
        <v>Domino tor górny aluminium anodowane 3m</v>
      </c>
      <c r="C2386" s="185">
        <f t="shared" si="75"/>
        <v>87.320570000000004</v>
      </c>
      <c r="D2386" s="407" t="s">
        <v>8668</v>
      </c>
      <c r="E2386" s="407" t="s">
        <v>8669</v>
      </c>
      <c r="F2386" s="407" t="s">
        <v>8670</v>
      </c>
      <c r="G2386" s="407" t="s">
        <v>8671</v>
      </c>
      <c r="H2386" s="460">
        <v>367.61601999999999</v>
      </c>
      <c r="I2386" s="460">
        <v>16.25855</v>
      </c>
      <c r="J2386" s="460">
        <v>87.320570000000004</v>
      </c>
      <c r="K2386" s="460" t="e">
        <v>#N/A</v>
      </c>
      <c r="L2386" s="459" t="s">
        <v>540</v>
      </c>
      <c r="O2386">
        <v>27.037500000000001</v>
      </c>
      <c r="P2386" t="s">
        <v>10277</v>
      </c>
    </row>
    <row r="2387" spans="1:16" ht="14.4" x14ac:dyDescent="0.3">
      <c r="A2387">
        <v>230053</v>
      </c>
      <c r="B2387" t="str">
        <f t="shared" si="74"/>
        <v>Domino tor dolny alu elox 3m</v>
      </c>
      <c r="C2387" s="185" t="e">
        <f t="shared" si="75"/>
        <v>#N/A</v>
      </c>
      <c r="D2387" s="407" t="s">
        <v>8672</v>
      </c>
      <c r="E2387" s="407" t="s">
        <v>8673</v>
      </c>
      <c r="F2387" s="407" t="s">
        <v>8674</v>
      </c>
      <c r="G2387" s="407" t="s">
        <v>8675</v>
      </c>
      <c r="H2387" s="460" t="e">
        <v>#N/A</v>
      </c>
      <c r="I2387" s="460" t="e">
        <v>#N/A</v>
      </c>
      <c r="J2387" s="460" t="e">
        <v>#N/A</v>
      </c>
      <c r="K2387" s="460" t="e">
        <v>#N/A</v>
      </c>
      <c r="L2387" s="459" t="e">
        <v>#N/A</v>
      </c>
      <c r="O2387">
        <v>16.401</v>
      </c>
      <c r="P2387" t="s">
        <v>10278</v>
      </c>
    </row>
    <row r="2388" spans="1:16" ht="14.4" x14ac:dyDescent="0.3">
      <c r="A2388">
        <v>269770</v>
      </c>
      <c r="B2388" t="e">
        <f t="shared" si="74"/>
        <v>#N/A</v>
      </c>
      <c r="C2388" s="185" t="e">
        <f t="shared" si="75"/>
        <v>#N/A</v>
      </c>
      <c r="D2388" s="407" t="e">
        <v>#N/A</v>
      </c>
      <c r="E2388" s="407" t="e">
        <v>#N/A</v>
      </c>
      <c r="F2388" s="407" t="e">
        <v>#N/A</v>
      </c>
      <c r="G2388" s="407" t="e">
        <v>#N/A</v>
      </c>
      <c r="H2388" s="460" t="e">
        <v>#N/A</v>
      </c>
      <c r="I2388" s="460" t="e">
        <v>#N/A</v>
      </c>
      <c r="J2388" s="460" t="e">
        <v>#N/A</v>
      </c>
      <c r="K2388" s="460" t="e">
        <v>#N/A</v>
      </c>
      <c r="L2388" s="459" t="e">
        <v>#N/A</v>
      </c>
      <c r="O2388" t="e">
        <v>#N/A</v>
      </c>
      <c r="P2388" t="e">
        <v>#N/A</v>
      </c>
    </row>
    <row r="2389" spans="1:16" ht="14.4" x14ac:dyDescent="0.3">
      <c r="A2389">
        <v>269805</v>
      </c>
      <c r="B2389" t="e">
        <f t="shared" si="74"/>
        <v>#N/A</v>
      </c>
      <c r="C2389" s="185" t="e">
        <f t="shared" si="75"/>
        <v>#N/A</v>
      </c>
      <c r="D2389" s="407" t="e">
        <v>#N/A</v>
      </c>
      <c r="E2389" s="407" t="e">
        <v>#N/A</v>
      </c>
      <c r="F2389" s="407" t="e">
        <v>#N/A</v>
      </c>
      <c r="G2389" s="407" t="e">
        <v>#N/A</v>
      </c>
      <c r="H2389" s="460" t="e">
        <v>#N/A</v>
      </c>
      <c r="I2389" s="460" t="e">
        <v>#N/A</v>
      </c>
      <c r="J2389" s="460" t="e">
        <v>#N/A</v>
      </c>
      <c r="K2389" s="460" t="e">
        <v>#N/A</v>
      </c>
      <c r="L2389" s="459" t="e">
        <v>#N/A</v>
      </c>
      <c r="O2389" t="e">
        <v>#N/A</v>
      </c>
      <c r="P2389" t="e">
        <v>#N/A</v>
      </c>
    </row>
    <row r="2390" spans="1:16" ht="14.4" x14ac:dyDescent="0.3">
      <c r="A2390">
        <v>269831</v>
      </c>
      <c r="B2390" t="e">
        <f t="shared" si="74"/>
        <v>#N/A</v>
      </c>
      <c r="C2390" s="185" t="e">
        <f t="shared" si="75"/>
        <v>#N/A</v>
      </c>
      <c r="D2390" s="407" t="e">
        <v>#N/A</v>
      </c>
      <c r="E2390" s="407" t="e">
        <v>#N/A</v>
      </c>
      <c r="F2390" s="407" t="e">
        <v>#N/A</v>
      </c>
      <c r="G2390" s="407" t="e">
        <v>#N/A</v>
      </c>
      <c r="H2390" s="460" t="e">
        <v>#N/A</v>
      </c>
      <c r="I2390" s="460" t="e">
        <v>#N/A</v>
      </c>
      <c r="J2390" s="460" t="e">
        <v>#N/A</v>
      </c>
      <c r="K2390" s="460" t="e">
        <v>#N/A</v>
      </c>
      <c r="L2390" s="459" t="e">
        <v>#N/A</v>
      </c>
      <c r="O2390" t="e">
        <v>#N/A</v>
      </c>
      <c r="P2390" t="e">
        <v>#N/A</v>
      </c>
    </row>
    <row r="2391" spans="1:16" ht="14.4" x14ac:dyDescent="0.3">
      <c r="A2391">
        <v>269889</v>
      </c>
      <c r="B2391" t="str">
        <f t="shared" si="74"/>
        <v>IC-Profil  Standard 10mm wenge 2,75m</v>
      </c>
      <c r="C2391" s="185" t="e">
        <f t="shared" si="75"/>
        <v>#N/A</v>
      </c>
      <c r="D2391" s="407" t="s">
        <v>8676</v>
      </c>
      <c r="E2391" s="407" t="s">
        <v>8677</v>
      </c>
      <c r="F2391" s="407" t="s">
        <v>8676</v>
      </c>
      <c r="G2391" s="407" t="s">
        <v>8678</v>
      </c>
      <c r="H2391" s="460" t="e">
        <v>#N/A</v>
      </c>
      <c r="I2391" s="460" t="e">
        <v>#N/A</v>
      </c>
      <c r="J2391" s="460" t="e">
        <v>#N/A</v>
      </c>
      <c r="K2391" s="460" t="e">
        <v>#N/A</v>
      </c>
      <c r="L2391" s="459" t="e">
        <v>#N/A</v>
      </c>
      <c r="O2391">
        <v>0</v>
      </c>
      <c r="P2391" t="s">
        <v>10279</v>
      </c>
    </row>
    <row r="2392" spans="1:16" ht="14.4" x14ac:dyDescent="0.3">
      <c r="A2392">
        <v>269890</v>
      </c>
      <c r="B2392" t="str">
        <f t="shared" si="74"/>
        <v>IC-tor górny WE 10mm wenge 2m</v>
      </c>
      <c r="C2392" s="185" t="e">
        <f t="shared" si="75"/>
        <v>#N/A</v>
      </c>
      <c r="D2392" s="407" t="s">
        <v>8679</v>
      </c>
      <c r="E2392" s="407" t="s">
        <v>8680</v>
      </c>
      <c r="F2392" s="407" t="s">
        <v>8681</v>
      </c>
      <c r="G2392" s="407" t="s">
        <v>8682</v>
      </c>
      <c r="H2392" s="460" t="e">
        <v>#N/A</v>
      </c>
      <c r="I2392" s="460" t="e">
        <v>#N/A</v>
      </c>
      <c r="J2392" s="460" t="e">
        <v>#N/A</v>
      </c>
      <c r="K2392" s="460" t="e">
        <v>#N/A</v>
      </c>
      <c r="L2392" s="459" t="e">
        <v>#N/A</v>
      </c>
      <c r="O2392">
        <v>0</v>
      </c>
      <c r="P2392" t="s">
        <v>10280</v>
      </c>
    </row>
    <row r="2393" spans="1:16" ht="14.4" x14ac:dyDescent="0.3">
      <c r="A2393">
        <v>269891</v>
      </c>
      <c r="B2393" t="str">
        <f t="shared" si="74"/>
        <v>IC-tor dolny wenge 2m</v>
      </c>
      <c r="C2393" s="185" t="e">
        <f t="shared" si="75"/>
        <v>#N/A</v>
      </c>
      <c r="D2393" s="407" t="s">
        <v>8683</v>
      </c>
      <c r="E2393" s="407" t="s">
        <v>8684</v>
      </c>
      <c r="F2393" s="407" t="s">
        <v>8685</v>
      </c>
      <c r="G2393" s="407" t="s">
        <v>8686</v>
      </c>
      <c r="H2393" s="460" t="e">
        <v>#N/A</v>
      </c>
      <c r="I2393" s="460" t="e">
        <v>#N/A</v>
      </c>
      <c r="J2393" s="460" t="e">
        <v>#N/A</v>
      </c>
      <c r="K2393" s="460" t="e">
        <v>#N/A</v>
      </c>
      <c r="L2393" s="459" t="e">
        <v>#N/A</v>
      </c>
      <c r="O2393">
        <v>0</v>
      </c>
      <c r="P2393" t="s">
        <v>10281</v>
      </c>
    </row>
    <row r="2394" spans="1:16" ht="14.4" x14ac:dyDescent="0.3">
      <c r="A2394">
        <v>269892</v>
      </c>
      <c r="B2394" t="str">
        <f t="shared" si="74"/>
        <v>IC-10mm Profil poziomy wenge 2,4m</v>
      </c>
      <c r="C2394" s="185" t="e">
        <f t="shared" si="75"/>
        <v>#N/A</v>
      </c>
      <c r="D2394" s="407" t="s">
        <v>8687</v>
      </c>
      <c r="E2394" s="407" t="s">
        <v>8688</v>
      </c>
      <c r="F2394" s="407" t="s">
        <v>8687</v>
      </c>
      <c r="G2394" s="407" t="s">
        <v>8689</v>
      </c>
      <c r="H2394" s="460" t="e">
        <v>#N/A</v>
      </c>
      <c r="I2394" s="460" t="e">
        <v>#N/A</v>
      </c>
      <c r="J2394" s="460" t="e">
        <v>#N/A</v>
      </c>
      <c r="K2394" s="460" t="e">
        <v>#N/A</v>
      </c>
      <c r="L2394" s="459" t="e">
        <v>#N/A</v>
      </c>
      <c r="O2394">
        <v>0</v>
      </c>
      <c r="P2394" t="s">
        <v>10282</v>
      </c>
    </row>
    <row r="2395" spans="1:16" ht="14.4" x14ac:dyDescent="0.3">
      <c r="A2395">
        <v>269893</v>
      </c>
      <c r="B2395" t="str">
        <f t="shared" si="74"/>
        <v>IC-Listwa maskująca  14mm 3,6m szampan oksydowany</v>
      </c>
      <c r="C2395" s="185" t="e">
        <f t="shared" si="75"/>
        <v>#N/A</v>
      </c>
      <c r="D2395" s="407" t="s">
        <v>8690</v>
      </c>
      <c r="E2395" s="407" t="s">
        <v>8691</v>
      </c>
      <c r="F2395" s="407" t="s">
        <v>8692</v>
      </c>
      <c r="G2395" s="407" t="s">
        <v>8693</v>
      </c>
      <c r="H2395" s="460" t="e">
        <v>#N/A</v>
      </c>
      <c r="I2395" s="460" t="e">
        <v>#N/A</v>
      </c>
      <c r="J2395" s="460" t="e">
        <v>#N/A</v>
      </c>
      <c r="K2395" s="460" t="e">
        <v>#N/A</v>
      </c>
      <c r="L2395" s="459" t="e">
        <v>#N/A</v>
      </c>
      <c r="O2395">
        <v>0</v>
      </c>
      <c r="P2395" t="s">
        <v>10283</v>
      </c>
    </row>
    <row r="2396" spans="1:16" ht="14.4" x14ac:dyDescent="0.3">
      <c r="A2396">
        <v>269894</v>
      </c>
      <c r="B2396" t="str">
        <f t="shared" si="74"/>
        <v>IC-profil łączący WE wenge 2,75m</v>
      </c>
      <c r="C2396" s="185" t="e">
        <f t="shared" si="75"/>
        <v>#N/A</v>
      </c>
      <c r="D2396" s="407" t="s">
        <v>8694</v>
      </c>
      <c r="E2396" s="407" t="s">
        <v>8695</v>
      </c>
      <c r="F2396" s="407" t="s">
        <v>8696</v>
      </c>
      <c r="G2396" s="407" t="s">
        <v>8697</v>
      </c>
      <c r="H2396" s="460" t="e">
        <v>#N/A</v>
      </c>
      <c r="I2396" s="460" t="e">
        <v>#N/A</v>
      </c>
      <c r="J2396" s="460" t="e">
        <v>#N/A</v>
      </c>
      <c r="K2396" s="460" t="e">
        <v>#N/A</v>
      </c>
      <c r="L2396" s="459" t="e">
        <v>#N/A</v>
      </c>
      <c r="O2396">
        <v>0</v>
      </c>
      <c r="P2396" t="s">
        <v>10284</v>
      </c>
    </row>
    <row r="2397" spans="1:16" ht="14.4" x14ac:dyDescent="0.3">
      <c r="A2397">
        <v>269922</v>
      </c>
      <c r="B2397" t="e">
        <f t="shared" si="74"/>
        <v>#N/A</v>
      </c>
      <c r="C2397" s="185" t="e">
        <f t="shared" si="75"/>
        <v>#N/A</v>
      </c>
      <c r="D2397" s="407" t="e">
        <v>#N/A</v>
      </c>
      <c r="E2397" s="407" t="e">
        <v>#N/A</v>
      </c>
      <c r="F2397" s="407" t="e">
        <v>#N/A</v>
      </c>
      <c r="G2397" s="407" t="e">
        <v>#N/A</v>
      </c>
      <c r="H2397" s="460" t="e">
        <v>#N/A</v>
      </c>
      <c r="I2397" s="460" t="e">
        <v>#N/A</v>
      </c>
      <c r="J2397" s="460" t="e">
        <v>#N/A</v>
      </c>
      <c r="K2397" s="460" t="e">
        <v>#N/A</v>
      </c>
      <c r="L2397" s="459" t="e">
        <v>#N/A</v>
      </c>
      <c r="O2397" t="e">
        <v>#N/A</v>
      </c>
      <c r="P2397" t="e">
        <v>#N/A</v>
      </c>
    </row>
    <row r="2398" spans="1:16" ht="14.4" x14ac:dyDescent="0.3">
      <c r="A2398">
        <v>352544</v>
      </c>
      <c r="B2398" t="str">
        <f t="shared" si="74"/>
        <v>K-HAWA Frontino 40 H FS typ S 1200-1799 mm, komplet okuć + tory</v>
      </c>
      <c r="C2398" s="185">
        <f t="shared" si="75"/>
        <v>0</v>
      </c>
      <c r="D2398" s="407" t="s">
        <v>8698</v>
      </c>
      <c r="E2398" s="407" t="s">
        <v>8699</v>
      </c>
      <c r="F2398" s="407" t="s">
        <v>8700</v>
      </c>
      <c r="G2398" s="407" t="s">
        <v>8701</v>
      </c>
      <c r="H2398" s="460">
        <v>0</v>
      </c>
      <c r="I2398" s="460">
        <v>0</v>
      </c>
      <c r="J2398" s="460">
        <v>0</v>
      </c>
      <c r="K2398" s="460" t="e">
        <v>#N/A</v>
      </c>
      <c r="L2398" s="459" t="s">
        <v>539</v>
      </c>
      <c r="O2398">
        <v>0</v>
      </c>
      <c r="P2398" t="s">
        <v>10285</v>
      </c>
    </row>
    <row r="2399" spans="1:16" ht="14.4" x14ac:dyDescent="0.3">
      <c r="A2399">
        <v>352545</v>
      </c>
      <c r="B2399" t="str">
        <f t="shared" si="74"/>
        <v>K-HAWA Frontino 40 H FS typ M 1800-2199 mm, komplet okuć + tory</v>
      </c>
      <c r="C2399" s="185">
        <f t="shared" si="75"/>
        <v>0</v>
      </c>
      <c r="D2399" s="407" t="s">
        <v>8702</v>
      </c>
      <c r="E2399" s="407" t="s">
        <v>8703</v>
      </c>
      <c r="F2399" s="407" t="s">
        <v>8704</v>
      </c>
      <c r="G2399" s="407" t="s">
        <v>8705</v>
      </c>
      <c r="H2399" s="460">
        <v>0</v>
      </c>
      <c r="I2399" s="460">
        <v>0</v>
      </c>
      <c r="J2399" s="460">
        <v>0</v>
      </c>
      <c r="K2399" s="460" t="e">
        <v>#N/A</v>
      </c>
      <c r="L2399" s="459" t="s">
        <v>539</v>
      </c>
      <c r="O2399">
        <v>0</v>
      </c>
      <c r="P2399" t="s">
        <v>10286</v>
      </c>
    </row>
    <row r="2400" spans="1:16" ht="14.4" x14ac:dyDescent="0.3">
      <c r="A2400">
        <v>352546</v>
      </c>
      <c r="B2400" t="str">
        <f t="shared" si="74"/>
        <v>K-HAWA Frontino 40 H FS typ L 2200-2400 mm, komplet okuć + tory</v>
      </c>
      <c r="C2400" s="185">
        <f t="shared" si="75"/>
        <v>0</v>
      </c>
      <c r="D2400" s="407" t="s">
        <v>8706</v>
      </c>
      <c r="E2400" s="407" t="s">
        <v>8707</v>
      </c>
      <c r="F2400" s="407" t="s">
        <v>8708</v>
      </c>
      <c r="G2400" s="407" t="s">
        <v>8709</v>
      </c>
      <c r="H2400" s="460">
        <v>0</v>
      </c>
      <c r="I2400" s="460">
        <v>0</v>
      </c>
      <c r="J2400" s="460">
        <v>0</v>
      </c>
      <c r="K2400" s="460" t="e">
        <v>#N/A</v>
      </c>
      <c r="L2400" s="459" t="s">
        <v>539</v>
      </c>
      <c r="O2400">
        <v>0</v>
      </c>
      <c r="P2400" t="s">
        <v>10287</v>
      </c>
    </row>
    <row r="2401" spans="1:16" ht="14.4" x14ac:dyDescent="0.3">
      <c r="A2401">
        <v>132331</v>
      </c>
      <c r="B2401" t="str">
        <f t="shared" si="74"/>
        <v>S-S20/30 alu listwa podwójna 6m elox</v>
      </c>
      <c r="C2401" s="185" t="e">
        <f t="shared" si="75"/>
        <v>#N/A</v>
      </c>
      <c r="D2401" s="407" t="s">
        <v>8710</v>
      </c>
      <c r="E2401" s="407" t="s">
        <v>8711</v>
      </c>
      <c r="F2401" s="407" t="s">
        <v>8710</v>
      </c>
      <c r="G2401" s="407" t="s">
        <v>8712</v>
      </c>
      <c r="H2401" s="460" t="e">
        <v>#N/A</v>
      </c>
      <c r="I2401" s="460" t="e">
        <v>#N/A</v>
      </c>
      <c r="J2401" s="460" t="e">
        <v>#N/A</v>
      </c>
      <c r="K2401" s="460" t="e">
        <v>#N/A</v>
      </c>
      <c r="L2401" s="459" t="e">
        <v>#N/A</v>
      </c>
      <c r="O2401">
        <v>73.526439999999994</v>
      </c>
      <c r="P2401" t="s">
        <v>10288</v>
      </c>
    </row>
    <row r="2402" spans="1:16" ht="14.4" x14ac:dyDescent="0.3">
      <c r="A2402">
        <v>133570</v>
      </c>
      <c r="B2402" t="str">
        <f t="shared" si="74"/>
        <v>SEVROLL Wilson mocowanie drążka</v>
      </c>
      <c r="C2402" s="185" t="e">
        <f t="shared" si="75"/>
        <v>#N/A</v>
      </c>
      <c r="D2402" s="407" t="s">
        <v>1702</v>
      </c>
      <c r="E2402" s="407" t="s">
        <v>2134</v>
      </c>
      <c r="F2402" s="407" t="s">
        <v>6131</v>
      </c>
      <c r="G2402" s="407" t="s">
        <v>2610</v>
      </c>
      <c r="H2402" s="460" t="e">
        <v>#N/A</v>
      </c>
      <c r="I2402" s="460" t="e">
        <v>#N/A</v>
      </c>
      <c r="J2402" s="460" t="e">
        <v>#N/A</v>
      </c>
      <c r="K2402" s="460" t="e">
        <v>#N/A</v>
      </c>
      <c r="L2402" s="459" t="e">
        <v>#N/A</v>
      </c>
      <c r="O2402">
        <v>2.222</v>
      </c>
      <c r="P2402" t="s">
        <v>10289</v>
      </c>
    </row>
    <row r="2403" spans="1:16" ht="14.4" x14ac:dyDescent="0.3">
      <c r="A2403">
        <v>133547</v>
      </c>
      <c r="B2403" t="str">
        <f t="shared" si="74"/>
        <v>SEVROLL Wilson wspornik 2108mm srebrny</v>
      </c>
      <c r="C2403" s="185" t="e">
        <f t="shared" si="75"/>
        <v>#N/A</v>
      </c>
      <c r="D2403" s="407" t="s">
        <v>1703</v>
      </c>
      <c r="E2403" s="407" t="s">
        <v>2135</v>
      </c>
      <c r="F2403" s="407" t="s">
        <v>6132</v>
      </c>
      <c r="G2403" s="407" t="s">
        <v>6133</v>
      </c>
      <c r="H2403" s="460" t="e">
        <v>#N/A</v>
      </c>
      <c r="I2403" s="460" t="e">
        <v>#N/A</v>
      </c>
      <c r="J2403" s="460" t="e">
        <v>#N/A</v>
      </c>
      <c r="K2403" s="460" t="e">
        <v>#N/A</v>
      </c>
      <c r="L2403" s="459" t="e">
        <v>#N/A</v>
      </c>
      <c r="O2403">
        <v>14.497999999999999</v>
      </c>
      <c r="P2403" t="s">
        <v>10290</v>
      </c>
    </row>
    <row r="2404" spans="1:16" ht="14.4" x14ac:dyDescent="0.3">
      <c r="A2404">
        <v>133548</v>
      </c>
      <c r="B2404" t="str">
        <f t="shared" si="74"/>
        <v>SEVROLL Wilson wspornik 300mm srebrny</v>
      </c>
      <c r="C2404" s="185" t="e">
        <f t="shared" si="75"/>
        <v>#N/A</v>
      </c>
      <c r="D2404" s="407" t="s">
        <v>1704</v>
      </c>
      <c r="E2404" s="407" t="s">
        <v>2136</v>
      </c>
      <c r="F2404" s="407" t="s">
        <v>6134</v>
      </c>
      <c r="G2404" s="407" t="s">
        <v>2611</v>
      </c>
      <c r="H2404" s="460" t="e">
        <v>#N/A</v>
      </c>
      <c r="I2404" s="460" t="e">
        <v>#N/A</v>
      </c>
      <c r="J2404" s="460" t="e">
        <v>#N/A</v>
      </c>
      <c r="K2404" s="460" t="e">
        <v>#N/A</v>
      </c>
      <c r="L2404" s="459" t="e">
        <v>#N/A</v>
      </c>
      <c r="O2404">
        <v>3.4980000000000002</v>
      </c>
      <c r="P2404" t="s">
        <v>10291</v>
      </c>
    </row>
    <row r="2405" spans="1:16" ht="14.4" x14ac:dyDescent="0.3">
      <c r="A2405">
        <v>133549</v>
      </c>
      <c r="B2405" t="str">
        <f t="shared" si="74"/>
        <v>SEVROLL Wilson wspornik 500mm srebrny</v>
      </c>
      <c r="C2405" s="185" t="e">
        <f t="shared" si="75"/>
        <v>#N/A</v>
      </c>
      <c r="D2405" s="407" t="s">
        <v>1705</v>
      </c>
      <c r="E2405" s="407" t="s">
        <v>2137</v>
      </c>
      <c r="F2405" s="407" t="s">
        <v>6135</v>
      </c>
      <c r="G2405" s="407" t="s">
        <v>2612</v>
      </c>
      <c r="H2405" s="460" t="e">
        <v>#N/A</v>
      </c>
      <c r="I2405" s="460" t="e">
        <v>#N/A</v>
      </c>
      <c r="J2405" s="460" t="e">
        <v>#N/A</v>
      </c>
      <c r="K2405" s="460" t="e">
        <v>#N/A</v>
      </c>
      <c r="L2405" s="459" t="e">
        <v>#N/A</v>
      </c>
      <c r="O2405">
        <v>5.6980000000000004</v>
      </c>
      <c r="P2405" t="s">
        <v>10292</v>
      </c>
    </row>
    <row r="2406" spans="1:16" ht="14.4" x14ac:dyDescent="0.3">
      <c r="A2406">
        <v>133553</v>
      </c>
      <c r="B2406" t="str">
        <f t="shared" si="74"/>
        <v>SEVROLL Wilson drążek, średnica 25mm 1,2m srebrny</v>
      </c>
      <c r="C2406" s="185" t="e">
        <f t="shared" si="75"/>
        <v>#N/A</v>
      </c>
      <c r="D2406" s="407" t="s">
        <v>1706</v>
      </c>
      <c r="E2406" s="407" t="s">
        <v>2138</v>
      </c>
      <c r="F2406" s="407" t="s">
        <v>6136</v>
      </c>
      <c r="G2406" s="407" t="s">
        <v>2613</v>
      </c>
      <c r="H2406" s="460" t="e">
        <v>#N/A</v>
      </c>
      <c r="I2406" s="460" t="e">
        <v>#N/A</v>
      </c>
      <c r="J2406" s="460" t="e">
        <v>#N/A</v>
      </c>
      <c r="K2406" s="460" t="e">
        <v>#N/A</v>
      </c>
      <c r="L2406" s="459" t="e">
        <v>#N/A</v>
      </c>
      <c r="O2406">
        <v>6.2919999999999998</v>
      </c>
      <c r="P2406" t="s">
        <v>10293</v>
      </c>
    </row>
    <row r="2407" spans="1:16" ht="14.4" x14ac:dyDescent="0.3">
      <c r="A2407">
        <v>133562</v>
      </c>
      <c r="B2407" t="str">
        <f t="shared" si="74"/>
        <v>SEVROLL  Wilson klips montażowy srebrny</v>
      </c>
      <c r="C2407" s="185" t="e">
        <f t="shared" si="75"/>
        <v>#N/A</v>
      </c>
      <c r="D2407" s="407" t="s">
        <v>1707</v>
      </c>
      <c r="E2407" s="407" t="s">
        <v>2139</v>
      </c>
      <c r="F2407" s="407" t="s">
        <v>6137</v>
      </c>
      <c r="G2407" s="407" t="s">
        <v>6138</v>
      </c>
      <c r="H2407" s="460" t="e">
        <v>#N/A</v>
      </c>
      <c r="I2407" s="460" t="e">
        <v>#N/A</v>
      </c>
      <c r="J2407" s="460" t="e">
        <v>#N/A</v>
      </c>
      <c r="K2407" s="460" t="e">
        <v>#N/A</v>
      </c>
      <c r="L2407" s="459" t="e">
        <v>#N/A</v>
      </c>
      <c r="O2407">
        <v>0.39600000000000002</v>
      </c>
      <c r="P2407" t="s">
        <v>10294</v>
      </c>
    </row>
    <row r="2408" spans="1:16" ht="14.4" x14ac:dyDescent="0.3">
      <c r="A2408">
        <v>133563</v>
      </c>
      <c r="B2408" t="str">
        <f t="shared" si="74"/>
        <v>SEVROLL Wilson záslepka do drążka</v>
      </c>
      <c r="C2408" s="185">
        <f t="shared" si="75"/>
        <v>4.0144000000000002</v>
      </c>
      <c r="D2408" s="407" t="s">
        <v>1708</v>
      </c>
      <c r="E2408" s="407" t="s">
        <v>2140</v>
      </c>
      <c r="F2408" s="407" t="s">
        <v>1708</v>
      </c>
      <c r="G2408" s="407" t="s">
        <v>2614</v>
      </c>
      <c r="H2408" s="460">
        <v>35.328290000000003</v>
      </c>
      <c r="I2408" s="460">
        <v>1.1970400000000001</v>
      </c>
      <c r="J2408" s="460">
        <v>4.0144000000000002</v>
      </c>
      <c r="K2408" s="460">
        <v>471.56380999999999</v>
      </c>
      <c r="L2408" s="459" t="s">
        <v>539</v>
      </c>
      <c r="O2408">
        <v>1.056</v>
      </c>
      <c r="P2408" t="s">
        <v>10295</v>
      </c>
    </row>
    <row r="2409" spans="1:16" ht="14.4" x14ac:dyDescent="0.3">
      <c r="A2409">
        <v>134686</v>
      </c>
      <c r="B2409" t="str">
        <f t="shared" si="74"/>
        <v>S-S06N profl maskujący (maskownica) 2m srebrny</v>
      </c>
      <c r="C2409" s="185" t="e">
        <f t="shared" si="75"/>
        <v>#N/A</v>
      </c>
      <c r="D2409" s="407" t="s">
        <v>8097</v>
      </c>
      <c r="E2409" s="407" t="s">
        <v>8098</v>
      </c>
      <c r="F2409" s="407" t="s">
        <v>8713</v>
      </c>
      <c r="G2409" s="407" t="s">
        <v>8100</v>
      </c>
      <c r="H2409" s="460" t="e">
        <v>#N/A</v>
      </c>
      <c r="I2409" s="460" t="e">
        <v>#N/A</v>
      </c>
      <c r="J2409" s="460" t="e">
        <v>#N/A</v>
      </c>
      <c r="K2409" s="460" t="e">
        <v>#N/A</v>
      </c>
      <c r="L2409" s="459" t="e">
        <v>#N/A</v>
      </c>
      <c r="O2409">
        <v>0</v>
      </c>
      <c r="P2409" t="s">
        <v>10041</v>
      </c>
    </row>
    <row r="2410" spans="1:16" ht="14.4" x14ac:dyDescent="0.3">
      <c r="A2410">
        <v>208051</v>
      </c>
      <c r="B2410" t="e">
        <f t="shared" si="74"/>
        <v>#N/A</v>
      </c>
      <c r="C2410" s="185" t="e">
        <f t="shared" si="75"/>
        <v>#N/A</v>
      </c>
      <c r="D2410" s="407" t="e">
        <v>#N/A</v>
      </c>
      <c r="E2410" s="407" t="e">
        <v>#N/A</v>
      </c>
      <c r="F2410" s="407" t="e">
        <v>#N/A</v>
      </c>
      <c r="G2410" s="407" t="e">
        <v>#N/A</v>
      </c>
      <c r="H2410" s="460" t="e">
        <v>#N/A</v>
      </c>
      <c r="I2410" s="460" t="e">
        <v>#N/A</v>
      </c>
      <c r="J2410" s="460" t="e">
        <v>#N/A</v>
      </c>
      <c r="K2410" s="460" t="e">
        <v>#N/A</v>
      </c>
      <c r="L2410" s="459" t="e">
        <v>#N/A</v>
      </c>
      <c r="O2410" t="e">
        <v>#N/A</v>
      </c>
      <c r="P2410" t="e">
        <v>#N/A</v>
      </c>
    </row>
    <row r="2411" spans="1:16" ht="14.4" x14ac:dyDescent="0.3">
      <c r="A2411">
        <v>204725</v>
      </c>
      <c r="B2411" t="str">
        <f t="shared" si="74"/>
        <v>IC-rączka Standard 2,75 m 4 mm arktyczne srebro</v>
      </c>
      <c r="C2411" s="185" t="e">
        <f t="shared" si="75"/>
        <v>#N/A</v>
      </c>
      <c r="D2411" s="407" t="s">
        <v>8714</v>
      </c>
      <c r="E2411" s="407" t="s">
        <v>8715</v>
      </c>
      <c r="F2411" s="407" t="s">
        <v>8716</v>
      </c>
      <c r="G2411" s="407" t="s">
        <v>8717</v>
      </c>
      <c r="H2411" s="460" t="e">
        <v>#N/A</v>
      </c>
      <c r="I2411" s="460" t="e">
        <v>#N/A</v>
      </c>
      <c r="J2411" s="460" t="e">
        <v>#N/A</v>
      </c>
      <c r="K2411" s="460" t="e">
        <v>#N/A</v>
      </c>
      <c r="L2411" s="459" t="e">
        <v>#N/A</v>
      </c>
      <c r="O2411">
        <v>0</v>
      </c>
      <c r="P2411" t="s">
        <v>10296</v>
      </c>
    </row>
    <row r="2412" spans="1:16" ht="14.4" x14ac:dyDescent="0.3">
      <c r="A2412">
        <v>204727</v>
      </c>
      <c r="B2412" t="str">
        <f t="shared" si="74"/>
        <v>IC-komplet wózków Standard/Classic 1 skrzydło</v>
      </c>
      <c r="C2412" s="185" t="e">
        <f t="shared" si="75"/>
        <v>#N/A</v>
      </c>
      <c r="D2412" s="407" t="s">
        <v>8718</v>
      </c>
      <c r="E2412" s="407" t="s">
        <v>8719</v>
      </c>
      <c r="F2412" s="407" t="s">
        <v>8720</v>
      </c>
      <c r="G2412" s="407" t="s">
        <v>8721</v>
      </c>
      <c r="H2412" s="460" t="e">
        <v>#N/A</v>
      </c>
      <c r="I2412" s="460" t="e">
        <v>#N/A</v>
      </c>
      <c r="J2412" s="460" t="e">
        <v>#N/A</v>
      </c>
      <c r="K2412" s="460" t="e">
        <v>#N/A</v>
      </c>
      <c r="L2412" s="459" t="e">
        <v>#N/A</v>
      </c>
      <c r="O2412">
        <v>0</v>
      </c>
      <c r="P2412" t="s">
        <v>10297</v>
      </c>
    </row>
    <row r="2413" spans="1:16" ht="14.4" x14ac:dyDescent="0.3">
      <c r="A2413">
        <v>205446</v>
      </c>
      <c r="B2413" t="e">
        <f t="shared" si="74"/>
        <v>#N/A</v>
      </c>
      <c r="C2413" s="185" t="e">
        <f t="shared" si="75"/>
        <v>#N/A</v>
      </c>
      <c r="D2413" s="407" t="e">
        <v>#N/A</v>
      </c>
      <c r="E2413" s="407" t="e">
        <v>#N/A</v>
      </c>
      <c r="F2413" s="407" t="e">
        <v>#N/A</v>
      </c>
      <c r="G2413" s="407" t="e">
        <v>#N/A</v>
      </c>
      <c r="H2413" s="460" t="e">
        <v>#N/A</v>
      </c>
      <c r="I2413" s="460" t="e">
        <v>#N/A</v>
      </c>
      <c r="J2413" s="460" t="e">
        <v>#N/A</v>
      </c>
      <c r="K2413" s="460" t="e">
        <v>#N/A</v>
      </c>
      <c r="L2413" s="459" t="e">
        <v>#N/A</v>
      </c>
      <c r="O2413" t="e">
        <v>#N/A</v>
      </c>
      <c r="P2413" t="e">
        <v>#N/A</v>
      </c>
    </row>
    <row r="2414" spans="1:16" ht="14.4" x14ac:dyDescent="0.3">
      <c r="A2414">
        <v>288793</v>
      </c>
      <c r="B2414" t="str">
        <f t="shared" si="74"/>
        <v>S-S05 górny profil prowadzący 1,5m srebrny</v>
      </c>
      <c r="C2414" s="185" t="e">
        <f t="shared" si="75"/>
        <v>#N/A</v>
      </c>
      <c r="D2414" s="407" t="s">
        <v>8722</v>
      </c>
      <c r="E2414" s="407" t="s">
        <v>8723</v>
      </c>
      <c r="F2414" s="407" t="s">
        <v>8724</v>
      </c>
      <c r="G2414" s="407" t="s">
        <v>8725</v>
      </c>
      <c r="H2414" s="460" t="e">
        <v>#N/A</v>
      </c>
      <c r="I2414" s="460" t="e">
        <v>#N/A</v>
      </c>
      <c r="J2414" s="460" t="e">
        <v>#N/A</v>
      </c>
      <c r="K2414" s="460" t="e">
        <v>#N/A</v>
      </c>
      <c r="L2414" s="459" t="e">
        <v>#N/A</v>
      </c>
      <c r="O2414">
        <v>0</v>
      </c>
      <c r="P2414" t="s">
        <v>10298</v>
      </c>
    </row>
    <row r="2415" spans="1:16" ht="14.4" x14ac:dyDescent="0.3">
      <c r="A2415">
        <v>288795</v>
      </c>
      <c r="B2415" t="str">
        <f t="shared" si="74"/>
        <v>S-S06NN dolny profil 1,5m elox srebrny</v>
      </c>
      <c r="C2415" s="185" t="e">
        <f t="shared" si="75"/>
        <v>#N/A</v>
      </c>
      <c r="D2415" s="407" t="s">
        <v>8726</v>
      </c>
      <c r="E2415" s="407" t="s">
        <v>8727</v>
      </c>
      <c r="F2415" s="407" t="s">
        <v>8728</v>
      </c>
      <c r="G2415" s="407" t="s">
        <v>8729</v>
      </c>
      <c r="H2415" s="460" t="e">
        <v>#N/A</v>
      </c>
      <c r="I2415" s="460" t="e">
        <v>#N/A</v>
      </c>
      <c r="J2415" s="460" t="e">
        <v>#N/A</v>
      </c>
      <c r="K2415" s="460" t="e">
        <v>#N/A</v>
      </c>
      <c r="L2415" s="459" t="e">
        <v>#N/A</v>
      </c>
      <c r="O2415">
        <v>0</v>
      </c>
      <c r="P2415" t="s">
        <v>10299</v>
      </c>
    </row>
    <row r="2416" spans="1:16" ht="14.4" x14ac:dyDescent="0.3">
      <c r="A2416">
        <v>288796</v>
      </c>
      <c r="B2416" t="str">
        <f t="shared" si="74"/>
        <v>S-S06N profl maskujący (maskownica) 1,5m srebrny</v>
      </c>
      <c r="C2416" s="185" t="e">
        <f t="shared" si="75"/>
        <v>#N/A</v>
      </c>
      <c r="D2416" s="407" t="s">
        <v>8730</v>
      </c>
      <c r="E2416" s="407" t="s">
        <v>8731</v>
      </c>
      <c r="F2416" s="407" t="s">
        <v>8732</v>
      </c>
      <c r="G2416" s="407" t="s">
        <v>8733</v>
      </c>
      <c r="H2416" s="460" t="e">
        <v>#N/A</v>
      </c>
      <c r="I2416" s="460" t="e">
        <v>#N/A</v>
      </c>
      <c r="J2416" s="460" t="e">
        <v>#N/A</v>
      </c>
      <c r="K2416" s="460" t="e">
        <v>#N/A</v>
      </c>
      <c r="L2416" s="459" t="e">
        <v>#N/A</v>
      </c>
      <c r="O2416">
        <v>0</v>
      </c>
      <c r="P2416" t="s">
        <v>10300</v>
      </c>
    </row>
    <row r="2417" spans="1:16" ht="14.4" x14ac:dyDescent="0.3">
      <c r="A2417">
        <v>288837</v>
      </c>
      <c r="B2417" t="str">
        <f t="shared" si="74"/>
        <v>S-S65 górny i środkowy profil 2,5m srebrny</v>
      </c>
      <c r="C2417" s="185" t="e">
        <f t="shared" si="75"/>
        <v>#N/A</v>
      </c>
      <c r="D2417" s="407" t="s">
        <v>8734</v>
      </c>
      <c r="E2417" s="407" t="s">
        <v>8735</v>
      </c>
      <c r="F2417" s="407" t="s">
        <v>8736</v>
      </c>
      <c r="G2417" s="407" t="s">
        <v>8737</v>
      </c>
      <c r="H2417" s="460" t="e">
        <v>#N/A</v>
      </c>
      <c r="I2417" s="460" t="e">
        <v>#N/A</v>
      </c>
      <c r="J2417" s="460" t="e">
        <v>#N/A</v>
      </c>
      <c r="K2417" s="460" t="e">
        <v>#N/A</v>
      </c>
      <c r="L2417" s="459" t="e">
        <v>#N/A</v>
      </c>
      <c r="O2417">
        <v>0</v>
      </c>
      <c r="P2417" t="s">
        <v>10301</v>
      </c>
    </row>
    <row r="2418" spans="1:16" ht="14.4" x14ac:dyDescent="0.3">
      <c r="A2418">
        <v>288839</v>
      </c>
      <c r="B2418" t="str">
        <f t="shared" si="74"/>
        <v>S-S65 dolny profil 4/18mm 2,5m srebrny</v>
      </c>
      <c r="C2418" s="185" t="e">
        <f t="shared" si="75"/>
        <v>#N/A</v>
      </c>
      <c r="D2418" s="407" t="s">
        <v>8738</v>
      </c>
      <c r="E2418" s="407" t="s">
        <v>8739</v>
      </c>
      <c r="F2418" s="407" t="s">
        <v>8740</v>
      </c>
      <c r="G2418" s="407" t="s">
        <v>8741</v>
      </c>
      <c r="H2418" s="460" t="e">
        <v>#N/A</v>
      </c>
      <c r="I2418" s="460" t="e">
        <v>#N/A</v>
      </c>
      <c r="J2418" s="460" t="e">
        <v>#N/A</v>
      </c>
      <c r="K2418" s="460" t="e">
        <v>#N/A</v>
      </c>
      <c r="L2418" s="459" t="e">
        <v>#N/A</v>
      </c>
      <c r="O2418">
        <v>0</v>
      </c>
      <c r="P2418" t="s">
        <v>10302</v>
      </c>
    </row>
    <row r="2419" spans="1:16" ht="14.4" x14ac:dyDescent="0.3">
      <c r="A2419">
        <v>289620</v>
      </c>
      <c r="B2419" t="e">
        <f t="shared" si="74"/>
        <v>#N/A</v>
      </c>
      <c r="C2419" s="185" t="e">
        <f t="shared" si="75"/>
        <v>#N/A</v>
      </c>
      <c r="D2419" s="407" t="e">
        <v>#N/A</v>
      </c>
      <c r="E2419" s="407" t="e">
        <v>#N/A</v>
      </c>
      <c r="F2419" s="407" t="e">
        <v>#N/A</v>
      </c>
      <c r="G2419" s="407" t="e">
        <v>#N/A</v>
      </c>
      <c r="H2419" s="460" t="e">
        <v>#N/A</v>
      </c>
      <c r="I2419" s="460" t="e">
        <v>#N/A</v>
      </c>
      <c r="J2419" s="460" t="e">
        <v>#N/A</v>
      </c>
      <c r="K2419" s="460" t="e">
        <v>#N/A</v>
      </c>
      <c r="L2419" s="459" t="e">
        <v>#N/A</v>
      </c>
      <c r="O2419" t="e">
        <v>#N/A</v>
      </c>
      <c r="P2419" t="e">
        <v>#N/A</v>
      </c>
    </row>
    <row r="2420" spans="1:16" ht="14.4" x14ac:dyDescent="0.3">
      <c r="A2420">
        <v>120386</v>
      </c>
      <c r="B2420" t="str">
        <f t="shared" si="74"/>
        <v>S-alu profil S30 podwójny surowy 3m</v>
      </c>
      <c r="C2420" s="185" t="e">
        <f t="shared" si="75"/>
        <v>#N/A</v>
      </c>
      <c r="D2420" s="407" t="s">
        <v>8742</v>
      </c>
      <c r="E2420" s="407" t="s">
        <v>8743</v>
      </c>
      <c r="F2420" s="407" t="s">
        <v>8744</v>
      </c>
      <c r="G2420" s="407" t="s">
        <v>8745</v>
      </c>
      <c r="H2420" s="460" t="e">
        <v>#N/A</v>
      </c>
      <c r="I2420" s="460" t="e">
        <v>#N/A</v>
      </c>
      <c r="J2420" s="460" t="e">
        <v>#N/A</v>
      </c>
      <c r="K2420" s="460" t="e">
        <v>#N/A</v>
      </c>
      <c r="L2420" s="459" t="e">
        <v>#N/A</v>
      </c>
      <c r="O2420">
        <v>0</v>
      </c>
      <c r="P2420" t="s">
        <v>10303</v>
      </c>
    </row>
    <row r="2421" spans="1:16" ht="14.4" x14ac:dyDescent="0.3">
      <c r="A2421">
        <v>203925</v>
      </c>
      <c r="B2421" t="str">
        <f t="shared" si="74"/>
        <v>SEVROLL Wilson A komplet półek</v>
      </c>
      <c r="C2421" s="185" t="e">
        <f t="shared" si="75"/>
        <v>#N/A</v>
      </c>
      <c r="D2421" s="407" t="s">
        <v>1709</v>
      </c>
      <c r="E2421" s="407" t="s">
        <v>2141</v>
      </c>
      <c r="F2421" s="407" t="s">
        <v>2304</v>
      </c>
      <c r="G2421" s="407" t="s">
        <v>2615</v>
      </c>
      <c r="H2421" s="460" t="e">
        <v>#N/A</v>
      </c>
      <c r="I2421" s="460" t="e">
        <v>#N/A</v>
      </c>
      <c r="J2421" s="460" t="e">
        <v>#N/A</v>
      </c>
      <c r="K2421" s="460" t="e">
        <v>#N/A</v>
      </c>
      <c r="L2421" s="459" t="e">
        <v>#N/A</v>
      </c>
      <c r="O2421" t="e">
        <v>#N/A</v>
      </c>
      <c r="P2421" t="e">
        <v>#N/A</v>
      </c>
    </row>
    <row r="2422" spans="1:16" ht="14.4" x14ac:dyDescent="0.3">
      <c r="A2422">
        <v>203926</v>
      </c>
      <c r="B2422" t="str">
        <f t="shared" si="74"/>
        <v>SEVROLL Wilson B komplet półek</v>
      </c>
      <c r="C2422" s="185" t="e">
        <f t="shared" si="75"/>
        <v>#N/A</v>
      </c>
      <c r="D2422" s="407" t="s">
        <v>1710</v>
      </c>
      <c r="E2422" s="407" t="s">
        <v>2142</v>
      </c>
      <c r="F2422" s="407" t="s">
        <v>2305</v>
      </c>
      <c r="G2422" s="407" t="s">
        <v>2616</v>
      </c>
      <c r="H2422" s="460" t="e">
        <v>#N/A</v>
      </c>
      <c r="I2422" s="460" t="e">
        <v>#N/A</v>
      </c>
      <c r="J2422" s="460" t="e">
        <v>#N/A</v>
      </c>
      <c r="K2422" s="460" t="e">
        <v>#N/A</v>
      </c>
      <c r="L2422" s="459" t="e">
        <v>#N/A</v>
      </c>
      <c r="O2422" t="e">
        <v>#N/A</v>
      </c>
      <c r="P2422" t="e">
        <v>#N/A</v>
      </c>
    </row>
    <row r="2423" spans="1:16" ht="14.4" x14ac:dyDescent="0.3">
      <c r="A2423">
        <v>203927</v>
      </c>
      <c r="B2423" t="str">
        <f t="shared" si="74"/>
        <v>SEVROLL Wilson C komplet półek</v>
      </c>
      <c r="C2423" s="185" t="e">
        <f t="shared" si="75"/>
        <v>#N/A</v>
      </c>
      <c r="D2423" s="407" t="s">
        <v>1711</v>
      </c>
      <c r="E2423" s="407" t="s">
        <v>2143</v>
      </c>
      <c r="F2423" s="407" t="s">
        <v>2306</v>
      </c>
      <c r="G2423" s="407" t="s">
        <v>2617</v>
      </c>
      <c r="H2423" s="460" t="e">
        <v>#N/A</v>
      </c>
      <c r="I2423" s="460" t="e">
        <v>#N/A</v>
      </c>
      <c r="J2423" s="460" t="e">
        <v>#N/A</v>
      </c>
      <c r="K2423" s="460" t="e">
        <v>#N/A</v>
      </c>
      <c r="L2423" s="459" t="e">
        <v>#N/A</v>
      </c>
      <c r="O2423" t="e">
        <v>#N/A</v>
      </c>
      <c r="P2423" t="e">
        <v>#N/A</v>
      </c>
    </row>
    <row r="2424" spans="1:16" ht="14.4" x14ac:dyDescent="0.3">
      <c r="A2424">
        <v>203928</v>
      </c>
      <c r="B2424" t="str">
        <f t="shared" si="74"/>
        <v>SEVROLL Wilson D komplet półek</v>
      </c>
      <c r="C2424" s="185" t="e">
        <f t="shared" si="75"/>
        <v>#N/A</v>
      </c>
      <c r="D2424" s="407" t="s">
        <v>1712</v>
      </c>
      <c r="E2424" s="407" t="s">
        <v>2144</v>
      </c>
      <c r="F2424" s="407" t="s">
        <v>2307</v>
      </c>
      <c r="G2424" s="407" t="s">
        <v>2618</v>
      </c>
      <c r="H2424" s="460" t="e">
        <v>#N/A</v>
      </c>
      <c r="I2424" s="460" t="e">
        <v>#N/A</v>
      </c>
      <c r="J2424" s="460" t="e">
        <v>#N/A</v>
      </c>
      <c r="K2424" s="460" t="e">
        <v>#N/A</v>
      </c>
      <c r="L2424" s="459" t="e">
        <v>#N/A</v>
      </c>
      <c r="O2424" t="e">
        <v>#N/A</v>
      </c>
      <c r="P2424" t="e">
        <v>#N/A</v>
      </c>
    </row>
    <row r="2425" spans="1:16" ht="14.4" x14ac:dyDescent="0.3">
      <c r="A2425">
        <v>203930</v>
      </c>
      <c r="B2425" t="str">
        <f t="shared" si="74"/>
        <v>SEVROLL Wilson E komplet półek</v>
      </c>
      <c r="C2425" s="185" t="e">
        <f t="shared" si="75"/>
        <v>#N/A</v>
      </c>
      <c r="D2425" s="407" t="s">
        <v>1713</v>
      </c>
      <c r="E2425" s="407" t="s">
        <v>2145</v>
      </c>
      <c r="F2425" s="407" t="s">
        <v>2308</v>
      </c>
      <c r="G2425" s="407" t="s">
        <v>2619</v>
      </c>
      <c r="H2425" s="460" t="e">
        <v>#N/A</v>
      </c>
      <c r="I2425" s="460" t="e">
        <v>#N/A</v>
      </c>
      <c r="J2425" s="460" t="e">
        <v>#N/A</v>
      </c>
      <c r="K2425" s="460" t="e">
        <v>#N/A</v>
      </c>
      <c r="L2425" s="459" t="e">
        <v>#N/A</v>
      </c>
      <c r="O2425" t="e">
        <v>#N/A</v>
      </c>
      <c r="P2425" t="e">
        <v>#N/A</v>
      </c>
    </row>
    <row r="2426" spans="1:16" ht="14.4" x14ac:dyDescent="0.3">
      <c r="A2426">
        <v>203931</v>
      </c>
      <c r="B2426" t="str">
        <f t="shared" si="74"/>
        <v>SEVROLL Wilson F komplet półek</v>
      </c>
      <c r="C2426" s="185" t="e">
        <f t="shared" si="75"/>
        <v>#N/A</v>
      </c>
      <c r="D2426" s="407" t="s">
        <v>1714</v>
      </c>
      <c r="E2426" s="407" t="s">
        <v>2146</v>
      </c>
      <c r="F2426" s="407" t="s">
        <v>2309</v>
      </c>
      <c r="G2426" s="407" t="s">
        <v>2620</v>
      </c>
      <c r="H2426" s="460" t="e">
        <v>#N/A</v>
      </c>
      <c r="I2426" s="460" t="e">
        <v>#N/A</v>
      </c>
      <c r="J2426" s="460" t="e">
        <v>#N/A</v>
      </c>
      <c r="K2426" s="460" t="e">
        <v>#N/A</v>
      </c>
      <c r="L2426" s="459" t="e">
        <v>#N/A</v>
      </c>
      <c r="O2426" t="e">
        <v>#N/A</v>
      </c>
      <c r="P2426" t="e">
        <v>#N/A</v>
      </c>
    </row>
    <row r="2427" spans="1:16" ht="14.4" x14ac:dyDescent="0.3">
      <c r="A2427">
        <v>204229</v>
      </c>
      <c r="B2427" t="str">
        <f t="shared" si="74"/>
        <v>Mocowanie listwy 1390 (40kg)</v>
      </c>
      <c r="C2427" s="185" t="e">
        <f t="shared" si="75"/>
        <v>#N/A</v>
      </c>
      <c r="D2427" s="407" t="s">
        <v>8746</v>
      </c>
      <c r="E2427" s="407" t="s">
        <v>8747</v>
      </c>
      <c r="F2427" s="407" t="s">
        <v>8748</v>
      </c>
      <c r="G2427" s="407" t="s">
        <v>8749</v>
      </c>
      <c r="H2427" s="460" t="e">
        <v>#N/A</v>
      </c>
      <c r="I2427" s="460" t="e">
        <v>#N/A</v>
      </c>
      <c r="J2427" s="460" t="e">
        <v>#N/A</v>
      </c>
      <c r="K2427" s="460" t="e">
        <v>#N/A</v>
      </c>
      <c r="L2427" s="459" t="e">
        <v>#N/A</v>
      </c>
      <c r="O2427">
        <v>0.97650000000000003</v>
      </c>
      <c r="P2427" t="s">
        <v>10304</v>
      </c>
    </row>
    <row r="2428" spans="1:16" ht="14.4" x14ac:dyDescent="0.3">
      <c r="A2428">
        <v>92113</v>
      </c>
      <c r="B2428" t="str">
        <f t="shared" si="74"/>
        <v>StrongLine okucia do drzwi przesuwnych 1030 2 skrzydła</v>
      </c>
      <c r="C2428" s="185">
        <f t="shared" si="75"/>
        <v>34.622169999999997</v>
      </c>
      <c r="D2428" s="407" t="s">
        <v>8750</v>
      </c>
      <c r="E2428" s="407" t="s">
        <v>8751</v>
      </c>
      <c r="F2428" s="407" t="s">
        <v>8752</v>
      </c>
      <c r="G2428" s="407" t="s">
        <v>8753</v>
      </c>
      <c r="H2428" s="460">
        <v>352.82945000000001</v>
      </c>
      <c r="I2428" s="460">
        <v>11.078060000000001</v>
      </c>
      <c r="J2428" s="460">
        <v>34.622169999999997</v>
      </c>
      <c r="K2428" s="460">
        <v>3135.7456000000002</v>
      </c>
      <c r="L2428" s="459" t="s">
        <v>538</v>
      </c>
      <c r="O2428">
        <v>5.2306100000000004</v>
      </c>
      <c r="P2428" t="s">
        <v>10305</v>
      </c>
    </row>
    <row r="2429" spans="1:16" ht="14.4" x14ac:dyDescent="0.3">
      <c r="A2429">
        <v>92114</v>
      </c>
      <c r="B2429" t="str">
        <f t="shared" si="74"/>
        <v>StrongLine okucia do drzwi przesuwnych 1030 3 skrzydła</v>
      </c>
      <c r="C2429" s="185">
        <f t="shared" si="75"/>
        <v>51.973350000000003</v>
      </c>
      <c r="D2429" s="407" t="s">
        <v>8754</v>
      </c>
      <c r="E2429" s="407" t="s">
        <v>8755</v>
      </c>
      <c r="F2429" s="407" t="s">
        <v>8756</v>
      </c>
      <c r="G2429" s="407" t="s">
        <v>8757</v>
      </c>
      <c r="H2429" s="460">
        <v>529.66957000000002</v>
      </c>
      <c r="I2429" s="460">
        <v>16.63043</v>
      </c>
      <c r="J2429" s="460">
        <v>51.973350000000003</v>
      </c>
      <c r="K2429" s="460">
        <v>4707.39905</v>
      </c>
      <c r="L2429" s="459" t="s">
        <v>538</v>
      </c>
      <c r="O2429">
        <v>7.8519800000000002</v>
      </c>
      <c r="P2429" t="s">
        <v>10306</v>
      </c>
    </row>
    <row r="2430" spans="1:16" ht="14.4" x14ac:dyDescent="0.3">
      <c r="A2430">
        <v>265603</v>
      </c>
      <c r="B2430" t="str">
        <f t="shared" si="74"/>
        <v>IC-4mm Profil pionowy szeroki (Classic) biały  2,75m</v>
      </c>
      <c r="C2430" s="185" t="e">
        <f t="shared" si="75"/>
        <v>#N/A</v>
      </c>
      <c r="D2430" s="407" t="s">
        <v>8758</v>
      </c>
      <c r="E2430" s="407" t="s">
        <v>8759</v>
      </c>
      <c r="F2430" s="407" t="s">
        <v>8760</v>
      </c>
      <c r="G2430" s="407" t="s">
        <v>8761</v>
      </c>
      <c r="H2430" s="460" t="e">
        <v>#N/A</v>
      </c>
      <c r="I2430" s="460" t="e">
        <v>#N/A</v>
      </c>
      <c r="J2430" s="460" t="e">
        <v>#N/A</v>
      </c>
      <c r="K2430" s="460" t="e">
        <v>#N/A</v>
      </c>
      <c r="L2430" s="459" t="e">
        <v>#N/A</v>
      </c>
      <c r="O2430">
        <v>0</v>
      </c>
      <c r="P2430" t="s">
        <v>10307</v>
      </c>
    </row>
    <row r="2431" spans="1:16" ht="14.4" x14ac:dyDescent="0.3">
      <c r="A2431">
        <v>265604</v>
      </c>
      <c r="B2431" t="str">
        <f t="shared" si="74"/>
        <v>IC-10mm Profil pionowy szeroki (Classic) biały  2,75m</v>
      </c>
      <c r="C2431" s="185" t="e">
        <f t="shared" si="75"/>
        <v>#N/A</v>
      </c>
      <c r="D2431" s="407" t="s">
        <v>8762</v>
      </c>
      <c r="E2431" s="407" t="s">
        <v>8763</v>
      </c>
      <c r="F2431" s="407" t="s">
        <v>8764</v>
      </c>
      <c r="G2431" s="407" t="s">
        <v>8765</v>
      </c>
      <c r="H2431" s="460" t="e">
        <v>#N/A</v>
      </c>
      <c r="I2431" s="460" t="e">
        <v>#N/A</v>
      </c>
      <c r="J2431" s="460" t="e">
        <v>#N/A</v>
      </c>
      <c r="K2431" s="460" t="e">
        <v>#N/A</v>
      </c>
      <c r="L2431" s="459" t="e">
        <v>#N/A</v>
      </c>
      <c r="O2431">
        <v>0</v>
      </c>
      <c r="P2431" t="s">
        <v>10308</v>
      </c>
    </row>
    <row r="2432" spans="1:16" ht="14.4" x14ac:dyDescent="0.3">
      <c r="A2432">
        <v>265611</v>
      </c>
      <c r="B2432" t="str">
        <f t="shared" si="74"/>
        <v>IC-tor górny biały 3m</v>
      </c>
      <c r="C2432" s="185" t="e">
        <f t="shared" si="75"/>
        <v>#N/A</v>
      </c>
      <c r="D2432" s="407" t="s">
        <v>8766</v>
      </c>
      <c r="E2432" s="407" t="s">
        <v>8767</v>
      </c>
      <c r="F2432" s="407" t="s">
        <v>8768</v>
      </c>
      <c r="G2432" s="407" t="s">
        <v>8769</v>
      </c>
      <c r="H2432" s="460" t="e">
        <v>#N/A</v>
      </c>
      <c r="I2432" s="460" t="e">
        <v>#N/A</v>
      </c>
      <c r="J2432" s="460" t="e">
        <v>#N/A</v>
      </c>
      <c r="K2432" s="460" t="e">
        <v>#N/A</v>
      </c>
      <c r="L2432" s="459" t="e">
        <v>#N/A</v>
      </c>
      <c r="O2432">
        <v>0</v>
      </c>
      <c r="P2432" t="s">
        <v>10309</v>
      </c>
    </row>
    <row r="2433" spans="1:16" ht="14.4" x14ac:dyDescent="0.3">
      <c r="A2433">
        <v>265612</v>
      </c>
      <c r="B2433" t="str">
        <f t="shared" si="74"/>
        <v>IC-tor dolny biały  3m</v>
      </c>
      <c r="C2433" s="185" t="e">
        <f t="shared" si="75"/>
        <v>#N/A</v>
      </c>
      <c r="D2433" s="407" t="s">
        <v>8770</v>
      </c>
      <c r="E2433" s="407" t="s">
        <v>8771</v>
      </c>
      <c r="F2433" s="407" t="s">
        <v>8772</v>
      </c>
      <c r="G2433" s="407" t="s">
        <v>8773</v>
      </c>
      <c r="H2433" s="460" t="e">
        <v>#N/A</v>
      </c>
      <c r="I2433" s="460" t="e">
        <v>#N/A</v>
      </c>
      <c r="J2433" s="460" t="e">
        <v>#N/A</v>
      </c>
      <c r="K2433" s="460" t="e">
        <v>#N/A</v>
      </c>
      <c r="L2433" s="459" t="e">
        <v>#N/A</v>
      </c>
      <c r="O2433">
        <v>0</v>
      </c>
      <c r="P2433" t="s">
        <v>10310</v>
      </c>
    </row>
    <row r="2434" spans="1:16" ht="14.4" x14ac:dyDescent="0.3">
      <c r="A2434">
        <v>265613</v>
      </c>
      <c r="B2434" t="str">
        <f t="shared" si="74"/>
        <v>IC-4 mm Profil prowadzący biały 2,4 m</v>
      </c>
      <c r="C2434" s="185" t="e">
        <f t="shared" si="75"/>
        <v>#N/A</v>
      </c>
      <c r="D2434" s="407" t="s">
        <v>8774</v>
      </c>
      <c r="E2434" s="407" t="s">
        <v>8775</v>
      </c>
      <c r="F2434" s="407" t="s">
        <v>8776</v>
      </c>
      <c r="G2434" s="407" t="s">
        <v>8777</v>
      </c>
      <c r="H2434" s="460" t="e">
        <v>#N/A</v>
      </c>
      <c r="I2434" s="460" t="e">
        <v>#N/A</v>
      </c>
      <c r="J2434" s="460" t="e">
        <v>#N/A</v>
      </c>
      <c r="K2434" s="460" t="e">
        <v>#N/A</v>
      </c>
      <c r="L2434" s="459" t="e">
        <v>#N/A</v>
      </c>
      <c r="O2434">
        <v>0</v>
      </c>
      <c r="P2434" t="s">
        <v>10311</v>
      </c>
    </row>
    <row r="2435" spans="1:16" ht="14.4" x14ac:dyDescent="0.3">
      <c r="A2435">
        <v>265857</v>
      </c>
      <c r="B2435" t="str">
        <f t="shared" si="74"/>
        <v>IC-rączka Rome 10mm alu EU szampan 5,3m</v>
      </c>
      <c r="C2435" s="185" t="e">
        <f t="shared" si="75"/>
        <v>#N/A</v>
      </c>
      <c r="D2435" s="407" t="s">
        <v>8778</v>
      </c>
      <c r="E2435" s="407" t="s">
        <v>8779</v>
      </c>
      <c r="F2435" s="407" t="s">
        <v>8780</v>
      </c>
      <c r="G2435" s="407" t="s">
        <v>8781</v>
      </c>
      <c r="H2435" s="460" t="e">
        <v>#N/A</v>
      </c>
      <c r="I2435" s="460" t="e">
        <v>#N/A</v>
      </c>
      <c r="J2435" s="460" t="e">
        <v>#N/A</v>
      </c>
      <c r="K2435" s="460" t="e">
        <v>#N/A</v>
      </c>
      <c r="L2435" s="459" t="e">
        <v>#N/A</v>
      </c>
      <c r="O2435">
        <v>0</v>
      </c>
      <c r="P2435" t="s">
        <v>10312</v>
      </c>
    </row>
    <row r="2436" spans="1:16" ht="14.4" x14ac:dyDescent="0.3">
      <c r="A2436">
        <v>452737</v>
      </c>
      <c r="B2436" t="e">
        <f t="shared" ref="B2436:B2499" si="76">IF($A$2=1,D2436,IF($A$2=2,F2436,IF($A$2=3,G2436,IF($A$2=4,E2436,IF($A$2&gt;4,P2436,"zadat jazyk")))))</f>
        <v>#N/A</v>
      </c>
      <c r="C2436" s="185" t="e">
        <f t="shared" ref="C2436:C2499" si="77">IF($A$2=1,H2436,IF($A$2=2,I2436,IF($A$2=3,J2436,IF($A$2=4,K2436,IF($A$2&gt;4,O2436,"zadat jazyk")))))</f>
        <v>#N/A</v>
      </c>
      <c r="D2436" s="407" t="e">
        <v>#N/A</v>
      </c>
      <c r="E2436" s="407" t="e">
        <v>#N/A</v>
      </c>
      <c r="F2436" s="407" t="e">
        <v>#N/A</v>
      </c>
      <c r="G2436" s="407" t="e">
        <v>#N/A</v>
      </c>
      <c r="H2436" s="460" t="e">
        <v>#N/A</v>
      </c>
      <c r="I2436" s="460" t="e">
        <v>#N/A</v>
      </c>
      <c r="J2436" s="460" t="e">
        <v>#N/A</v>
      </c>
      <c r="K2436" s="460" t="e">
        <v>#N/A</v>
      </c>
      <c r="L2436" s="459" t="e">
        <v>#N/A</v>
      </c>
      <c r="O2436" t="e">
        <v>#N/A</v>
      </c>
      <c r="P2436" t="e">
        <v>#N/A</v>
      </c>
    </row>
    <row r="2437" spans="1:16" ht="14.4" x14ac:dyDescent="0.3">
      <c r="A2437">
        <v>90106</v>
      </c>
      <c r="B2437" t="str">
        <f t="shared" si="76"/>
        <v>SEVROLL Universal 18 rączka 2,7 m, srebrna</v>
      </c>
      <c r="C2437" s="185">
        <f t="shared" si="77"/>
        <v>57.807389999999998</v>
      </c>
      <c r="D2437" s="407" t="s">
        <v>2627</v>
      </c>
      <c r="E2437" s="407" t="s">
        <v>4443</v>
      </c>
      <c r="F2437" s="407" t="s">
        <v>4444</v>
      </c>
      <c r="G2437" s="407" t="s">
        <v>4445</v>
      </c>
      <c r="H2437" s="460">
        <v>467.54120999999998</v>
      </c>
      <c r="I2437" s="460">
        <v>16.810600000000001</v>
      </c>
      <c r="J2437" s="460">
        <v>57.807389999999998</v>
      </c>
      <c r="K2437" s="460">
        <v>6470.1591200000003</v>
      </c>
      <c r="L2437" s="459" t="s">
        <v>538</v>
      </c>
      <c r="O2437">
        <v>14.96</v>
      </c>
      <c r="P2437" t="s">
        <v>9139</v>
      </c>
    </row>
    <row r="2438" spans="1:16" ht="14.4" x14ac:dyDescent="0.3">
      <c r="A2438">
        <v>89103</v>
      </c>
      <c r="B2438" t="str">
        <f t="shared" si="76"/>
        <v>SEVROLL Focus 18 mm rączka 2,7 m, srebrna</v>
      </c>
      <c r="C2438" s="185">
        <f t="shared" si="77"/>
        <v>23.26613</v>
      </c>
      <c r="D2438" s="407" t="s">
        <v>2628</v>
      </c>
      <c r="E2438" s="407" t="s">
        <v>3788</v>
      </c>
      <c r="F2438" s="407" t="s">
        <v>1252</v>
      </c>
      <c r="G2438" s="407" t="s">
        <v>3789</v>
      </c>
      <c r="H2438" s="460">
        <v>188.17447000000001</v>
      </c>
      <c r="I2438" s="460">
        <v>6.7658800000000001</v>
      </c>
      <c r="J2438" s="460">
        <v>23.26613</v>
      </c>
      <c r="K2438" s="460">
        <v>2604.08887</v>
      </c>
      <c r="L2438" s="459" t="s">
        <v>538</v>
      </c>
      <c r="O2438">
        <v>6.27</v>
      </c>
      <c r="P2438" t="s">
        <v>8927</v>
      </c>
    </row>
    <row r="2439" spans="1:16" ht="14.4" x14ac:dyDescent="0.3">
      <c r="A2439">
        <v>89104</v>
      </c>
      <c r="B2439" t="str">
        <f t="shared" si="76"/>
        <v>SEVROLL Gemini tor górny 1,7m złoty</v>
      </c>
      <c r="C2439" s="185">
        <f t="shared" si="77"/>
        <v>66.766980000000004</v>
      </c>
      <c r="D2439" s="407" t="s">
        <v>2629</v>
      </c>
      <c r="E2439" s="407" t="s">
        <v>4334</v>
      </c>
      <c r="F2439" s="407" t="s">
        <v>4335</v>
      </c>
      <c r="G2439" s="407" t="s">
        <v>4336</v>
      </c>
      <c r="H2439" s="460">
        <v>492.14863000000003</v>
      </c>
      <c r="I2439" s="460">
        <v>17.69537</v>
      </c>
      <c r="J2439" s="460">
        <v>66.766980000000004</v>
      </c>
      <c r="K2439" s="460">
        <v>6810.6939700000003</v>
      </c>
      <c r="L2439" s="459" t="s">
        <v>539</v>
      </c>
      <c r="O2439">
        <v>17.071999999999999</v>
      </c>
      <c r="P2439" t="s">
        <v>9104</v>
      </c>
    </row>
    <row r="2440" spans="1:16" ht="14.4" x14ac:dyDescent="0.3">
      <c r="A2440">
        <v>89105</v>
      </c>
      <c r="B2440" t="str">
        <f t="shared" si="76"/>
        <v>SEVROLL 01008 Gemini horní vedení 1,7m oliva</v>
      </c>
      <c r="C2440" s="185">
        <f t="shared" si="77"/>
        <v>66.766980000000004</v>
      </c>
      <c r="D2440" s="407" t="s">
        <v>2630</v>
      </c>
      <c r="E2440" s="407" t="s">
        <v>4362</v>
      </c>
      <c r="F2440" s="407" t="s">
        <v>4363</v>
      </c>
      <c r="G2440" s="407" t="s">
        <v>2630</v>
      </c>
      <c r="H2440" s="460">
        <v>492.14863000000003</v>
      </c>
      <c r="I2440" s="460">
        <v>17.69537</v>
      </c>
      <c r="J2440" s="460">
        <v>66.766980000000004</v>
      </c>
      <c r="K2440" s="460">
        <v>6810.6939700000003</v>
      </c>
      <c r="L2440" s="459" t="s">
        <v>538</v>
      </c>
      <c r="O2440">
        <v>16.565999999999999</v>
      </c>
      <c r="P2440" t="s">
        <v>9111</v>
      </c>
    </row>
    <row r="2441" spans="1:16" ht="14.4" x14ac:dyDescent="0.3">
      <c r="A2441">
        <v>89106</v>
      </c>
      <c r="B2441" t="str">
        <f t="shared" si="76"/>
        <v>SEVROLL 01023 Gemini horní vedení 1,7m stříbrná</v>
      </c>
      <c r="C2441" s="185">
        <f t="shared" si="77"/>
        <v>52.183329999999998</v>
      </c>
      <c r="D2441" s="407" t="s">
        <v>2631</v>
      </c>
      <c r="E2441" s="407" t="s">
        <v>4234</v>
      </c>
      <c r="F2441" s="407" t="s">
        <v>4235</v>
      </c>
      <c r="G2441" s="407" t="s">
        <v>2631</v>
      </c>
      <c r="H2441" s="460">
        <v>393.71888999999999</v>
      </c>
      <c r="I2441" s="460">
        <v>14.15629</v>
      </c>
      <c r="J2441" s="460">
        <v>52.183329999999998</v>
      </c>
      <c r="K2441" s="460">
        <v>5448.5553399999999</v>
      </c>
      <c r="L2441" s="459" t="s">
        <v>538</v>
      </c>
      <c r="O2441">
        <v>13.97</v>
      </c>
      <c r="P2441" t="s">
        <v>9073</v>
      </c>
    </row>
    <row r="2442" spans="1:16" ht="14.4" x14ac:dyDescent="0.3">
      <c r="A2442">
        <v>89107</v>
      </c>
      <c r="B2442" t="str">
        <f t="shared" si="76"/>
        <v>SEVROLL 01032 Gemini horní vedení 2,35m zlatá</v>
      </c>
      <c r="C2442" s="185">
        <f t="shared" si="77"/>
        <v>84.116020000000006</v>
      </c>
      <c r="D2442" s="407" t="s">
        <v>2632</v>
      </c>
      <c r="E2442" s="407" t="s">
        <v>4564</v>
      </c>
      <c r="F2442" s="407" t="s">
        <v>4565</v>
      </c>
      <c r="G2442" s="407" t="s">
        <v>2632</v>
      </c>
      <c r="H2442" s="460">
        <v>680.32309999999995</v>
      </c>
      <c r="I2442" s="460">
        <v>24.46124</v>
      </c>
      <c r="J2442" s="460">
        <v>84.116020000000006</v>
      </c>
      <c r="K2442" s="460">
        <v>9414.7828399999999</v>
      </c>
      <c r="L2442" s="459" t="s">
        <v>539</v>
      </c>
      <c r="O2442">
        <v>23.606000000000002</v>
      </c>
      <c r="P2442" t="s">
        <v>9176</v>
      </c>
    </row>
    <row r="2443" spans="1:16" ht="14.4" x14ac:dyDescent="0.3">
      <c r="A2443">
        <v>89108</v>
      </c>
      <c r="B2443" t="str">
        <f t="shared" si="76"/>
        <v>SEVROLL 01010 Gemini horní vedení 2,35m oliva</v>
      </c>
      <c r="C2443" s="185">
        <f t="shared" si="77"/>
        <v>84.116020000000006</v>
      </c>
      <c r="D2443" s="407" t="s">
        <v>2633</v>
      </c>
      <c r="E2443" s="407" t="s">
        <v>4562</v>
      </c>
      <c r="F2443" s="407" t="s">
        <v>4563</v>
      </c>
      <c r="G2443" s="407" t="s">
        <v>2633</v>
      </c>
      <c r="H2443" s="460">
        <v>680.32309999999995</v>
      </c>
      <c r="I2443" s="460">
        <v>24.46124</v>
      </c>
      <c r="J2443" s="460">
        <v>84.116020000000006</v>
      </c>
      <c r="K2443" s="460">
        <v>9414.7828399999999</v>
      </c>
      <c r="L2443" s="459" t="s">
        <v>538</v>
      </c>
      <c r="O2443">
        <v>22.902000000000001</v>
      </c>
      <c r="P2443" t="s">
        <v>9175</v>
      </c>
    </row>
    <row r="2444" spans="1:16" ht="14.4" x14ac:dyDescent="0.3">
      <c r="A2444">
        <v>89109</v>
      </c>
      <c r="B2444" t="str">
        <f t="shared" si="76"/>
        <v>SEVROLL 01025 Gemini horní vedení 2,35m stříbrná</v>
      </c>
      <c r="C2444" s="185">
        <f t="shared" si="77"/>
        <v>72.115889999999993</v>
      </c>
      <c r="D2444" s="407" t="s">
        <v>2634</v>
      </c>
      <c r="E2444" s="407" t="s">
        <v>4449</v>
      </c>
      <c r="F2444" s="407" t="s">
        <v>4450</v>
      </c>
      <c r="G2444" s="407" t="s">
        <v>2634</v>
      </c>
      <c r="H2444" s="460">
        <v>543.53472999999997</v>
      </c>
      <c r="I2444" s="460">
        <v>19.54297</v>
      </c>
      <c r="J2444" s="460">
        <v>72.115889999999993</v>
      </c>
      <c r="K2444" s="460">
        <v>7521.8103799999999</v>
      </c>
      <c r="L2444" s="459" t="s">
        <v>538</v>
      </c>
      <c r="O2444">
        <v>19.315999999999999</v>
      </c>
      <c r="P2444" t="s">
        <v>9141</v>
      </c>
    </row>
    <row r="2445" spans="1:16" ht="14.4" x14ac:dyDescent="0.3">
      <c r="A2445">
        <v>89110</v>
      </c>
      <c r="B2445" t="str">
        <f t="shared" si="76"/>
        <v>SEVROLL 01033 Gemini horní vedení 3m zlatá</v>
      </c>
      <c r="C2445" s="185">
        <f t="shared" si="77"/>
        <v>107.38215</v>
      </c>
      <c r="D2445" s="407" t="s">
        <v>2635</v>
      </c>
      <c r="E2445" s="407" t="s">
        <v>4727</v>
      </c>
      <c r="F2445" s="407" t="s">
        <v>4728</v>
      </c>
      <c r="G2445" s="407" t="s">
        <v>2635</v>
      </c>
      <c r="H2445" s="460">
        <v>868.49757999999997</v>
      </c>
      <c r="I2445" s="460">
        <v>31.227119999999999</v>
      </c>
      <c r="J2445" s="460">
        <v>107.38215</v>
      </c>
      <c r="K2445" s="460">
        <v>12018.8717</v>
      </c>
      <c r="L2445" s="459" t="s">
        <v>539</v>
      </c>
      <c r="O2445">
        <v>30.184000000000001</v>
      </c>
      <c r="P2445" t="s">
        <v>9224</v>
      </c>
    </row>
    <row r="2446" spans="1:16" ht="14.4" x14ac:dyDescent="0.3">
      <c r="A2446">
        <v>89111</v>
      </c>
      <c r="B2446" t="str">
        <f t="shared" si="76"/>
        <v>SEVROLL 01011 Gemini horní vedení 3m oliva</v>
      </c>
      <c r="C2446" s="185">
        <f t="shared" si="77"/>
        <v>107.38215</v>
      </c>
      <c r="D2446" s="407" t="s">
        <v>2636</v>
      </c>
      <c r="E2446" s="407" t="s">
        <v>4725</v>
      </c>
      <c r="F2446" s="407" t="s">
        <v>4726</v>
      </c>
      <c r="G2446" s="407" t="s">
        <v>2636</v>
      </c>
      <c r="H2446" s="460">
        <v>868.49757999999997</v>
      </c>
      <c r="I2446" s="460">
        <v>31.227119999999999</v>
      </c>
      <c r="J2446" s="460">
        <v>107.38215</v>
      </c>
      <c r="K2446" s="460">
        <v>12018.8717</v>
      </c>
      <c r="L2446" s="459" t="s">
        <v>538</v>
      </c>
      <c r="O2446">
        <v>29.282</v>
      </c>
      <c r="P2446" t="s">
        <v>9223</v>
      </c>
    </row>
    <row r="2447" spans="1:16" ht="14.4" x14ac:dyDescent="0.3">
      <c r="A2447">
        <v>89112</v>
      </c>
      <c r="B2447" t="str">
        <f t="shared" si="76"/>
        <v>SEVROLL 01026 Gemini horní vedení 3m stříbrná</v>
      </c>
      <c r="C2447" s="185">
        <f t="shared" si="77"/>
        <v>92.079909999999998</v>
      </c>
      <c r="D2447" s="407" t="s">
        <v>2637</v>
      </c>
      <c r="E2447" s="407" t="s">
        <v>4602</v>
      </c>
      <c r="F2447" s="407" t="s">
        <v>4603</v>
      </c>
      <c r="G2447" s="407" t="s">
        <v>2637</v>
      </c>
      <c r="H2447" s="460">
        <v>694.07431999999994</v>
      </c>
      <c r="I2447" s="460">
        <v>24.9817</v>
      </c>
      <c r="J2447" s="460">
        <v>92.079909999999998</v>
      </c>
      <c r="K2447" s="460">
        <v>9605.0817900000002</v>
      </c>
      <c r="L2447" s="459" t="s">
        <v>538</v>
      </c>
      <c r="O2447">
        <v>24.661999999999999</v>
      </c>
      <c r="P2447" t="s">
        <v>9185</v>
      </c>
    </row>
    <row r="2448" spans="1:16" ht="14.4" x14ac:dyDescent="0.3">
      <c r="A2448">
        <v>89113</v>
      </c>
      <c r="B2448" t="str">
        <f t="shared" si="76"/>
        <v>SEVROLL 01462 Gemini horní vedení 4,05m zlatá</v>
      </c>
      <c r="C2448" s="185">
        <f t="shared" si="77"/>
        <v>144.9659</v>
      </c>
      <c r="D2448" s="407" t="s">
        <v>2638</v>
      </c>
      <c r="E2448" s="407" t="s">
        <v>4889</v>
      </c>
      <c r="F2448" s="407" t="s">
        <v>4890</v>
      </c>
      <c r="G2448" s="407" t="s">
        <v>2638</v>
      </c>
      <c r="H2448" s="460">
        <v>1172.47173</v>
      </c>
      <c r="I2448" s="460">
        <v>42.156610000000001</v>
      </c>
      <c r="J2448" s="460">
        <v>144.9659</v>
      </c>
      <c r="K2448" s="460">
        <v>16225.4768</v>
      </c>
      <c r="L2448" s="459" t="s">
        <v>540</v>
      </c>
      <c r="O2448">
        <v>40.700000000000003</v>
      </c>
      <c r="P2448" t="s">
        <v>9272</v>
      </c>
    </row>
    <row r="2449" spans="1:16" ht="14.4" x14ac:dyDescent="0.3">
      <c r="A2449">
        <v>89114</v>
      </c>
      <c r="B2449" t="str">
        <f t="shared" si="76"/>
        <v>SEVROLL 01439 Gemini horní vedení 4,05m oliva</v>
      </c>
      <c r="C2449" s="185">
        <f t="shared" si="77"/>
        <v>144.9659</v>
      </c>
      <c r="D2449" s="407" t="s">
        <v>2639</v>
      </c>
      <c r="E2449" s="407" t="s">
        <v>4887</v>
      </c>
      <c r="F2449" s="407" t="s">
        <v>4888</v>
      </c>
      <c r="G2449" s="407" t="s">
        <v>2639</v>
      </c>
      <c r="H2449" s="460">
        <v>1172.47173</v>
      </c>
      <c r="I2449" s="460">
        <v>42.156610000000001</v>
      </c>
      <c r="J2449" s="460">
        <v>144.9659</v>
      </c>
      <c r="K2449" s="460">
        <v>16225.4768</v>
      </c>
      <c r="L2449" s="459" t="s">
        <v>538</v>
      </c>
      <c r="O2449">
        <v>39.49</v>
      </c>
      <c r="P2449" t="s">
        <v>9271</v>
      </c>
    </row>
    <row r="2450" spans="1:16" ht="14.4" x14ac:dyDescent="0.3">
      <c r="A2450">
        <v>89115</v>
      </c>
      <c r="B2450" t="str">
        <f t="shared" si="76"/>
        <v>SEVROLL 01469 Gemini horní vedení 4,05m stříbrná</v>
      </c>
      <c r="C2450" s="185">
        <f t="shared" si="77"/>
        <v>124.31495</v>
      </c>
      <c r="D2450" s="407" t="s">
        <v>2640</v>
      </c>
      <c r="E2450" s="407" t="s">
        <v>4790</v>
      </c>
      <c r="F2450" s="407" t="s">
        <v>4791</v>
      </c>
      <c r="G2450" s="407" t="s">
        <v>2640</v>
      </c>
      <c r="H2450" s="460">
        <v>936.52988000000005</v>
      </c>
      <c r="I2450" s="460">
        <v>33.67324</v>
      </c>
      <c r="J2450" s="460">
        <v>124.31495</v>
      </c>
      <c r="K2450" s="460">
        <v>12960.35014</v>
      </c>
      <c r="L2450" s="459" t="s">
        <v>538</v>
      </c>
      <c r="O2450">
        <v>33.286000000000001</v>
      </c>
      <c r="P2450" t="s">
        <v>9244</v>
      </c>
    </row>
    <row r="2451" spans="1:16" ht="14.4" x14ac:dyDescent="0.3">
      <c r="A2451">
        <v>89116</v>
      </c>
      <c r="B2451" t="str">
        <f t="shared" si="76"/>
        <v>SEVROLL Cleft tor dolny 1,7m złoty</v>
      </c>
      <c r="C2451" s="185" t="e">
        <f t="shared" si="77"/>
        <v>#N/A</v>
      </c>
      <c r="D2451" s="407" t="s">
        <v>2641</v>
      </c>
      <c r="E2451" s="407" t="s">
        <v>5104</v>
      </c>
      <c r="F2451" s="407" t="s">
        <v>5105</v>
      </c>
      <c r="G2451" s="407" t="s">
        <v>5106</v>
      </c>
      <c r="H2451" s="460" t="e">
        <v>#N/A</v>
      </c>
      <c r="I2451" s="460" t="e">
        <v>#N/A</v>
      </c>
      <c r="J2451" s="460" t="e">
        <v>#N/A</v>
      </c>
      <c r="K2451" s="460" t="e">
        <v>#N/A</v>
      </c>
      <c r="L2451" s="459" t="e">
        <v>#N/A</v>
      </c>
      <c r="O2451" t="e">
        <v>#N/A</v>
      </c>
      <c r="P2451" t="e">
        <v>#N/A</v>
      </c>
    </row>
    <row r="2452" spans="1:16" ht="14.4" x14ac:dyDescent="0.3">
      <c r="A2452">
        <v>89117</v>
      </c>
      <c r="B2452" t="str">
        <f t="shared" si="76"/>
        <v>SEVROLL Cleft tor dolny 1,7m jasny brąz</v>
      </c>
      <c r="C2452" s="185" t="e">
        <f t="shared" si="77"/>
        <v>#N/A</v>
      </c>
      <c r="D2452" s="407" t="s">
        <v>2642</v>
      </c>
      <c r="E2452" s="407" t="s">
        <v>5100</v>
      </c>
      <c r="F2452" s="407" t="s">
        <v>1065</v>
      </c>
      <c r="G2452" s="407" t="s">
        <v>5101</v>
      </c>
      <c r="H2452" s="460" t="e">
        <v>#N/A</v>
      </c>
      <c r="I2452" s="460" t="e">
        <v>#N/A</v>
      </c>
      <c r="J2452" s="460" t="e">
        <v>#N/A</v>
      </c>
      <c r="K2452" s="460" t="e">
        <v>#N/A</v>
      </c>
      <c r="L2452" s="459" t="e">
        <v>#N/A</v>
      </c>
      <c r="O2452">
        <v>5.9748299999999999</v>
      </c>
      <c r="P2452" t="s">
        <v>9324</v>
      </c>
    </row>
    <row r="2453" spans="1:16" ht="14.4" x14ac:dyDescent="0.3">
      <c r="A2453">
        <v>89118</v>
      </c>
      <c r="B2453" t="str">
        <f t="shared" si="76"/>
        <v>SEVROLL Cleft tor dolny 1,7m srebrny</v>
      </c>
      <c r="C2453" s="185" t="e">
        <f t="shared" si="77"/>
        <v>#N/A</v>
      </c>
      <c r="D2453" s="407" t="s">
        <v>2643</v>
      </c>
      <c r="E2453" s="407" t="s">
        <v>5102</v>
      </c>
      <c r="F2453" s="407" t="s">
        <v>1064</v>
      </c>
      <c r="G2453" s="407" t="s">
        <v>5103</v>
      </c>
      <c r="H2453" s="460" t="e">
        <v>#N/A</v>
      </c>
      <c r="I2453" s="460" t="e">
        <v>#N/A</v>
      </c>
      <c r="J2453" s="460" t="e">
        <v>#N/A</v>
      </c>
      <c r="K2453" s="460" t="e">
        <v>#N/A</v>
      </c>
      <c r="L2453" s="459" t="e">
        <v>#N/A</v>
      </c>
      <c r="O2453">
        <v>5.9748299999999999</v>
      </c>
      <c r="P2453" t="s">
        <v>9325</v>
      </c>
    </row>
    <row r="2454" spans="1:16" ht="14.4" x14ac:dyDescent="0.3">
      <c r="A2454">
        <v>89122</v>
      </c>
      <c r="B2454" t="str">
        <f t="shared" si="76"/>
        <v>SEVROLL Cleft tor dolny 3m złoty</v>
      </c>
      <c r="C2454" s="185" t="e">
        <f t="shared" si="77"/>
        <v>#N/A</v>
      </c>
      <c r="D2454" s="407" t="s">
        <v>2644</v>
      </c>
      <c r="E2454" s="407" t="s">
        <v>5107</v>
      </c>
      <c r="F2454" s="407" t="s">
        <v>1063</v>
      </c>
      <c r="G2454" s="407" t="s">
        <v>5108</v>
      </c>
      <c r="H2454" s="460" t="e">
        <v>#N/A</v>
      </c>
      <c r="I2454" s="460" t="e">
        <v>#N/A</v>
      </c>
      <c r="J2454" s="460" t="e">
        <v>#N/A</v>
      </c>
      <c r="K2454" s="460" t="e">
        <v>#N/A</v>
      </c>
      <c r="L2454" s="459" t="e">
        <v>#N/A</v>
      </c>
      <c r="O2454" t="e">
        <v>#N/A</v>
      </c>
      <c r="P2454" t="e">
        <v>#N/A</v>
      </c>
    </row>
    <row r="2455" spans="1:16" ht="14.4" x14ac:dyDescent="0.3">
      <c r="A2455">
        <v>89125</v>
      </c>
      <c r="B2455" t="str">
        <f t="shared" si="76"/>
        <v>SEVROLL Cleft tor dolny 4,05m złoty</v>
      </c>
      <c r="C2455" s="185" t="e">
        <f t="shared" si="77"/>
        <v>#N/A</v>
      </c>
      <c r="D2455" s="407" t="s">
        <v>2645</v>
      </c>
      <c r="E2455" s="407" t="s">
        <v>5109</v>
      </c>
      <c r="F2455" s="407" t="s">
        <v>1062</v>
      </c>
      <c r="G2455" s="407" t="s">
        <v>5110</v>
      </c>
      <c r="H2455" s="460" t="e">
        <v>#N/A</v>
      </c>
      <c r="I2455" s="460" t="e">
        <v>#N/A</v>
      </c>
      <c r="J2455" s="460" t="e">
        <v>#N/A</v>
      </c>
      <c r="K2455" s="460" t="e">
        <v>#N/A</v>
      </c>
      <c r="L2455" s="459" t="e">
        <v>#N/A</v>
      </c>
      <c r="O2455" t="e">
        <v>#N/A</v>
      </c>
      <c r="P2455" t="e">
        <v>#N/A</v>
      </c>
    </row>
    <row r="2456" spans="1:16" ht="14.4" x14ac:dyDescent="0.3">
      <c r="A2456">
        <v>89131</v>
      </c>
      <c r="B2456" t="str">
        <f t="shared" si="76"/>
        <v>SEVROLL szczotka odbojowa z klejem 6,7x4 mm, szara</v>
      </c>
      <c r="C2456" s="185">
        <f t="shared" si="77"/>
        <v>1.0506</v>
      </c>
      <c r="D2456" s="407" t="s">
        <v>1180</v>
      </c>
      <c r="E2456" s="407" t="s">
        <v>5119</v>
      </c>
      <c r="F2456" s="407" t="s">
        <v>1193</v>
      </c>
      <c r="G2456" s="407" t="s">
        <v>5120</v>
      </c>
      <c r="H2456" s="460">
        <v>6.2927099999999996</v>
      </c>
      <c r="I2456" s="460">
        <v>0.20458000000000001</v>
      </c>
      <c r="J2456" s="460">
        <v>1.0506</v>
      </c>
      <c r="K2456" s="460">
        <v>89.639870000000002</v>
      </c>
      <c r="L2456" s="459" t="s">
        <v>538</v>
      </c>
      <c r="O2456">
        <v>0.1142</v>
      </c>
      <c r="P2456" t="s">
        <v>9329</v>
      </c>
    </row>
    <row r="2457" spans="1:16" ht="14.4" x14ac:dyDescent="0.3">
      <c r="A2457">
        <v>89132</v>
      </c>
      <c r="B2457" t="str">
        <f t="shared" si="76"/>
        <v>SEVROLL kątownik Mini 17x11mm 1,7m złoty</v>
      </c>
      <c r="C2457" s="185">
        <f t="shared" si="77"/>
        <v>10.55925</v>
      </c>
      <c r="D2457" s="407" t="s">
        <v>3574</v>
      </c>
      <c r="E2457" s="407" t="s">
        <v>3575</v>
      </c>
      <c r="F2457" s="407" t="s">
        <v>3576</v>
      </c>
      <c r="G2457" s="407" t="s">
        <v>3577</v>
      </c>
      <c r="H2457" s="460">
        <v>85.402270000000001</v>
      </c>
      <c r="I2457" s="460">
        <v>3.0706699999999998</v>
      </c>
      <c r="J2457" s="460">
        <v>10.55925</v>
      </c>
      <c r="K2457" s="460">
        <v>1181.85564</v>
      </c>
      <c r="L2457" s="459" t="s">
        <v>539</v>
      </c>
      <c r="O2457">
        <v>2.7280000000000002</v>
      </c>
      <c r="P2457" t="s">
        <v>8857</v>
      </c>
    </row>
    <row r="2458" spans="1:16" ht="14.4" x14ac:dyDescent="0.3">
      <c r="A2458">
        <v>89133</v>
      </c>
      <c r="B2458" t="str">
        <f t="shared" si="76"/>
        <v>SEVROLL 00093 úhelník 17x11mm 1,7m oliva</v>
      </c>
      <c r="C2458" s="185">
        <f t="shared" si="77"/>
        <v>10.55925</v>
      </c>
      <c r="D2458" s="407" t="s">
        <v>3581</v>
      </c>
      <c r="E2458" s="407" t="s">
        <v>3582</v>
      </c>
      <c r="F2458" s="407" t="s">
        <v>3583</v>
      </c>
      <c r="G2458" s="407" t="s">
        <v>2646</v>
      </c>
      <c r="H2458" s="460">
        <v>85.402270000000001</v>
      </c>
      <c r="I2458" s="460">
        <v>3.0706699999999998</v>
      </c>
      <c r="J2458" s="460">
        <v>10.55925</v>
      </c>
      <c r="K2458" s="460">
        <v>1181.85564</v>
      </c>
      <c r="L2458" s="459" t="s">
        <v>538</v>
      </c>
      <c r="O2458">
        <v>2.7280000000000002</v>
      </c>
      <c r="P2458" t="s">
        <v>8859</v>
      </c>
    </row>
    <row r="2459" spans="1:16" ht="14.4" x14ac:dyDescent="0.3">
      <c r="A2459">
        <v>89134</v>
      </c>
      <c r="B2459" t="str">
        <f t="shared" si="76"/>
        <v>SEVROLL 00102 úhelník 17x11mm 1,7m stříbrná</v>
      </c>
      <c r="C2459" s="185">
        <f t="shared" si="77"/>
        <v>8.7942400000000003</v>
      </c>
      <c r="D2459" s="407" t="s">
        <v>6139</v>
      </c>
      <c r="E2459" s="407" t="s">
        <v>6140</v>
      </c>
      <c r="F2459" s="407" t="s">
        <v>6141</v>
      </c>
      <c r="G2459" s="407" t="s">
        <v>2647</v>
      </c>
      <c r="H2459" s="460">
        <v>68.032300000000006</v>
      </c>
      <c r="I2459" s="460">
        <v>2.4461200000000001</v>
      </c>
      <c r="J2459" s="460">
        <v>8.7942400000000003</v>
      </c>
      <c r="K2459" s="460">
        <v>941.47843999999998</v>
      </c>
      <c r="L2459" s="459" t="s">
        <v>538</v>
      </c>
      <c r="O2459">
        <v>2.31</v>
      </c>
      <c r="P2459" t="s">
        <v>8851</v>
      </c>
    </row>
    <row r="2460" spans="1:16" ht="14.4" x14ac:dyDescent="0.3">
      <c r="A2460">
        <v>89135</v>
      </c>
      <c r="B2460" t="str">
        <f t="shared" si="76"/>
        <v>SEVROLL kątownik Mini 17x11mm 2,35m złoty</v>
      </c>
      <c r="C2460" s="185">
        <f t="shared" si="77"/>
        <v>14.586069999999999</v>
      </c>
      <c r="D2460" s="407" t="s">
        <v>3636</v>
      </c>
      <c r="E2460" s="407" t="s">
        <v>3637</v>
      </c>
      <c r="F2460" s="407" t="s">
        <v>3638</v>
      </c>
      <c r="G2460" s="407" t="s">
        <v>3639</v>
      </c>
      <c r="H2460" s="460">
        <v>117.97091</v>
      </c>
      <c r="I2460" s="460">
        <v>4.2286700000000002</v>
      </c>
      <c r="J2460" s="460">
        <v>14.586069999999999</v>
      </c>
      <c r="K2460" s="460">
        <v>1632.56332</v>
      </c>
      <c r="L2460" s="459" t="s">
        <v>539</v>
      </c>
      <c r="O2460">
        <v>3.806</v>
      </c>
      <c r="P2460" t="s">
        <v>8877</v>
      </c>
    </row>
    <row r="2461" spans="1:16" ht="14.4" x14ac:dyDescent="0.3">
      <c r="A2461">
        <v>89136</v>
      </c>
      <c r="B2461" t="str">
        <f t="shared" si="76"/>
        <v>SEVROLL 00094 úhelník 17x11mm 2,35m oliva</v>
      </c>
      <c r="C2461" s="185">
        <f t="shared" si="77"/>
        <v>14.586069999999999</v>
      </c>
      <c r="D2461" s="407" t="s">
        <v>3633</v>
      </c>
      <c r="E2461" s="407" t="s">
        <v>3634</v>
      </c>
      <c r="F2461" s="407" t="s">
        <v>3635</v>
      </c>
      <c r="G2461" s="407" t="s">
        <v>2648</v>
      </c>
      <c r="H2461" s="460">
        <v>117.97091</v>
      </c>
      <c r="I2461" s="460">
        <v>4.2286700000000002</v>
      </c>
      <c r="J2461" s="460">
        <v>14.586069999999999</v>
      </c>
      <c r="K2461" s="460">
        <v>1632.56332</v>
      </c>
      <c r="L2461" s="459" t="s">
        <v>538</v>
      </c>
      <c r="O2461">
        <v>3.806</v>
      </c>
      <c r="P2461" t="s">
        <v>8876</v>
      </c>
    </row>
    <row r="2462" spans="1:16" ht="14.4" x14ac:dyDescent="0.3">
      <c r="A2462">
        <v>89137</v>
      </c>
      <c r="B2462" t="str">
        <f t="shared" si="76"/>
        <v>SEVROLL kątownik 17x11mm 2,35m srebrny</v>
      </c>
      <c r="C2462" s="185">
        <f t="shared" si="77"/>
        <v>12.129440000000001</v>
      </c>
      <c r="D2462" s="407" t="s">
        <v>3590</v>
      </c>
      <c r="E2462" s="407" t="s">
        <v>3591</v>
      </c>
      <c r="F2462" s="407" t="s">
        <v>3592</v>
      </c>
      <c r="G2462" s="407" t="s">
        <v>3593</v>
      </c>
      <c r="H2462" s="460">
        <v>94.087239999999994</v>
      </c>
      <c r="I2462" s="460">
        <v>3.3829400000000001</v>
      </c>
      <c r="J2462" s="460">
        <v>12.129440000000001</v>
      </c>
      <c r="K2462" s="460">
        <v>1302.0444299999999</v>
      </c>
      <c r="L2462" s="459" t="s">
        <v>538</v>
      </c>
      <c r="O2462">
        <v>3.2559999999999998</v>
      </c>
      <c r="P2462" t="s">
        <v>8861</v>
      </c>
    </row>
    <row r="2463" spans="1:16" ht="14.4" x14ac:dyDescent="0.3">
      <c r="A2463">
        <v>89138</v>
      </c>
      <c r="B2463" t="str">
        <f t="shared" si="76"/>
        <v>SEVROLL kątownik Mini 17x11mm 3m złoty</v>
      </c>
      <c r="C2463" s="185">
        <f t="shared" si="77"/>
        <v>18.523420000000002</v>
      </c>
      <c r="D2463" s="407" t="s">
        <v>3725</v>
      </c>
      <c r="E2463" s="407" t="s">
        <v>3726</v>
      </c>
      <c r="F2463" s="407" t="s">
        <v>3727</v>
      </c>
      <c r="G2463" s="407" t="s">
        <v>3728</v>
      </c>
      <c r="H2463" s="460">
        <v>149.81584000000001</v>
      </c>
      <c r="I2463" s="460">
        <v>5.3866800000000001</v>
      </c>
      <c r="J2463" s="460">
        <v>18.523420000000002</v>
      </c>
      <c r="K2463" s="460">
        <v>2073.2554399999999</v>
      </c>
      <c r="L2463" s="459" t="s">
        <v>539</v>
      </c>
      <c r="O2463">
        <v>4.8840000000000003</v>
      </c>
      <c r="P2463" t="s">
        <v>8906</v>
      </c>
    </row>
    <row r="2464" spans="1:16" ht="14.4" x14ac:dyDescent="0.3">
      <c r="A2464">
        <v>89139</v>
      </c>
      <c r="B2464" t="str">
        <f t="shared" si="76"/>
        <v>SEVROLL kątownik 17x11mm 3m jasny brąz</v>
      </c>
      <c r="C2464" s="185">
        <f t="shared" si="77"/>
        <v>18.523420000000002</v>
      </c>
      <c r="D2464" s="407" t="s">
        <v>3721</v>
      </c>
      <c r="E2464" s="407" t="s">
        <v>3722</v>
      </c>
      <c r="F2464" s="407" t="s">
        <v>3723</v>
      </c>
      <c r="G2464" s="407" t="s">
        <v>3724</v>
      </c>
      <c r="H2464" s="460">
        <v>149.81584000000001</v>
      </c>
      <c r="I2464" s="460">
        <v>5.3866800000000001</v>
      </c>
      <c r="J2464" s="460">
        <v>18.523420000000002</v>
      </c>
      <c r="K2464" s="460">
        <v>2073.2554399999999</v>
      </c>
      <c r="L2464" s="459" t="s">
        <v>538</v>
      </c>
      <c r="O2464">
        <v>4.8840000000000003</v>
      </c>
      <c r="P2464" t="s">
        <v>8905</v>
      </c>
    </row>
    <row r="2465" spans="1:16" ht="14.4" x14ac:dyDescent="0.3">
      <c r="A2465">
        <v>89140</v>
      </c>
      <c r="B2465" t="str">
        <f t="shared" si="76"/>
        <v>SEVROLL kątownik 17x11mm 3m srebrny</v>
      </c>
      <c r="C2465" s="185">
        <f t="shared" si="77"/>
        <v>15.49611</v>
      </c>
      <c r="D2465" s="407" t="s">
        <v>3640</v>
      </c>
      <c r="E2465" s="407" t="s">
        <v>3641</v>
      </c>
      <c r="F2465" s="407" t="s">
        <v>3642</v>
      </c>
      <c r="G2465" s="407" t="s">
        <v>3643</v>
      </c>
      <c r="H2465" s="460">
        <v>120.14218</v>
      </c>
      <c r="I2465" s="460">
        <v>4.31975</v>
      </c>
      <c r="J2465" s="460">
        <v>15.49611</v>
      </c>
      <c r="K2465" s="460">
        <v>1662.61043</v>
      </c>
      <c r="L2465" s="459" t="s">
        <v>538</v>
      </c>
      <c r="O2465">
        <v>4.0919999999999996</v>
      </c>
      <c r="P2465" t="s">
        <v>8878</v>
      </c>
    </row>
    <row r="2466" spans="1:16" ht="14.4" x14ac:dyDescent="0.3">
      <c r="A2466">
        <v>89150</v>
      </c>
      <c r="B2466" t="str">
        <f t="shared" si="76"/>
        <v>SEVROLL Micra tor górny / dolny 1,7 m, srebrny anodowany</v>
      </c>
      <c r="C2466" s="185">
        <f t="shared" si="77"/>
        <v>11.699400000000001</v>
      </c>
      <c r="D2466" s="407" t="s">
        <v>2649</v>
      </c>
      <c r="E2466" s="407" t="s">
        <v>3625</v>
      </c>
      <c r="F2466" s="407" t="s">
        <v>1226</v>
      </c>
      <c r="G2466" s="407" t="s">
        <v>3626</v>
      </c>
      <c r="H2466" s="460">
        <v>93.363489999999999</v>
      </c>
      <c r="I2466" s="460">
        <v>3.3569200000000001</v>
      </c>
      <c r="J2466" s="460">
        <v>11.699400000000001</v>
      </c>
      <c r="K2466" s="460">
        <v>1292.0288700000001</v>
      </c>
      <c r="L2466" s="459" t="s">
        <v>538</v>
      </c>
      <c r="O2466">
        <v>3.1459999999999999</v>
      </c>
      <c r="P2466" t="s">
        <v>8873</v>
      </c>
    </row>
    <row r="2467" spans="1:16" ht="14.4" x14ac:dyDescent="0.3">
      <c r="A2467">
        <v>89151</v>
      </c>
      <c r="B2467" t="str">
        <f t="shared" si="76"/>
        <v>SEVROLL Micra tor górny / dolny 2,35 m, srebrny anodowany</v>
      </c>
      <c r="C2467" s="185">
        <f t="shared" si="77"/>
        <v>16.1568</v>
      </c>
      <c r="D2467" s="407" t="s">
        <v>2650</v>
      </c>
      <c r="E2467" s="407" t="s">
        <v>3736</v>
      </c>
      <c r="F2467" s="407" t="s">
        <v>1225</v>
      </c>
      <c r="G2467" s="407" t="s">
        <v>3737</v>
      </c>
      <c r="H2467" s="460">
        <v>129.55089000000001</v>
      </c>
      <c r="I2467" s="460">
        <v>4.6580500000000002</v>
      </c>
      <c r="J2467" s="460">
        <v>16.1568</v>
      </c>
      <c r="K2467" s="460">
        <v>1792.81519</v>
      </c>
      <c r="L2467" s="459" t="s">
        <v>538</v>
      </c>
      <c r="O2467">
        <v>4.3559999999999999</v>
      </c>
      <c r="P2467" t="s">
        <v>8909</v>
      </c>
    </row>
    <row r="2468" spans="1:16" ht="14.4" x14ac:dyDescent="0.3">
      <c r="A2468">
        <v>89152</v>
      </c>
      <c r="B2468" t="str">
        <f t="shared" si="76"/>
        <v>SEVROLL 01120 Micra tor górny / dolny 3 m, srebrny anodowany</v>
      </c>
      <c r="C2468" s="185">
        <f t="shared" si="77"/>
        <v>20.6448</v>
      </c>
      <c r="D2468" s="407" t="s">
        <v>2651</v>
      </c>
      <c r="E2468" s="407" t="s">
        <v>3827</v>
      </c>
      <c r="F2468" s="407" t="s">
        <v>1224</v>
      </c>
      <c r="G2468" s="407" t="s">
        <v>3828</v>
      </c>
      <c r="H2468" s="460">
        <v>165.01455000000001</v>
      </c>
      <c r="I2468" s="460">
        <v>5.9331500000000004</v>
      </c>
      <c r="J2468" s="460">
        <v>20.6448</v>
      </c>
      <c r="K2468" s="460">
        <v>2283.58554</v>
      </c>
      <c r="L2468" s="459" t="s">
        <v>538</v>
      </c>
      <c r="O2468">
        <v>5.5659999999999998</v>
      </c>
      <c r="P2468" t="s">
        <v>8942</v>
      </c>
    </row>
    <row r="2469" spans="1:16" ht="14.4" x14ac:dyDescent="0.3">
      <c r="A2469">
        <v>89156</v>
      </c>
      <c r="B2469" t="str">
        <f t="shared" si="76"/>
        <v>SEVROLL Micra tor górny / dolny 1,7 m, surowy</v>
      </c>
      <c r="C2469" s="185">
        <f t="shared" si="77"/>
        <v>8.9485100000000006</v>
      </c>
      <c r="D2469" s="407" t="s">
        <v>2652</v>
      </c>
      <c r="E2469" s="407" t="s">
        <v>6142</v>
      </c>
      <c r="F2469" s="407" t="s">
        <v>6143</v>
      </c>
      <c r="G2469" s="407" t="s">
        <v>6144</v>
      </c>
      <c r="H2469" s="460">
        <v>72.374799999999993</v>
      </c>
      <c r="I2469" s="460">
        <v>2.6022599999999998</v>
      </c>
      <c r="J2469" s="460">
        <v>8.9485100000000006</v>
      </c>
      <c r="K2469" s="460">
        <v>1001.57265</v>
      </c>
      <c r="L2469" s="459" t="s">
        <v>538</v>
      </c>
      <c r="O2469">
        <v>2.42</v>
      </c>
      <c r="P2469" t="s">
        <v>8850</v>
      </c>
    </row>
    <row r="2470" spans="1:16" ht="14.4" x14ac:dyDescent="0.3">
      <c r="A2470">
        <v>89157</v>
      </c>
      <c r="B2470" t="str">
        <f t="shared" si="76"/>
        <v>SEVROLL Micra tor górny / dolny 2,35 m, surowy</v>
      </c>
      <c r="C2470" s="185">
        <f t="shared" si="77"/>
        <v>12.43843</v>
      </c>
      <c r="D2470" s="407" t="s">
        <v>2653</v>
      </c>
      <c r="E2470" s="407" t="s">
        <v>3584</v>
      </c>
      <c r="F2470" s="407" t="s">
        <v>3585</v>
      </c>
      <c r="G2470" s="407" t="s">
        <v>3586</v>
      </c>
      <c r="H2470" s="460">
        <v>100.60097</v>
      </c>
      <c r="I2470" s="460">
        <v>3.61714</v>
      </c>
      <c r="J2470" s="460">
        <v>12.43843</v>
      </c>
      <c r="K2470" s="460">
        <v>1392.18614</v>
      </c>
      <c r="L2470" s="459" t="s">
        <v>538</v>
      </c>
      <c r="O2470">
        <v>3.3879999999999999</v>
      </c>
      <c r="P2470" t="s">
        <v>8860</v>
      </c>
    </row>
    <row r="2471" spans="1:16" ht="14.4" x14ac:dyDescent="0.3">
      <c r="A2471">
        <v>89158</v>
      </c>
      <c r="B2471" t="str">
        <f t="shared" si="76"/>
        <v>SEVROLL Micra tor górny / dolny 3 m, surowy</v>
      </c>
      <c r="C2471" s="185">
        <f t="shared" si="77"/>
        <v>15.83888</v>
      </c>
      <c r="D2471" s="407" t="s">
        <v>2654</v>
      </c>
      <c r="E2471" s="407" t="s">
        <v>3630</v>
      </c>
      <c r="F2471" s="407" t="s">
        <v>3631</v>
      </c>
      <c r="G2471" s="407" t="s">
        <v>3632</v>
      </c>
      <c r="H2471" s="460">
        <v>128.10339999999999</v>
      </c>
      <c r="I2471" s="460">
        <v>4.6059999999999999</v>
      </c>
      <c r="J2471" s="460">
        <v>15.83888</v>
      </c>
      <c r="K2471" s="460">
        <v>1772.7836600000001</v>
      </c>
      <c r="L2471" s="459" t="s">
        <v>538</v>
      </c>
      <c r="O2471">
        <v>4.3120000000000003</v>
      </c>
      <c r="P2471" t="s">
        <v>8875</v>
      </c>
    </row>
    <row r="2472" spans="1:16" ht="14.4" x14ac:dyDescent="0.3">
      <c r="A2472">
        <v>89172</v>
      </c>
      <c r="B2472" t="str">
        <f t="shared" si="76"/>
        <v>SEVROLL zaślepka do toru Cleft 1,7m złoty</v>
      </c>
      <c r="C2472" s="185" t="e">
        <f t="shared" si="77"/>
        <v>#N/A</v>
      </c>
      <c r="D2472" s="407" t="s">
        <v>1055</v>
      </c>
      <c r="E2472" s="407" t="s">
        <v>5409</v>
      </c>
      <c r="F2472" s="407" t="s">
        <v>5410</v>
      </c>
      <c r="G2472" s="407" t="s">
        <v>5411</v>
      </c>
      <c r="H2472" s="460" t="e">
        <v>#N/A</v>
      </c>
      <c r="I2472" s="460" t="e">
        <v>#N/A</v>
      </c>
      <c r="J2472" s="460" t="e">
        <v>#N/A</v>
      </c>
      <c r="K2472" s="460" t="e">
        <v>#N/A</v>
      </c>
      <c r="L2472" s="459" t="e">
        <v>#N/A</v>
      </c>
      <c r="O2472" t="e">
        <v>#N/A</v>
      </c>
      <c r="P2472" t="e">
        <v>#N/A</v>
      </c>
    </row>
    <row r="2473" spans="1:16" ht="14.4" x14ac:dyDescent="0.3">
      <c r="A2473">
        <v>89175</v>
      </c>
      <c r="B2473" t="str">
        <f t="shared" si="76"/>
        <v>SEVROLL zaślepka do toru Cleft 2,35m złoty</v>
      </c>
      <c r="C2473" s="185" t="e">
        <f t="shared" si="77"/>
        <v>#N/A</v>
      </c>
      <c r="D2473" s="407" t="s">
        <v>1053</v>
      </c>
      <c r="E2473" s="407" t="s">
        <v>5415</v>
      </c>
      <c r="F2473" s="407" t="s">
        <v>5416</v>
      </c>
      <c r="G2473" s="407" t="s">
        <v>5417</v>
      </c>
      <c r="H2473" s="460" t="e">
        <v>#N/A</v>
      </c>
      <c r="I2473" s="460" t="e">
        <v>#N/A</v>
      </c>
      <c r="J2473" s="460" t="e">
        <v>#N/A</v>
      </c>
      <c r="K2473" s="460" t="e">
        <v>#N/A</v>
      </c>
      <c r="L2473" s="459" t="e">
        <v>#N/A</v>
      </c>
      <c r="O2473" t="e">
        <v>#N/A</v>
      </c>
      <c r="P2473" t="e">
        <v>#N/A</v>
      </c>
    </row>
    <row r="2474" spans="1:16" ht="14.4" x14ac:dyDescent="0.3">
      <c r="A2474">
        <v>89177</v>
      </c>
      <c r="B2474" t="str">
        <f t="shared" si="76"/>
        <v>SEVROLL zaślepka do toru Cleft 2,35m srebrny</v>
      </c>
      <c r="C2474" s="185" t="e">
        <f t="shared" si="77"/>
        <v>#N/A</v>
      </c>
      <c r="D2474" s="407" t="s">
        <v>1054</v>
      </c>
      <c r="E2474" s="407" t="s">
        <v>5412</v>
      </c>
      <c r="F2474" s="407" t="s">
        <v>5413</v>
      </c>
      <c r="G2474" s="407" t="s">
        <v>5414</v>
      </c>
      <c r="H2474" s="460" t="e">
        <v>#N/A</v>
      </c>
      <c r="I2474" s="460" t="e">
        <v>#N/A</v>
      </c>
      <c r="J2474" s="460" t="e">
        <v>#N/A</v>
      </c>
      <c r="K2474" s="460" t="e">
        <v>#N/A</v>
      </c>
      <c r="L2474" s="459" t="e">
        <v>#N/A</v>
      </c>
      <c r="O2474">
        <v>3.0784199999999999</v>
      </c>
      <c r="P2474" t="s">
        <v>9431</v>
      </c>
    </row>
    <row r="2475" spans="1:16" ht="14.4" x14ac:dyDescent="0.3">
      <c r="A2475">
        <v>89178</v>
      </c>
      <c r="B2475" t="str">
        <f t="shared" si="76"/>
        <v>SEVROLL zaślepka do toru Cleft 3m złoty</v>
      </c>
      <c r="C2475" s="185" t="e">
        <f t="shared" si="77"/>
        <v>#N/A</v>
      </c>
      <c r="D2475" s="407" t="s">
        <v>1052</v>
      </c>
      <c r="E2475" s="407" t="s">
        <v>5418</v>
      </c>
      <c r="F2475" s="407" t="s">
        <v>5419</v>
      </c>
      <c r="G2475" s="407" t="s">
        <v>5420</v>
      </c>
      <c r="H2475" s="460" t="e">
        <v>#N/A</v>
      </c>
      <c r="I2475" s="460" t="e">
        <v>#N/A</v>
      </c>
      <c r="J2475" s="460" t="e">
        <v>#N/A</v>
      </c>
      <c r="K2475" s="460" t="e">
        <v>#N/A</v>
      </c>
      <c r="L2475" s="459" t="e">
        <v>#N/A</v>
      </c>
      <c r="O2475" t="e">
        <v>#N/A</v>
      </c>
      <c r="P2475" t="e">
        <v>#N/A</v>
      </c>
    </row>
    <row r="2476" spans="1:16" ht="14.4" x14ac:dyDescent="0.3">
      <c r="A2476">
        <v>89187</v>
      </c>
      <c r="B2476" t="str">
        <f t="shared" si="76"/>
        <v>SEVROLL listwa łącząca "T" 3m jasny brąz</v>
      </c>
      <c r="C2476" s="185">
        <f t="shared" si="77"/>
        <v>40.805219999999998</v>
      </c>
      <c r="D2476" s="407" t="s">
        <v>2655</v>
      </c>
      <c r="E2476" s="407" t="s">
        <v>4115</v>
      </c>
      <c r="F2476" s="407" t="s">
        <v>1210</v>
      </c>
      <c r="G2476" s="407" t="s">
        <v>4116</v>
      </c>
      <c r="H2476" s="460">
        <v>330.02909</v>
      </c>
      <c r="I2476" s="460">
        <v>11.86631</v>
      </c>
      <c r="J2476" s="460">
        <v>40.805219999999998</v>
      </c>
      <c r="K2476" s="460">
        <v>4567.1710700000003</v>
      </c>
      <c r="L2476" s="459" t="s">
        <v>538</v>
      </c>
      <c r="O2476">
        <v>10.032</v>
      </c>
      <c r="P2476" t="s">
        <v>9035</v>
      </c>
    </row>
    <row r="2477" spans="1:16" ht="14.4" x14ac:dyDescent="0.3">
      <c r="A2477">
        <v>89188</v>
      </c>
      <c r="B2477" t="str">
        <f t="shared" si="76"/>
        <v>SEVROLL listwa łącząca "T" 3m srebrna</v>
      </c>
      <c r="C2477" s="185">
        <f t="shared" si="77"/>
        <v>33.609000000000002</v>
      </c>
      <c r="D2477" s="407" t="s">
        <v>2656</v>
      </c>
      <c r="E2477" s="407" t="s">
        <v>4093</v>
      </c>
      <c r="F2477" s="407" t="s">
        <v>1209</v>
      </c>
      <c r="G2477" s="407" t="s">
        <v>4094</v>
      </c>
      <c r="H2477" s="460">
        <v>268.51049999999998</v>
      </c>
      <c r="I2477" s="460">
        <v>9.6543799999999997</v>
      </c>
      <c r="J2477" s="460">
        <v>33.609000000000002</v>
      </c>
      <c r="K2477" s="460">
        <v>3715.8343500000001</v>
      </c>
      <c r="L2477" s="459" t="s">
        <v>538</v>
      </c>
      <c r="O2477">
        <v>9.02</v>
      </c>
      <c r="P2477" t="s">
        <v>9028</v>
      </c>
    </row>
    <row r="2478" spans="1:16" ht="14.4" x14ac:dyDescent="0.3">
      <c r="A2478">
        <v>89224</v>
      </c>
      <c r="B2478" t="str">
        <f t="shared" si="76"/>
        <v>SEVROLL Gemini tor dolny 3m 10mm srebrny</v>
      </c>
      <c r="C2478" s="185">
        <f t="shared" si="77"/>
        <v>95.563800000000001</v>
      </c>
      <c r="D2478" s="407" t="s">
        <v>2657</v>
      </c>
      <c r="E2478" s="407" t="s">
        <v>5533</v>
      </c>
      <c r="F2478" s="407" t="s">
        <v>5534</v>
      </c>
      <c r="G2478" s="407" t="s">
        <v>5535</v>
      </c>
      <c r="H2478" s="460">
        <v>720.12924999999996</v>
      </c>
      <c r="I2478" s="460">
        <v>25.892489999999999</v>
      </c>
      <c r="J2478" s="460">
        <v>95.563800000000001</v>
      </c>
      <c r="K2478" s="460">
        <v>9965.6477799999993</v>
      </c>
      <c r="L2478" s="459" t="s">
        <v>538</v>
      </c>
      <c r="O2478">
        <v>25.585999999999999</v>
      </c>
      <c r="P2478" t="s">
        <v>9473</v>
      </c>
    </row>
    <row r="2479" spans="1:16" ht="14.4" x14ac:dyDescent="0.3">
      <c r="A2479">
        <v>89225</v>
      </c>
      <c r="B2479" t="str">
        <f t="shared" si="76"/>
        <v>SEVROLL maskownica dolna 3m 10mm jasny brąz</v>
      </c>
      <c r="C2479" s="185">
        <f t="shared" si="77"/>
        <v>108.81391000000001</v>
      </c>
      <c r="D2479" s="407" t="s">
        <v>2658</v>
      </c>
      <c r="E2479" s="407" t="s">
        <v>5527</v>
      </c>
      <c r="F2479" s="407" t="s">
        <v>5528</v>
      </c>
      <c r="G2479" s="407" t="s">
        <v>5529</v>
      </c>
      <c r="H2479" s="460">
        <v>880.07754999999997</v>
      </c>
      <c r="I2479" s="460">
        <v>31.64348</v>
      </c>
      <c r="J2479" s="460">
        <v>108.81391000000001</v>
      </c>
      <c r="K2479" s="460">
        <v>12179.123159999999</v>
      </c>
      <c r="L2479" s="459" t="s">
        <v>538</v>
      </c>
      <c r="O2479">
        <v>26.751999999999999</v>
      </c>
      <c r="P2479" t="s">
        <v>9471</v>
      </c>
    </row>
    <row r="2480" spans="1:16" ht="14.4" x14ac:dyDescent="0.3">
      <c r="A2480">
        <v>89226</v>
      </c>
      <c r="B2480" t="str">
        <f t="shared" si="76"/>
        <v>SEVROLL listwa maskownica dolna 2,35m 10mm srebrny</v>
      </c>
      <c r="C2480" s="185">
        <f t="shared" si="77"/>
        <v>74.827200000000005</v>
      </c>
      <c r="D2480" s="407" t="s">
        <v>2659</v>
      </c>
      <c r="E2480" s="407" t="s">
        <v>5515</v>
      </c>
      <c r="F2480" s="407" t="s">
        <v>5516</v>
      </c>
      <c r="G2480" s="407" t="s">
        <v>5517</v>
      </c>
      <c r="H2480" s="460">
        <v>563.07592999999997</v>
      </c>
      <c r="I2480" s="460">
        <v>20.24558</v>
      </c>
      <c r="J2480" s="460">
        <v>74.827200000000005</v>
      </c>
      <c r="K2480" s="460">
        <v>7792.2350699999997</v>
      </c>
      <c r="L2480" s="459" t="s">
        <v>538</v>
      </c>
      <c r="O2480">
        <v>19.998000000000001</v>
      </c>
      <c r="P2480" t="s">
        <v>9467</v>
      </c>
    </row>
    <row r="2481" spans="1:16" ht="14.4" x14ac:dyDescent="0.3">
      <c r="A2481">
        <v>89227</v>
      </c>
      <c r="B2481" t="str">
        <f t="shared" si="76"/>
        <v>SEVROLL maskownica dolna 2,35m 10mm jasny brąz</v>
      </c>
      <c r="C2481" s="185">
        <f t="shared" si="77"/>
        <v>85.010859999999994</v>
      </c>
      <c r="D2481" s="407" t="s">
        <v>2660</v>
      </c>
      <c r="E2481" s="407" t="s">
        <v>5509</v>
      </c>
      <c r="F2481" s="407" t="s">
        <v>5510</v>
      </c>
      <c r="G2481" s="407" t="s">
        <v>5511</v>
      </c>
      <c r="H2481" s="460">
        <v>687.56057999999996</v>
      </c>
      <c r="I2481" s="460">
        <v>24.72147</v>
      </c>
      <c r="J2481" s="460">
        <v>85.010859999999994</v>
      </c>
      <c r="K2481" s="460">
        <v>9514.9400999999998</v>
      </c>
      <c r="L2481" s="459" t="s">
        <v>538</v>
      </c>
      <c r="O2481">
        <v>20.9</v>
      </c>
      <c r="P2481" t="s">
        <v>9465</v>
      </c>
    </row>
    <row r="2482" spans="1:16" ht="14.4" x14ac:dyDescent="0.3">
      <c r="A2482">
        <v>89228</v>
      </c>
      <c r="B2482" t="str">
        <f t="shared" si="76"/>
        <v>SEVROLL maskownica dolna 1,7m 10mm srebrny</v>
      </c>
      <c r="C2482" s="185">
        <f t="shared" si="77"/>
        <v>54.141599999999997</v>
      </c>
      <c r="D2482" s="407" t="s">
        <v>2661</v>
      </c>
      <c r="E2482" s="407" t="s">
        <v>5500</v>
      </c>
      <c r="F2482" s="407" t="s">
        <v>5501</v>
      </c>
      <c r="G2482" s="407" t="s">
        <v>5502</v>
      </c>
      <c r="H2482" s="460">
        <v>407.4701</v>
      </c>
      <c r="I2482" s="460">
        <v>14.65072</v>
      </c>
      <c r="J2482" s="460">
        <v>54.141599999999997</v>
      </c>
      <c r="K2482" s="460">
        <v>5638.8538900000003</v>
      </c>
      <c r="L2482" s="459" t="s">
        <v>538</v>
      </c>
      <c r="O2482">
        <v>14.476000000000001</v>
      </c>
      <c r="P2482" t="s">
        <v>9462</v>
      </c>
    </row>
    <row r="2483" spans="1:16" ht="14.4" x14ac:dyDescent="0.3">
      <c r="A2483">
        <v>89229</v>
      </c>
      <c r="B2483" t="str">
        <f t="shared" si="76"/>
        <v>SEVROLL maskownica dolna 1,7m 10mm jasny brąz</v>
      </c>
      <c r="C2483" s="185">
        <f t="shared" si="77"/>
        <v>61.655250000000002</v>
      </c>
      <c r="D2483" s="407" t="s">
        <v>2662</v>
      </c>
      <c r="E2483" s="407" t="s">
        <v>5494</v>
      </c>
      <c r="F2483" s="407" t="s">
        <v>5495</v>
      </c>
      <c r="G2483" s="407" t="s">
        <v>5496</v>
      </c>
      <c r="H2483" s="460">
        <v>498.66235999999998</v>
      </c>
      <c r="I2483" s="460">
        <v>17.929569999999998</v>
      </c>
      <c r="J2483" s="460">
        <v>61.655250000000002</v>
      </c>
      <c r="K2483" s="460">
        <v>6900.83565</v>
      </c>
      <c r="L2483" s="459" t="s">
        <v>538</v>
      </c>
      <c r="O2483">
        <v>15.157999999999999</v>
      </c>
      <c r="P2483" t="s">
        <v>9460</v>
      </c>
    </row>
    <row r="2484" spans="1:16" ht="14.4" x14ac:dyDescent="0.3">
      <c r="A2484">
        <v>89230</v>
      </c>
      <c r="B2484" t="str">
        <f t="shared" si="76"/>
        <v>SEVROLL listwa pozioma górna 1,7m srebrny</v>
      </c>
      <c r="C2484" s="185">
        <f t="shared" si="77"/>
        <v>46.144799999999996</v>
      </c>
      <c r="D2484" s="407" t="s">
        <v>2663</v>
      </c>
      <c r="E2484" s="407" t="s">
        <v>5316</v>
      </c>
      <c r="F2484" s="407" t="s">
        <v>5317</v>
      </c>
      <c r="G2484" s="407" t="s">
        <v>5318</v>
      </c>
      <c r="H2484" s="460">
        <v>224.36187000000001</v>
      </c>
      <c r="I2484" s="460">
        <v>8.0670099999999998</v>
      </c>
      <c r="J2484" s="460">
        <v>46.144799999999996</v>
      </c>
      <c r="K2484" s="460">
        <v>3104.87518</v>
      </c>
      <c r="L2484" s="459" t="s">
        <v>538</v>
      </c>
      <c r="O2484">
        <v>7.766</v>
      </c>
      <c r="P2484" t="s">
        <v>9400</v>
      </c>
    </row>
    <row r="2485" spans="1:16" ht="14.4" x14ac:dyDescent="0.3">
      <c r="A2485">
        <v>89231</v>
      </c>
      <c r="B2485" t="str">
        <f t="shared" si="76"/>
        <v>SEVROLL listwa pozioma górna 1,7m jasny brąz</v>
      </c>
      <c r="C2485" s="185">
        <f t="shared" si="77"/>
        <v>50.755200000000002</v>
      </c>
      <c r="D2485" s="407" t="s">
        <v>2664</v>
      </c>
      <c r="E2485" s="407" t="s">
        <v>5308</v>
      </c>
      <c r="F2485" s="407" t="s">
        <v>5309</v>
      </c>
      <c r="G2485" s="407" t="s">
        <v>5310</v>
      </c>
      <c r="H2485" s="460">
        <v>267.78674999999998</v>
      </c>
      <c r="I2485" s="460">
        <v>9.6283600000000007</v>
      </c>
      <c r="J2485" s="460">
        <v>50.755200000000002</v>
      </c>
      <c r="K2485" s="460">
        <v>3705.8187600000001</v>
      </c>
      <c r="L2485" s="459" t="s">
        <v>538</v>
      </c>
      <c r="O2485">
        <v>8.14</v>
      </c>
      <c r="P2485" t="s">
        <v>9397</v>
      </c>
    </row>
    <row r="2486" spans="1:16" ht="14.4" x14ac:dyDescent="0.3">
      <c r="A2486">
        <v>89232</v>
      </c>
      <c r="B2486" t="str">
        <f t="shared" si="76"/>
        <v>SEVROLL listwa pozioma górna 2,35m srebrny</v>
      </c>
      <c r="C2486" s="185">
        <f t="shared" si="77"/>
        <v>63.801000000000002</v>
      </c>
      <c r="D2486" s="407" t="s">
        <v>2665</v>
      </c>
      <c r="E2486" s="407" t="s">
        <v>5332</v>
      </c>
      <c r="F2486" s="407" t="s">
        <v>5333</v>
      </c>
      <c r="G2486" s="407" t="s">
        <v>5334</v>
      </c>
      <c r="H2486" s="460">
        <v>310.48788999999999</v>
      </c>
      <c r="I2486" s="460">
        <v>11.1637</v>
      </c>
      <c r="J2486" s="460">
        <v>63.801000000000002</v>
      </c>
      <c r="K2486" s="460">
        <v>4296.7467900000001</v>
      </c>
      <c r="L2486" s="459" t="s">
        <v>538</v>
      </c>
      <c r="O2486">
        <v>10.802</v>
      </c>
      <c r="P2486" t="s">
        <v>9406</v>
      </c>
    </row>
    <row r="2487" spans="1:16" ht="14.4" x14ac:dyDescent="0.3">
      <c r="A2487">
        <v>89233</v>
      </c>
      <c r="B2487" t="str">
        <f t="shared" si="76"/>
        <v>SEVROLL listwa pozioma górna 2,35m jasny brąz</v>
      </c>
      <c r="C2487" s="185">
        <f t="shared" si="77"/>
        <v>70.186199999999999</v>
      </c>
      <c r="D2487" s="407" t="s">
        <v>2666</v>
      </c>
      <c r="E2487" s="407" t="s">
        <v>5324</v>
      </c>
      <c r="F2487" s="407" t="s">
        <v>5325</v>
      </c>
      <c r="G2487" s="407" t="s">
        <v>5326</v>
      </c>
      <c r="H2487" s="460">
        <v>371.28271000000001</v>
      </c>
      <c r="I2487" s="460">
        <v>13.349589999999999</v>
      </c>
      <c r="J2487" s="460">
        <v>70.186199999999999</v>
      </c>
      <c r="K2487" s="460">
        <v>5138.0675700000002</v>
      </c>
      <c r="L2487" s="459" t="s">
        <v>538</v>
      </c>
      <c r="O2487">
        <v>11.286</v>
      </c>
      <c r="P2487" t="s">
        <v>9403</v>
      </c>
    </row>
    <row r="2488" spans="1:16" ht="14.4" x14ac:dyDescent="0.3">
      <c r="A2488">
        <v>89234</v>
      </c>
      <c r="B2488" t="str">
        <f t="shared" si="76"/>
        <v>SEVROLL listwa pozioma górna 3m srebrny</v>
      </c>
      <c r="C2488" s="185">
        <f t="shared" si="77"/>
        <v>81.426599999999993</v>
      </c>
      <c r="D2488" s="407" t="s">
        <v>2667</v>
      </c>
      <c r="E2488" s="407" t="s">
        <v>5351</v>
      </c>
      <c r="F2488" s="407" t="s">
        <v>5352</v>
      </c>
      <c r="G2488" s="407" t="s">
        <v>5353</v>
      </c>
      <c r="H2488" s="460">
        <v>396.6139</v>
      </c>
      <c r="I2488" s="460">
        <v>14.26038</v>
      </c>
      <c r="J2488" s="460">
        <v>81.426599999999993</v>
      </c>
      <c r="K2488" s="460">
        <v>5488.6179899999997</v>
      </c>
      <c r="L2488" s="459" t="s">
        <v>538</v>
      </c>
      <c r="O2488">
        <v>13.772</v>
      </c>
      <c r="P2488" t="s">
        <v>9413</v>
      </c>
    </row>
    <row r="2489" spans="1:16" ht="14.4" x14ac:dyDescent="0.3">
      <c r="A2489">
        <v>89235</v>
      </c>
      <c r="B2489" t="str">
        <f t="shared" si="76"/>
        <v>SEVROLL listwa pozioma górna 3m jasny brąz</v>
      </c>
      <c r="C2489" s="185">
        <f t="shared" si="77"/>
        <v>89.566199999999995</v>
      </c>
      <c r="D2489" s="407" t="s">
        <v>2668</v>
      </c>
      <c r="E2489" s="407" t="s">
        <v>5343</v>
      </c>
      <c r="F2489" s="407" t="s">
        <v>5344</v>
      </c>
      <c r="G2489" s="407" t="s">
        <v>5345</v>
      </c>
      <c r="H2489" s="460">
        <v>474.05493999999999</v>
      </c>
      <c r="I2489" s="460">
        <v>17.044799999999999</v>
      </c>
      <c r="J2489" s="460">
        <v>89.566199999999995</v>
      </c>
      <c r="K2489" s="460">
        <v>6560.3008</v>
      </c>
      <c r="L2489" s="459" t="s">
        <v>538</v>
      </c>
      <c r="O2489">
        <v>14.41</v>
      </c>
      <c r="P2489" t="s">
        <v>9410</v>
      </c>
    </row>
    <row r="2490" spans="1:16" ht="14.4" x14ac:dyDescent="0.3">
      <c r="A2490">
        <v>89236</v>
      </c>
      <c r="B2490" t="str">
        <f t="shared" si="76"/>
        <v>SEVROLL listwa łącząca H10 3m srebrna</v>
      </c>
      <c r="C2490" s="185">
        <f t="shared" si="77"/>
        <v>51.754800000000003</v>
      </c>
      <c r="D2490" s="407" t="s">
        <v>2669</v>
      </c>
      <c r="E2490" s="407" t="s">
        <v>4319</v>
      </c>
      <c r="F2490" s="407" t="s">
        <v>4320</v>
      </c>
      <c r="G2490" s="407" t="s">
        <v>4321</v>
      </c>
      <c r="H2490" s="460">
        <v>338.71406000000002</v>
      </c>
      <c r="I2490" s="460">
        <v>12.17858</v>
      </c>
      <c r="J2490" s="460">
        <v>51.754800000000003</v>
      </c>
      <c r="K2490" s="460">
        <v>4687.3598899999997</v>
      </c>
      <c r="L2490" s="459" t="s">
        <v>538</v>
      </c>
      <c r="O2490">
        <v>13.904</v>
      </c>
      <c r="P2490" t="s">
        <v>9100</v>
      </c>
    </row>
    <row r="2491" spans="1:16" ht="14.4" x14ac:dyDescent="0.3">
      <c r="A2491">
        <v>89237</v>
      </c>
      <c r="B2491" t="str">
        <f t="shared" si="76"/>
        <v>SEVROLL listwa łącząca H10 3m jasny brąz</v>
      </c>
      <c r="C2491" s="185">
        <f t="shared" si="77"/>
        <v>56.915999999999997</v>
      </c>
      <c r="D2491" s="407" t="s">
        <v>2670</v>
      </c>
      <c r="E2491" s="407" t="s">
        <v>4316</v>
      </c>
      <c r="F2491" s="407" t="s">
        <v>4317</v>
      </c>
      <c r="G2491" s="407" t="s">
        <v>4318</v>
      </c>
      <c r="H2491" s="460">
        <v>423.39258000000001</v>
      </c>
      <c r="I2491" s="460">
        <v>15.22322</v>
      </c>
      <c r="J2491" s="460">
        <v>56.915999999999997</v>
      </c>
      <c r="K2491" s="460">
        <v>5859.1999500000002</v>
      </c>
      <c r="L2491" s="459" t="s">
        <v>538</v>
      </c>
      <c r="O2491">
        <v>15.29</v>
      </c>
      <c r="P2491" t="s">
        <v>9099</v>
      </c>
    </row>
    <row r="2492" spans="1:16" ht="14.4" x14ac:dyDescent="0.3">
      <c r="A2492">
        <v>89238</v>
      </c>
      <c r="B2492" t="str">
        <f t="shared" si="76"/>
        <v>SEVROLL uszczelka do szkła 10/4 mm</v>
      </c>
      <c r="C2492" s="185">
        <f t="shared" si="77"/>
        <v>2.7501000000000002</v>
      </c>
      <c r="D2492" s="407" t="s">
        <v>2671</v>
      </c>
      <c r="E2492" s="407" t="s">
        <v>5603</v>
      </c>
      <c r="F2492" s="407" t="s">
        <v>5604</v>
      </c>
      <c r="G2492" s="407" t="s">
        <v>5605</v>
      </c>
      <c r="H2492" s="460">
        <v>23.80818</v>
      </c>
      <c r="I2492" s="460">
        <v>0.80669999999999997</v>
      </c>
      <c r="J2492" s="460">
        <v>2.7501000000000002</v>
      </c>
      <c r="K2492" s="460">
        <v>317.79295000000002</v>
      </c>
      <c r="L2492" s="459" t="s">
        <v>538</v>
      </c>
      <c r="O2492">
        <v>0.72599999999999998</v>
      </c>
      <c r="P2492" t="s">
        <v>9500</v>
      </c>
    </row>
    <row r="2493" spans="1:16" ht="14.4" x14ac:dyDescent="0.3">
      <c r="A2493">
        <v>89243</v>
      </c>
      <c r="B2493" t="str">
        <f t="shared" si="76"/>
        <v>SEVROLL uszczelka bezbarwna 10/6mm</v>
      </c>
      <c r="C2493" s="185">
        <f t="shared" si="77"/>
        <v>2.7501000000000002</v>
      </c>
      <c r="D2493" s="407" t="s">
        <v>2672</v>
      </c>
      <c r="E2493" s="407" t="s">
        <v>5606</v>
      </c>
      <c r="F2493" s="407" t="s">
        <v>5607</v>
      </c>
      <c r="G2493" s="407" t="s">
        <v>5608</v>
      </c>
      <c r="H2493" s="460">
        <v>23.80818</v>
      </c>
      <c r="I2493" s="460">
        <v>0.80669999999999997</v>
      </c>
      <c r="J2493" s="460">
        <v>2.7501000000000002</v>
      </c>
      <c r="K2493" s="460">
        <v>317.79295000000002</v>
      </c>
      <c r="L2493" s="459" t="s">
        <v>538</v>
      </c>
      <c r="O2493">
        <v>0.72599999999999998</v>
      </c>
      <c r="P2493" t="s">
        <v>9501</v>
      </c>
    </row>
    <row r="2494" spans="1:16" ht="14.4" x14ac:dyDescent="0.3">
      <c r="A2494">
        <v>89244</v>
      </c>
      <c r="B2494" t="str">
        <f t="shared" si="76"/>
        <v>SEVROLL blachowkręt 6,3x32 SEVROLL i Simple</v>
      </c>
      <c r="C2494" s="185">
        <f t="shared" si="77"/>
        <v>0.52500000000000002</v>
      </c>
      <c r="D2494" s="407" t="s">
        <v>2673</v>
      </c>
      <c r="E2494" s="407" t="s">
        <v>6145</v>
      </c>
      <c r="F2494" s="407" t="s">
        <v>6146</v>
      </c>
      <c r="G2494" s="407" t="s">
        <v>6147</v>
      </c>
      <c r="H2494" s="460">
        <v>4.6080500000000004</v>
      </c>
      <c r="I2494" s="460">
        <v>0.15614</v>
      </c>
      <c r="J2494" s="460">
        <v>0.52500000000000002</v>
      </c>
      <c r="K2494" s="460">
        <v>61.50817</v>
      </c>
      <c r="L2494" s="459" t="s">
        <v>538</v>
      </c>
      <c r="O2494">
        <v>0.13200000000000001</v>
      </c>
      <c r="P2494" t="s">
        <v>8832</v>
      </c>
    </row>
    <row r="2495" spans="1:16" ht="14.4" x14ac:dyDescent="0.3">
      <c r="A2495">
        <v>89090</v>
      </c>
      <c r="B2495" t="str">
        <f t="shared" si="76"/>
        <v>SEVROLL zaślepka do toru Cleft 4,05m złoty</v>
      </c>
      <c r="C2495" s="185" t="e">
        <f t="shared" si="77"/>
        <v>#N/A</v>
      </c>
      <c r="D2495" s="407" t="s">
        <v>2674</v>
      </c>
      <c r="E2495" s="407" t="s">
        <v>5421</v>
      </c>
      <c r="F2495" s="407" t="s">
        <v>5422</v>
      </c>
      <c r="G2495" s="407" t="s">
        <v>5423</v>
      </c>
      <c r="H2495" s="460" t="e">
        <v>#N/A</v>
      </c>
      <c r="I2495" s="460" t="e">
        <v>#N/A</v>
      </c>
      <c r="J2495" s="460" t="e">
        <v>#N/A</v>
      </c>
      <c r="K2495" s="460" t="e">
        <v>#N/A</v>
      </c>
      <c r="L2495" s="459" t="e">
        <v>#N/A</v>
      </c>
      <c r="O2495" t="e">
        <v>#N/A</v>
      </c>
      <c r="P2495" t="e">
        <v>#N/A</v>
      </c>
    </row>
    <row r="2496" spans="1:16" ht="14.4" x14ac:dyDescent="0.3">
      <c r="A2496">
        <v>89093</v>
      </c>
      <c r="B2496" t="str">
        <f t="shared" si="76"/>
        <v>SEVROLL Focus 16mm rączka 2,7m jasny brąz</v>
      </c>
      <c r="C2496" s="185">
        <f t="shared" si="77"/>
        <v>29.08267</v>
      </c>
      <c r="D2496" s="407" t="s">
        <v>2675</v>
      </c>
      <c r="E2496" s="407" t="s">
        <v>3840</v>
      </c>
      <c r="F2496" s="407" t="s">
        <v>2675</v>
      </c>
      <c r="G2496" s="407" t="s">
        <v>3841</v>
      </c>
      <c r="H2496" s="460">
        <v>235.21811</v>
      </c>
      <c r="I2496" s="460">
        <v>8.4573499999999999</v>
      </c>
      <c r="J2496" s="460">
        <v>29.08267</v>
      </c>
      <c r="K2496" s="460">
        <v>3255.1110800000001</v>
      </c>
      <c r="L2496" s="459" t="s">
        <v>539</v>
      </c>
      <c r="O2496">
        <v>7.4359999999999999</v>
      </c>
      <c r="P2496" t="s">
        <v>8946</v>
      </c>
    </row>
    <row r="2497" spans="1:16" ht="14.4" x14ac:dyDescent="0.3">
      <c r="A2497">
        <v>89095</v>
      </c>
      <c r="B2497" t="str">
        <f t="shared" si="76"/>
        <v>SEVROLL Focus 16mm rączka 2,7m srebrny</v>
      </c>
      <c r="C2497" s="185">
        <f t="shared" si="77"/>
        <v>23.26613</v>
      </c>
      <c r="D2497" s="407" t="s">
        <v>2676</v>
      </c>
      <c r="E2497" s="407" t="s">
        <v>3762</v>
      </c>
      <c r="F2497" s="407" t="s">
        <v>3763</v>
      </c>
      <c r="G2497" s="407" t="s">
        <v>3764</v>
      </c>
      <c r="H2497" s="460">
        <v>188.17447000000001</v>
      </c>
      <c r="I2497" s="460">
        <v>6.7658800000000001</v>
      </c>
      <c r="J2497" s="460">
        <v>23.26613</v>
      </c>
      <c r="K2497" s="460">
        <v>2604.08887</v>
      </c>
      <c r="L2497" s="459" t="s">
        <v>539</v>
      </c>
      <c r="O2497">
        <v>6.27</v>
      </c>
      <c r="P2497" t="s">
        <v>8919</v>
      </c>
    </row>
    <row r="2498" spans="1:16" ht="14.4" x14ac:dyDescent="0.3">
      <c r="A2498">
        <v>89251</v>
      </c>
      <c r="B2498" t="str">
        <f t="shared" si="76"/>
        <v>SEVROLL - listwa pozioma górna 1,7 m złota</v>
      </c>
      <c r="C2498" s="185">
        <f t="shared" si="77"/>
        <v>50.755200000000002</v>
      </c>
      <c r="D2498" s="407" t="s">
        <v>2677</v>
      </c>
      <c r="E2498" s="407" t="s">
        <v>3866</v>
      </c>
      <c r="F2498" s="407" t="s">
        <v>3867</v>
      </c>
      <c r="G2498" s="407" t="s">
        <v>3868</v>
      </c>
      <c r="H2498" s="460">
        <v>267.78674999999998</v>
      </c>
      <c r="I2498" s="460">
        <v>9.6283600000000007</v>
      </c>
      <c r="J2498" s="460">
        <v>50.755200000000002</v>
      </c>
      <c r="K2498" s="460">
        <v>3705.8187600000001</v>
      </c>
      <c r="L2498" s="459" t="s">
        <v>539</v>
      </c>
      <c r="O2498">
        <v>8.14</v>
      </c>
      <c r="P2498" t="s">
        <v>8956</v>
      </c>
    </row>
    <row r="2499" spans="1:16" ht="14.4" x14ac:dyDescent="0.3">
      <c r="A2499">
        <v>89252</v>
      </c>
      <c r="B2499" t="str">
        <f t="shared" si="76"/>
        <v>SEVROLL listwa pozioma górna 2,35m złoty</v>
      </c>
      <c r="C2499" s="185">
        <f t="shared" si="77"/>
        <v>70.186199999999999</v>
      </c>
      <c r="D2499" s="407" t="s">
        <v>2678</v>
      </c>
      <c r="E2499" s="407" t="s">
        <v>5335</v>
      </c>
      <c r="F2499" s="407" t="s">
        <v>5336</v>
      </c>
      <c r="G2499" s="407" t="s">
        <v>5337</v>
      </c>
      <c r="H2499" s="460">
        <v>371.28271000000001</v>
      </c>
      <c r="I2499" s="460">
        <v>13.349589999999999</v>
      </c>
      <c r="J2499" s="460">
        <v>70.186199999999999</v>
      </c>
      <c r="K2499" s="460">
        <v>5138.0675700000002</v>
      </c>
      <c r="L2499" s="459" t="s">
        <v>539</v>
      </c>
      <c r="O2499">
        <v>11.286</v>
      </c>
      <c r="P2499" t="s">
        <v>9407</v>
      </c>
    </row>
    <row r="2500" spans="1:16" ht="14.4" x14ac:dyDescent="0.3">
      <c r="A2500">
        <v>89253</v>
      </c>
      <c r="B2500" t="str">
        <f t="shared" ref="B2500:B2563" si="78">IF($A$2=1,D2500,IF($A$2=2,F2500,IF($A$2=3,G2500,IF($A$2=4,E2500,IF($A$2&gt;4,P2500,"zadat jazyk")))))</f>
        <v>SEVROLL listwa pozioma górna 3m złoty</v>
      </c>
      <c r="C2500" s="185">
        <f t="shared" ref="C2500:C2563" si="79">IF($A$2=1,H2500,IF($A$2=2,I2500,IF($A$2=3,J2500,IF($A$2=4,K2500,IF($A$2&gt;4,O2500,"zadat jazyk")))))</f>
        <v>89.566199999999995</v>
      </c>
      <c r="D2500" s="407" t="s">
        <v>2679</v>
      </c>
      <c r="E2500" s="407" t="s">
        <v>5354</v>
      </c>
      <c r="F2500" s="407" t="s">
        <v>5355</v>
      </c>
      <c r="G2500" s="407" t="s">
        <v>5356</v>
      </c>
      <c r="H2500" s="460">
        <v>474.05493999999999</v>
      </c>
      <c r="I2500" s="460">
        <v>17.044799999999999</v>
      </c>
      <c r="J2500" s="460">
        <v>89.566199999999995</v>
      </c>
      <c r="K2500" s="460">
        <v>6560.3008</v>
      </c>
      <c r="L2500" s="459" t="s">
        <v>539</v>
      </c>
      <c r="O2500">
        <v>14.41</v>
      </c>
      <c r="P2500" t="s">
        <v>9414</v>
      </c>
    </row>
    <row r="2501" spans="1:16" ht="14.4" x14ac:dyDescent="0.3">
      <c r="A2501">
        <v>89255</v>
      </c>
      <c r="B2501" t="str">
        <f t="shared" si="78"/>
        <v>SEVROLL listwa pozioma dolna 2,35m 10mm złoty</v>
      </c>
      <c r="C2501" s="185">
        <f t="shared" si="79"/>
        <v>85.010859999999994</v>
      </c>
      <c r="D2501" s="407" t="s">
        <v>2680</v>
      </c>
      <c r="E2501" s="407" t="s">
        <v>4508</v>
      </c>
      <c r="F2501" s="407" t="s">
        <v>4509</v>
      </c>
      <c r="G2501" s="407" t="s">
        <v>4510</v>
      </c>
      <c r="H2501" s="460">
        <v>687.56057999999996</v>
      </c>
      <c r="I2501" s="460">
        <v>24.72147</v>
      </c>
      <c r="J2501" s="460">
        <v>85.010859999999994</v>
      </c>
      <c r="K2501" s="460">
        <v>9514.9400999999998</v>
      </c>
      <c r="L2501" s="459" t="s">
        <v>539</v>
      </c>
      <c r="O2501">
        <v>19.998000000000001</v>
      </c>
      <c r="P2501" t="s">
        <v>9157</v>
      </c>
    </row>
    <row r="2502" spans="1:16" ht="14.4" x14ac:dyDescent="0.3">
      <c r="A2502">
        <v>89254</v>
      </c>
      <c r="B2502" t="str">
        <f t="shared" si="78"/>
        <v>SEVROLL listwa pozioma dolna 1,7m 10mm złoty</v>
      </c>
      <c r="C2502" s="185">
        <f t="shared" si="79"/>
        <v>61.655250000000002</v>
      </c>
      <c r="D2502" s="407" t="s">
        <v>2681</v>
      </c>
      <c r="E2502" s="407" t="s">
        <v>5503</v>
      </c>
      <c r="F2502" s="407" t="s">
        <v>5504</v>
      </c>
      <c r="G2502" s="407" t="s">
        <v>5505</v>
      </c>
      <c r="H2502" s="460">
        <v>498.66235999999998</v>
      </c>
      <c r="I2502" s="460">
        <v>17.929569999999998</v>
      </c>
      <c r="J2502" s="460">
        <v>61.655250000000002</v>
      </c>
      <c r="K2502" s="460">
        <v>6900.83565</v>
      </c>
      <c r="L2502" s="459" t="s">
        <v>539</v>
      </c>
      <c r="O2502">
        <v>14.476000000000001</v>
      </c>
      <c r="P2502" t="s">
        <v>9463</v>
      </c>
    </row>
    <row r="2503" spans="1:16" ht="14.4" x14ac:dyDescent="0.3">
      <c r="A2503">
        <v>89256</v>
      </c>
      <c r="B2503" t="str">
        <f t="shared" si="78"/>
        <v>SEVROLL listwa pozioma dolna 3m 10mm złoty</v>
      </c>
      <c r="C2503" s="185">
        <f t="shared" si="79"/>
        <v>108.81391000000001</v>
      </c>
      <c r="D2503" s="407" t="s">
        <v>2682</v>
      </c>
      <c r="E2503" s="407" t="s">
        <v>5536</v>
      </c>
      <c r="F2503" s="407" t="s">
        <v>5537</v>
      </c>
      <c r="G2503" s="407" t="s">
        <v>5538</v>
      </c>
      <c r="H2503" s="460">
        <v>880.07754999999997</v>
      </c>
      <c r="I2503" s="460">
        <v>31.64348</v>
      </c>
      <c r="J2503" s="460">
        <v>108.81391000000001</v>
      </c>
      <c r="K2503" s="460">
        <v>12179.123159999999</v>
      </c>
      <c r="L2503" s="459" t="s">
        <v>539</v>
      </c>
      <c r="O2503">
        <v>25.585999999999999</v>
      </c>
      <c r="P2503" t="s">
        <v>9474</v>
      </c>
    </row>
    <row r="2504" spans="1:16" ht="14.4" x14ac:dyDescent="0.3">
      <c r="A2504">
        <v>89257</v>
      </c>
      <c r="B2504" t="str">
        <f t="shared" si="78"/>
        <v>SEVROLL listwa łącząca H10 3m złoty</v>
      </c>
      <c r="C2504" s="185">
        <f t="shared" si="79"/>
        <v>56.915999999999997</v>
      </c>
      <c r="D2504" s="407" t="s">
        <v>2683</v>
      </c>
      <c r="E2504" s="407" t="s">
        <v>4292</v>
      </c>
      <c r="F2504" s="407" t="s">
        <v>4293</v>
      </c>
      <c r="G2504" s="407" t="s">
        <v>4294</v>
      </c>
      <c r="H2504" s="460">
        <v>423.39258000000001</v>
      </c>
      <c r="I2504" s="460">
        <v>15.22322</v>
      </c>
      <c r="J2504" s="460">
        <v>56.915999999999997</v>
      </c>
      <c r="K2504" s="460">
        <v>5859.1999500000002</v>
      </c>
      <c r="L2504" s="459" t="s">
        <v>539</v>
      </c>
      <c r="O2504">
        <v>15.29</v>
      </c>
      <c r="P2504" t="s">
        <v>9091</v>
      </c>
    </row>
    <row r="2505" spans="1:16" ht="14.4" x14ac:dyDescent="0.3">
      <c r="A2505">
        <v>89269</v>
      </c>
      <c r="B2505" t="str">
        <f t="shared" si="78"/>
        <v>SEVROLL profil "U" do płyty laminowanej 18mm 3m srebrny</v>
      </c>
      <c r="C2505" s="185">
        <f t="shared" si="79"/>
        <v>16.375779999999999</v>
      </c>
      <c r="D2505" s="407" t="s">
        <v>2684</v>
      </c>
      <c r="E2505" s="407" t="s">
        <v>3674</v>
      </c>
      <c r="F2505" s="407" t="s">
        <v>1215</v>
      </c>
      <c r="G2505" s="407" t="s">
        <v>3675</v>
      </c>
      <c r="H2505" s="460">
        <v>132.44587000000001</v>
      </c>
      <c r="I2505" s="460">
        <v>4.7621399999999996</v>
      </c>
      <c r="J2505" s="460">
        <v>16.375779999999999</v>
      </c>
      <c r="K2505" s="460">
        <v>1832.8778600000001</v>
      </c>
      <c r="L2505" s="459" t="s">
        <v>538</v>
      </c>
      <c r="O2505">
        <v>4.2460000000000004</v>
      </c>
      <c r="P2505" t="s">
        <v>8890</v>
      </c>
    </row>
    <row r="2506" spans="1:16" ht="14.4" x14ac:dyDescent="0.3">
      <c r="A2506">
        <v>89098</v>
      </c>
      <c r="B2506" t="str">
        <f t="shared" si="78"/>
        <v>SEVROLL Tytan rączka 18 mm 2,7 m, oliwka</v>
      </c>
      <c r="C2506" s="185">
        <f t="shared" si="79"/>
        <v>72.504180000000005</v>
      </c>
      <c r="D2506" s="407" t="s">
        <v>2685</v>
      </c>
      <c r="E2506" s="407" t="s">
        <v>5609</v>
      </c>
      <c r="F2506" s="407" t="s">
        <v>1200</v>
      </c>
      <c r="G2506" s="407" t="s">
        <v>5610</v>
      </c>
      <c r="H2506" s="460">
        <v>525.44104000000004</v>
      </c>
      <c r="I2506" s="460">
        <v>18.892410000000002</v>
      </c>
      <c r="J2506" s="460">
        <v>72.504180000000005</v>
      </c>
      <c r="K2506" s="460">
        <v>7271.4172099999996</v>
      </c>
      <c r="L2506" s="459" t="s">
        <v>538</v>
      </c>
      <c r="O2506">
        <v>15.972</v>
      </c>
      <c r="P2506" t="s">
        <v>9502</v>
      </c>
    </row>
    <row r="2507" spans="1:16" ht="14.4" x14ac:dyDescent="0.3">
      <c r="A2507">
        <v>89099</v>
      </c>
      <c r="B2507" t="str">
        <f t="shared" si="78"/>
        <v>SEVROLL Tytan rączka 18 mm 2,7 m, srebrna</v>
      </c>
      <c r="C2507" s="185">
        <f t="shared" si="79"/>
        <v>67.83381</v>
      </c>
      <c r="D2507" s="407" t="s">
        <v>2686</v>
      </c>
      <c r="E2507" s="407" t="s">
        <v>5611</v>
      </c>
      <c r="F2507" s="407" t="s">
        <v>1199</v>
      </c>
      <c r="G2507" s="407" t="s">
        <v>5612</v>
      </c>
      <c r="H2507" s="460">
        <v>448.68088</v>
      </c>
      <c r="I2507" s="460">
        <v>16.342189999999999</v>
      </c>
      <c r="J2507" s="460">
        <v>67.83381</v>
      </c>
      <c r="K2507" s="460">
        <v>5979.3887400000003</v>
      </c>
      <c r="L2507" s="459" t="s">
        <v>538</v>
      </c>
      <c r="O2507">
        <v>14.542</v>
      </c>
      <c r="P2507" t="s">
        <v>9503</v>
      </c>
    </row>
    <row r="2508" spans="1:16" ht="14.4" x14ac:dyDescent="0.3">
      <c r="A2508">
        <v>89277</v>
      </c>
      <c r="B2508" t="str">
        <f t="shared" si="78"/>
        <v>SEVROLL profil "U" Decor do płyty laminowanej 16mm 3m srebrny</v>
      </c>
      <c r="C2508" s="185" t="e">
        <f t="shared" si="79"/>
        <v>#N/A</v>
      </c>
      <c r="D2508" s="407" t="s">
        <v>2687</v>
      </c>
      <c r="E2508" s="407" t="s">
        <v>3829</v>
      </c>
      <c r="F2508" s="407" t="s">
        <v>3830</v>
      </c>
      <c r="G2508" s="407" t="s">
        <v>3831</v>
      </c>
      <c r="H2508" s="460" t="e">
        <v>#N/A</v>
      </c>
      <c r="I2508" s="460" t="e">
        <v>#N/A</v>
      </c>
      <c r="J2508" s="460" t="e">
        <v>#N/A</v>
      </c>
      <c r="K2508" s="460" t="e">
        <v>#N/A</v>
      </c>
      <c r="L2508" s="459" t="e">
        <v>#N/A</v>
      </c>
      <c r="O2508" t="e">
        <v>#N/A</v>
      </c>
      <c r="P2508" t="e">
        <v>#N/A</v>
      </c>
    </row>
    <row r="2509" spans="1:16" ht="14.4" x14ac:dyDescent="0.3">
      <c r="A2509">
        <v>89268</v>
      </c>
      <c r="B2509" t="str">
        <f t="shared" si="78"/>
        <v>SEVROLL profil "U" do płyty laminowanej 18mm 3m jasny brąz</v>
      </c>
      <c r="C2509" s="185">
        <f t="shared" si="79"/>
        <v>20.492090000000001</v>
      </c>
      <c r="D2509" s="407" t="s">
        <v>2688</v>
      </c>
      <c r="E2509" s="407" t="s">
        <v>3756</v>
      </c>
      <c r="F2509" s="407" t="s">
        <v>3757</v>
      </c>
      <c r="G2509" s="407" t="s">
        <v>3758</v>
      </c>
      <c r="H2509" s="460">
        <v>165.73829000000001</v>
      </c>
      <c r="I2509" s="460">
        <v>5.9591799999999999</v>
      </c>
      <c r="J2509" s="460">
        <v>20.492090000000001</v>
      </c>
      <c r="K2509" s="460">
        <v>2293.6015000000002</v>
      </c>
      <c r="L2509" s="459" t="s">
        <v>538</v>
      </c>
      <c r="O2509">
        <v>5.0819999999999999</v>
      </c>
      <c r="P2509" t="s">
        <v>8917</v>
      </c>
    </row>
    <row r="2510" spans="1:16" ht="14.4" x14ac:dyDescent="0.3">
      <c r="A2510">
        <v>89267</v>
      </c>
      <c r="B2510" t="str">
        <f t="shared" si="78"/>
        <v>SEVROLL profil "U" do płyty laminowanej 18mm 3m złoty</v>
      </c>
      <c r="C2510" s="185">
        <f t="shared" si="79"/>
        <v>20.492090000000001</v>
      </c>
      <c r="D2510" s="407" t="s">
        <v>2689</v>
      </c>
      <c r="E2510" s="407" t="s">
        <v>3759</v>
      </c>
      <c r="F2510" s="407" t="s">
        <v>3760</v>
      </c>
      <c r="G2510" s="407" t="s">
        <v>3761</v>
      </c>
      <c r="H2510" s="460">
        <v>165.73829000000001</v>
      </c>
      <c r="I2510" s="460">
        <v>5.9591799999999999</v>
      </c>
      <c r="J2510" s="460">
        <v>20.492090000000001</v>
      </c>
      <c r="K2510" s="460">
        <v>2293.6015000000002</v>
      </c>
      <c r="L2510" s="459" t="s">
        <v>539</v>
      </c>
      <c r="O2510">
        <v>5.0819999999999999</v>
      </c>
      <c r="P2510" t="s">
        <v>8918</v>
      </c>
    </row>
    <row r="2511" spans="1:16" ht="14.4" x14ac:dyDescent="0.3">
      <c r="A2511">
        <v>89284</v>
      </c>
      <c r="B2511" t="str">
        <f t="shared" si="78"/>
        <v>SEVROLL szczotka odbojowa z klejem 4,8x4 mm, szara</v>
      </c>
      <c r="C2511" s="185">
        <f t="shared" si="79"/>
        <v>0.76500000000000001</v>
      </c>
      <c r="D2511" s="407" t="s">
        <v>2690</v>
      </c>
      <c r="E2511" s="407" t="s">
        <v>5113</v>
      </c>
      <c r="F2511" s="407" t="s">
        <v>1258</v>
      </c>
      <c r="G2511" s="407" t="s">
        <v>5114</v>
      </c>
      <c r="H2511" s="460">
        <v>5.7114900000000004</v>
      </c>
      <c r="I2511" s="460">
        <v>0.18564</v>
      </c>
      <c r="J2511" s="460">
        <v>0.76500000000000001</v>
      </c>
      <c r="K2511" s="460">
        <v>81.360140000000001</v>
      </c>
      <c r="L2511" s="459" t="s">
        <v>538</v>
      </c>
      <c r="O2511">
        <v>0.10365000000000001</v>
      </c>
      <c r="P2511" t="s">
        <v>9327</v>
      </c>
    </row>
    <row r="2512" spans="1:16" ht="14.4" x14ac:dyDescent="0.3">
      <c r="A2512">
        <v>89071</v>
      </c>
      <c r="B2512" t="str">
        <f t="shared" si="78"/>
        <v>SEVROLL 00219 spojovací lišta H30 3m oliva</v>
      </c>
      <c r="C2512" s="185">
        <f t="shared" si="79"/>
        <v>94.406800000000004</v>
      </c>
      <c r="D2512" s="407" t="s">
        <v>2691</v>
      </c>
      <c r="E2512" s="407" t="s">
        <v>4698</v>
      </c>
      <c r="F2512" s="407" t="s">
        <v>4699</v>
      </c>
      <c r="G2512" s="407" t="s">
        <v>2691</v>
      </c>
      <c r="H2512" s="460">
        <v>763.55412999999999</v>
      </c>
      <c r="I2512" s="460">
        <v>27.45384</v>
      </c>
      <c r="J2512" s="460">
        <v>94.406800000000004</v>
      </c>
      <c r="K2512" s="460">
        <v>10566.59137</v>
      </c>
      <c r="L2512" s="459" t="s">
        <v>538</v>
      </c>
      <c r="O2512">
        <v>23.21</v>
      </c>
      <c r="P2512" t="s">
        <v>9215</v>
      </c>
    </row>
    <row r="2513" spans="1:16" ht="14.4" x14ac:dyDescent="0.3">
      <c r="A2513">
        <v>89069</v>
      </c>
      <c r="B2513" t="str">
        <f t="shared" si="78"/>
        <v>SEVROLL 00222 spojovací lišta H30 3m stříbrná</v>
      </c>
      <c r="C2513" s="185">
        <f t="shared" si="79"/>
        <v>78.601200000000006</v>
      </c>
      <c r="D2513" s="407" t="s">
        <v>2692</v>
      </c>
      <c r="E2513" s="407" t="s">
        <v>4628</v>
      </c>
      <c r="F2513" s="407" t="s">
        <v>4629</v>
      </c>
      <c r="G2513" s="407" t="s">
        <v>2692</v>
      </c>
      <c r="H2513" s="460">
        <v>626.04201999999998</v>
      </c>
      <c r="I2513" s="460">
        <v>22.509550000000001</v>
      </c>
      <c r="J2513" s="460">
        <v>78.601200000000006</v>
      </c>
      <c r="K2513" s="460">
        <v>8663.6033499999994</v>
      </c>
      <c r="L2513" s="459" t="s">
        <v>538</v>
      </c>
      <c r="O2513">
        <v>21.097999999999999</v>
      </c>
      <c r="P2513" t="s">
        <v>9192</v>
      </c>
    </row>
    <row r="2514" spans="1:16" ht="14.4" x14ac:dyDescent="0.3">
      <c r="A2514">
        <v>89050</v>
      </c>
      <c r="B2514" t="str">
        <f t="shared" si="78"/>
        <v>SEVROLL 00078 úhelník K2 Decor 1,7m stříbrná</v>
      </c>
      <c r="C2514" s="185">
        <f t="shared" si="79"/>
        <v>12.046200000000001</v>
      </c>
      <c r="D2514" s="407" t="s">
        <v>2693</v>
      </c>
      <c r="E2514" s="407" t="s">
        <v>3623</v>
      </c>
      <c r="F2514" s="407" t="s">
        <v>3624</v>
      </c>
      <c r="G2514" s="407" t="s">
        <v>2693</v>
      </c>
      <c r="H2514" s="460">
        <v>95.534729999999996</v>
      </c>
      <c r="I2514" s="460">
        <v>3.4349799999999999</v>
      </c>
      <c r="J2514" s="460">
        <v>12.046200000000001</v>
      </c>
      <c r="K2514" s="460">
        <v>1322.0759599999999</v>
      </c>
      <c r="L2514" s="459" t="s">
        <v>538</v>
      </c>
      <c r="O2514">
        <v>3.2120000000000002</v>
      </c>
      <c r="P2514" t="s">
        <v>8872</v>
      </c>
    </row>
    <row r="2515" spans="1:16" ht="14.4" x14ac:dyDescent="0.3">
      <c r="A2515">
        <v>89052</v>
      </c>
      <c r="B2515" t="str">
        <f t="shared" si="78"/>
        <v>SEVROLL kątownik K2 Decor 1,7m jasny brąz</v>
      </c>
      <c r="C2515" s="185">
        <f t="shared" si="79"/>
        <v>14.76505</v>
      </c>
      <c r="D2515" s="407" t="s">
        <v>2694</v>
      </c>
      <c r="E2515" s="407" t="s">
        <v>3607</v>
      </c>
      <c r="F2515" s="407" t="s">
        <v>3608</v>
      </c>
      <c r="G2515" s="407" t="s">
        <v>3609</v>
      </c>
      <c r="H2515" s="460">
        <v>119.41843</v>
      </c>
      <c r="I2515" s="460">
        <v>4.29373</v>
      </c>
      <c r="J2515" s="460">
        <v>14.76505</v>
      </c>
      <c r="K2515" s="460">
        <v>1652.5948699999999</v>
      </c>
      <c r="L2515" s="459" t="s">
        <v>539</v>
      </c>
      <c r="O2515">
        <v>3.718</v>
      </c>
      <c r="P2515" t="s">
        <v>8866</v>
      </c>
    </row>
    <row r="2516" spans="1:16" ht="14.4" x14ac:dyDescent="0.3">
      <c r="A2516">
        <v>89053</v>
      </c>
      <c r="B2516" t="str">
        <f t="shared" si="78"/>
        <v>SEVROLL 00079 úhelník K2 Decor 2,35m stříbrná</v>
      </c>
      <c r="C2516" s="185">
        <f t="shared" si="79"/>
        <v>16.666799999999999</v>
      </c>
      <c r="D2516" s="407" t="s">
        <v>2695</v>
      </c>
      <c r="E2516" s="407" t="s">
        <v>3731</v>
      </c>
      <c r="F2516" s="407" t="s">
        <v>3732</v>
      </c>
      <c r="G2516" s="407" t="s">
        <v>2695</v>
      </c>
      <c r="H2516" s="460">
        <v>132.44587000000001</v>
      </c>
      <c r="I2516" s="460">
        <v>4.7621399999999996</v>
      </c>
      <c r="J2516" s="460">
        <v>16.666799999999999</v>
      </c>
      <c r="K2516" s="460">
        <v>1832.8778600000001</v>
      </c>
      <c r="L2516" s="459" t="s">
        <v>538</v>
      </c>
      <c r="O2516">
        <v>4.4660000000000002</v>
      </c>
      <c r="P2516" t="s">
        <v>8908</v>
      </c>
    </row>
    <row r="2517" spans="1:16" ht="14.4" x14ac:dyDescent="0.3">
      <c r="A2517">
        <v>89054</v>
      </c>
      <c r="B2517" t="str">
        <f t="shared" si="78"/>
        <v>SEVROLL kątownik K2 Decor 2,35m złoty</v>
      </c>
      <c r="C2517" s="185" t="e">
        <f t="shared" si="79"/>
        <v>#N/A</v>
      </c>
      <c r="D2517" s="407" t="s">
        <v>2696</v>
      </c>
      <c r="E2517" s="407" t="s">
        <v>3701</v>
      </c>
      <c r="F2517" s="407" t="s">
        <v>1091</v>
      </c>
      <c r="G2517" s="407" t="s">
        <v>3702</v>
      </c>
      <c r="H2517" s="460" t="e">
        <v>#N/A</v>
      </c>
      <c r="I2517" s="460" t="e">
        <v>#N/A</v>
      </c>
      <c r="J2517" s="460" t="e">
        <v>#N/A</v>
      </c>
      <c r="K2517" s="460" t="e">
        <v>#N/A</v>
      </c>
      <c r="L2517" s="459" t="e">
        <v>#N/A</v>
      </c>
      <c r="O2517" t="e">
        <v>#N/A</v>
      </c>
      <c r="P2517" t="e">
        <v>#N/A</v>
      </c>
    </row>
    <row r="2518" spans="1:16" ht="14.4" x14ac:dyDescent="0.3">
      <c r="A2518">
        <v>89055</v>
      </c>
      <c r="B2518" t="str">
        <f t="shared" si="78"/>
        <v>SEVROLL 00070 úhelník K2 Decor 2,35m oliva</v>
      </c>
      <c r="C2518" s="185">
        <f t="shared" si="79"/>
        <v>20.492090000000001</v>
      </c>
      <c r="D2518" s="407" t="s">
        <v>2697</v>
      </c>
      <c r="E2518" s="407" t="s">
        <v>3729</v>
      </c>
      <c r="F2518" s="407" t="s">
        <v>3730</v>
      </c>
      <c r="G2518" s="407" t="s">
        <v>2697</v>
      </c>
      <c r="H2518" s="460">
        <v>165.73829000000001</v>
      </c>
      <c r="I2518" s="460">
        <v>5.9591799999999999</v>
      </c>
      <c r="J2518" s="460">
        <v>20.492090000000001</v>
      </c>
      <c r="K2518" s="460">
        <v>2293.6015000000002</v>
      </c>
      <c r="L2518" s="459" t="s">
        <v>538</v>
      </c>
      <c r="O2518">
        <v>5.1479999999999997</v>
      </c>
      <c r="P2518" t="s">
        <v>8907</v>
      </c>
    </row>
    <row r="2519" spans="1:16" ht="14.4" x14ac:dyDescent="0.3">
      <c r="A2519">
        <v>89056</v>
      </c>
      <c r="B2519" t="str">
        <f t="shared" si="78"/>
        <v>SEVROLL 00080 úhelník K2 Decor 3m stříbrná</v>
      </c>
      <c r="C2519" s="185">
        <f t="shared" si="79"/>
        <v>21.266999999999999</v>
      </c>
      <c r="D2519" s="407" t="s">
        <v>2698</v>
      </c>
      <c r="E2519" s="407" t="s">
        <v>3822</v>
      </c>
      <c r="F2519" s="407" t="s">
        <v>3823</v>
      </c>
      <c r="G2519" s="407" t="s">
        <v>2698</v>
      </c>
      <c r="H2519" s="460">
        <v>169.35702000000001</v>
      </c>
      <c r="I2519" s="460">
        <v>6.0892900000000001</v>
      </c>
      <c r="J2519" s="460">
        <v>21.266999999999999</v>
      </c>
      <c r="K2519" s="460">
        <v>2343.6801399999999</v>
      </c>
      <c r="L2519" s="459" t="s">
        <v>538</v>
      </c>
      <c r="O2519">
        <v>5.6980000000000004</v>
      </c>
      <c r="P2519" t="s">
        <v>8940</v>
      </c>
    </row>
    <row r="2520" spans="1:16" ht="14.4" x14ac:dyDescent="0.3">
      <c r="A2520">
        <v>89058</v>
      </c>
      <c r="B2520" t="str">
        <f t="shared" si="78"/>
        <v>SEVROLL 00071 úhelník K2 Decor 3m oliva</v>
      </c>
      <c r="C2520" s="185">
        <f t="shared" si="79"/>
        <v>26.04017</v>
      </c>
      <c r="D2520" s="407" t="s">
        <v>2699</v>
      </c>
      <c r="E2520" s="407" t="s">
        <v>3820</v>
      </c>
      <c r="F2520" s="407" t="s">
        <v>3821</v>
      </c>
      <c r="G2520" s="407" t="s">
        <v>2699</v>
      </c>
      <c r="H2520" s="460">
        <v>210.61066</v>
      </c>
      <c r="I2520" s="460">
        <v>7.5725800000000003</v>
      </c>
      <c r="J2520" s="460">
        <v>26.04017</v>
      </c>
      <c r="K2520" s="460">
        <v>2914.5762300000001</v>
      </c>
      <c r="L2520" s="459" t="s">
        <v>538</v>
      </c>
      <c r="O2520">
        <v>6.5780000000000003</v>
      </c>
      <c r="P2520" t="s">
        <v>8939</v>
      </c>
    </row>
    <row r="2521" spans="1:16" ht="14.4" x14ac:dyDescent="0.3">
      <c r="A2521">
        <v>89010</v>
      </c>
      <c r="B2521" t="str">
        <f t="shared" si="78"/>
        <v>SEVROLL 00215 spojovací lišta H18 3m stříbrná</v>
      </c>
      <c r="C2521" s="185">
        <f t="shared" si="79"/>
        <v>48.042000000000002</v>
      </c>
      <c r="D2521" s="407" t="s">
        <v>2700</v>
      </c>
      <c r="E2521" s="407" t="s">
        <v>5588</v>
      </c>
      <c r="F2521" s="407" t="s">
        <v>5589</v>
      </c>
      <c r="G2521" s="407" t="s">
        <v>2700</v>
      </c>
      <c r="H2521" s="460">
        <v>333.64782000000002</v>
      </c>
      <c r="I2521" s="460">
        <v>11.996420000000001</v>
      </c>
      <c r="J2521" s="460">
        <v>48.042000000000002</v>
      </c>
      <c r="K2521" s="460">
        <v>4617.2497100000001</v>
      </c>
      <c r="L2521" s="459" t="s">
        <v>538</v>
      </c>
      <c r="O2521">
        <v>11.22</v>
      </c>
      <c r="P2521" t="s">
        <v>9494</v>
      </c>
    </row>
    <row r="2522" spans="1:16" ht="14.4" x14ac:dyDescent="0.3">
      <c r="A2522">
        <v>89011</v>
      </c>
      <c r="B2522" t="str">
        <f t="shared" si="78"/>
        <v>SEVROLL 00216 spojovací lišta H18 3m zlatá</v>
      </c>
      <c r="C2522" s="185">
        <f t="shared" si="79"/>
        <v>52.856400000000001</v>
      </c>
      <c r="D2522" s="407" t="s">
        <v>2701</v>
      </c>
      <c r="E2522" s="407" t="s">
        <v>5590</v>
      </c>
      <c r="F2522" s="407" t="s">
        <v>5591</v>
      </c>
      <c r="G2522" s="407" t="s">
        <v>2701</v>
      </c>
      <c r="H2522" s="460">
        <v>416.87885</v>
      </c>
      <c r="I2522" s="460">
        <v>14.98902</v>
      </c>
      <c r="J2522" s="460">
        <v>52.856400000000001</v>
      </c>
      <c r="K2522" s="460">
        <v>5769.0582599999998</v>
      </c>
      <c r="L2522" s="459" t="s">
        <v>538</v>
      </c>
      <c r="O2522">
        <v>12.826000000000001</v>
      </c>
      <c r="P2522" t="s">
        <v>9495</v>
      </c>
    </row>
    <row r="2523" spans="1:16" ht="14.4" x14ac:dyDescent="0.3">
      <c r="A2523">
        <v>89012</v>
      </c>
      <c r="B2523" t="str">
        <f t="shared" si="78"/>
        <v>SEVROLL 00212 spojovací lišta H18 3m oliva</v>
      </c>
      <c r="C2523" s="185">
        <f t="shared" si="79"/>
        <v>52.856400000000001</v>
      </c>
      <c r="D2523" s="407" t="s">
        <v>2702</v>
      </c>
      <c r="E2523" s="407" t="s">
        <v>5583</v>
      </c>
      <c r="F2523" s="407" t="s">
        <v>1204</v>
      </c>
      <c r="G2523" s="407" t="s">
        <v>2702</v>
      </c>
      <c r="H2523" s="460">
        <v>416.87885</v>
      </c>
      <c r="I2523" s="460">
        <v>14.98902</v>
      </c>
      <c r="J2523" s="460">
        <v>52.856400000000001</v>
      </c>
      <c r="K2523" s="460">
        <v>5769.0582599999998</v>
      </c>
      <c r="L2523" s="459" t="s">
        <v>538</v>
      </c>
      <c r="O2523">
        <v>12.826000000000001</v>
      </c>
      <c r="P2523" t="s">
        <v>9491</v>
      </c>
    </row>
    <row r="2524" spans="1:16" ht="14.4" x14ac:dyDescent="0.3">
      <c r="A2524">
        <v>89013</v>
      </c>
      <c r="B2524" t="str">
        <f t="shared" si="78"/>
        <v>SEVROLL 01373 spojovací lišta T Decor 3m stříbrná</v>
      </c>
      <c r="C2524" s="185">
        <f t="shared" si="79"/>
        <v>34.210799999999999</v>
      </c>
      <c r="D2524" s="407" t="s">
        <v>2703</v>
      </c>
      <c r="E2524" s="407" t="s">
        <v>3982</v>
      </c>
      <c r="F2524" s="407" t="s">
        <v>3983</v>
      </c>
      <c r="G2524" s="407" t="s">
        <v>2703</v>
      </c>
      <c r="H2524" s="460">
        <v>259.10178000000002</v>
      </c>
      <c r="I2524" s="460">
        <v>9.3160900000000009</v>
      </c>
      <c r="J2524" s="460">
        <v>34.210799999999999</v>
      </c>
      <c r="K2524" s="460">
        <v>3585.62997</v>
      </c>
      <c r="L2524" s="459" t="s">
        <v>538</v>
      </c>
      <c r="O2524">
        <v>8.734</v>
      </c>
      <c r="P2524" t="s">
        <v>8992</v>
      </c>
    </row>
    <row r="2525" spans="1:16" ht="14.4" x14ac:dyDescent="0.3">
      <c r="A2525">
        <v>89015</v>
      </c>
      <c r="B2525" t="str">
        <f t="shared" si="78"/>
        <v>SEVROLL 01370 spojovací lišta T Decor 3m oliva</v>
      </c>
      <c r="C2525" s="185">
        <f t="shared" si="79"/>
        <v>40.08934</v>
      </c>
      <c r="D2525" s="407" t="s">
        <v>2704</v>
      </c>
      <c r="E2525" s="407" t="s">
        <v>4117</v>
      </c>
      <c r="F2525" s="407" t="s">
        <v>4118</v>
      </c>
      <c r="G2525" s="407" t="s">
        <v>2704</v>
      </c>
      <c r="H2525" s="460">
        <v>324.23910000000001</v>
      </c>
      <c r="I2525" s="460">
        <v>11.65812</v>
      </c>
      <c r="J2525" s="460">
        <v>40.08934</v>
      </c>
      <c r="K2525" s="460">
        <v>4487.0453600000001</v>
      </c>
      <c r="L2525" s="459" t="s">
        <v>538</v>
      </c>
      <c r="O2525">
        <v>10.119999999999999</v>
      </c>
      <c r="P2525" t="s">
        <v>9036</v>
      </c>
    </row>
    <row r="2526" spans="1:16" ht="14.4" x14ac:dyDescent="0.3">
      <c r="A2526">
        <v>89016</v>
      </c>
      <c r="B2526" t="str">
        <f t="shared" si="78"/>
        <v>SEVROLL 00036 profil "U" Decor 18mm 3m stříbrná</v>
      </c>
      <c r="C2526" s="185">
        <f t="shared" si="79"/>
        <v>24.518930000000001</v>
      </c>
      <c r="D2526" s="407" t="s">
        <v>2705</v>
      </c>
      <c r="E2526" s="407" t="s">
        <v>3844</v>
      </c>
      <c r="F2526" s="407" t="s">
        <v>3845</v>
      </c>
      <c r="G2526" s="407" t="s">
        <v>2705</v>
      </c>
      <c r="H2526" s="460">
        <v>198.30694</v>
      </c>
      <c r="I2526" s="460">
        <v>7.1301899999999998</v>
      </c>
      <c r="J2526" s="460">
        <v>24.518930000000001</v>
      </c>
      <c r="K2526" s="460">
        <v>2744.3092099999999</v>
      </c>
      <c r="L2526" s="459" t="s">
        <v>538</v>
      </c>
      <c r="O2526">
        <v>6.3360000000000003</v>
      </c>
      <c r="P2526" t="s">
        <v>8948</v>
      </c>
    </row>
    <row r="2527" spans="1:16" ht="14.4" x14ac:dyDescent="0.3">
      <c r="A2527">
        <v>89018</v>
      </c>
      <c r="B2527" t="str">
        <f t="shared" si="78"/>
        <v>SEVROLL profil "U" Decor 18mm 3m jasny brąz</v>
      </c>
      <c r="C2527" s="185">
        <f t="shared" si="79"/>
        <v>30.6934</v>
      </c>
      <c r="D2527" s="407" t="s">
        <v>2706</v>
      </c>
      <c r="E2527" s="407" t="s">
        <v>1110</v>
      </c>
      <c r="F2527" s="407" t="s">
        <v>2706</v>
      </c>
      <c r="G2527" s="407" t="s">
        <v>3895</v>
      </c>
      <c r="H2527" s="460">
        <v>248.24555000000001</v>
      </c>
      <c r="I2527" s="460">
        <v>8.9257500000000007</v>
      </c>
      <c r="J2527" s="460">
        <v>30.6934</v>
      </c>
      <c r="K2527" s="460">
        <v>3435.3940899999998</v>
      </c>
      <c r="L2527" s="459" t="s">
        <v>539</v>
      </c>
      <c r="O2527">
        <v>7.26</v>
      </c>
      <c r="P2527" t="s">
        <v>8965</v>
      </c>
    </row>
    <row r="2528" spans="1:16" ht="14.4" x14ac:dyDescent="0.3">
      <c r="A2528">
        <v>95946</v>
      </c>
      <c r="B2528" t="str">
        <f t="shared" si="78"/>
        <v>SEVROLL szczotka przeciwkurzowa bez kleju 4,8x13 mm, szara</v>
      </c>
      <c r="C2528" s="185">
        <f t="shared" si="79"/>
        <v>0.80579999999999996</v>
      </c>
      <c r="D2528" s="407" t="s">
        <v>2707</v>
      </c>
      <c r="E2528" s="407" t="s">
        <v>5472</v>
      </c>
      <c r="F2528" s="407" t="s">
        <v>1213</v>
      </c>
      <c r="G2528" s="407" t="s">
        <v>5473</v>
      </c>
      <c r="H2528" s="460">
        <v>6.3811799999999996</v>
      </c>
      <c r="I2528" s="460">
        <v>0.20741000000000001</v>
      </c>
      <c r="J2528" s="460">
        <v>0.80579999999999996</v>
      </c>
      <c r="K2528" s="460">
        <v>90.9</v>
      </c>
      <c r="L2528" s="459" t="s">
        <v>538</v>
      </c>
      <c r="O2528">
        <v>0.1158</v>
      </c>
      <c r="P2528" t="s">
        <v>9452</v>
      </c>
    </row>
    <row r="2529" spans="1:16" ht="14.4" x14ac:dyDescent="0.3">
      <c r="A2529">
        <v>98001</v>
      </c>
      <c r="B2529" t="str">
        <f t="shared" si="78"/>
        <v>Sevroll (Astin) Elegant rączka 2,7m srebrna (22/1)</v>
      </c>
      <c r="C2529" s="185">
        <f t="shared" si="79"/>
        <v>81.096440000000001</v>
      </c>
      <c r="D2529" s="407" t="s">
        <v>2708</v>
      </c>
      <c r="E2529" s="407" t="s">
        <v>5650</v>
      </c>
      <c r="F2529" s="407" t="s">
        <v>5651</v>
      </c>
      <c r="G2529" s="407" t="s">
        <v>5652</v>
      </c>
      <c r="H2529" s="460">
        <v>544.98221999999998</v>
      </c>
      <c r="I2529" s="460">
        <v>19.595020000000002</v>
      </c>
      <c r="J2529" s="460">
        <v>81.096440000000001</v>
      </c>
      <c r="K2529" s="460">
        <v>7541.8419000000004</v>
      </c>
      <c r="L2529" s="459" t="s">
        <v>540</v>
      </c>
      <c r="O2529">
        <v>18.37</v>
      </c>
      <c r="P2529" t="s">
        <v>9515</v>
      </c>
    </row>
    <row r="2530" spans="1:16" ht="14.4" x14ac:dyDescent="0.3">
      <c r="A2530">
        <v>98002</v>
      </c>
      <c r="B2530" t="str">
        <f t="shared" si="78"/>
        <v>Sevroll (Astin) Orient rączka 2,7m srebrna (32/1)</v>
      </c>
      <c r="C2530" s="185" t="e">
        <f t="shared" si="79"/>
        <v>#N/A</v>
      </c>
      <c r="D2530" s="407" t="s">
        <v>2709</v>
      </c>
      <c r="E2530" s="407" t="s">
        <v>5638</v>
      </c>
      <c r="F2530" s="407" t="s">
        <v>5639</v>
      </c>
      <c r="G2530" s="407" t="s">
        <v>5640</v>
      </c>
      <c r="H2530" s="460" t="e">
        <v>#N/A</v>
      </c>
      <c r="I2530" s="460" t="e">
        <v>#N/A</v>
      </c>
      <c r="J2530" s="460" t="e">
        <v>#N/A</v>
      </c>
      <c r="K2530" s="460" t="e">
        <v>#N/A</v>
      </c>
      <c r="L2530" s="459" t="e">
        <v>#N/A</v>
      </c>
      <c r="O2530">
        <v>18.436</v>
      </c>
      <c r="P2530" t="s">
        <v>9511</v>
      </c>
    </row>
    <row r="2531" spans="1:16" ht="14.4" x14ac:dyDescent="0.3">
      <c r="A2531">
        <v>98003</v>
      </c>
      <c r="B2531" t="str">
        <f t="shared" si="78"/>
        <v>Sevroll (Astin) tor górny 1,8m srebrny (32/1)</v>
      </c>
      <c r="C2531" s="185">
        <f t="shared" si="79"/>
        <v>83.524460000000005</v>
      </c>
      <c r="D2531" s="407" t="s">
        <v>2710</v>
      </c>
      <c r="E2531" s="407" t="s">
        <v>5647</v>
      </c>
      <c r="F2531" s="407" t="s">
        <v>5648</v>
      </c>
      <c r="G2531" s="407" t="s">
        <v>5649</v>
      </c>
      <c r="H2531" s="460">
        <v>591.30210999999997</v>
      </c>
      <c r="I2531" s="460">
        <v>21.260459999999998</v>
      </c>
      <c r="J2531" s="460">
        <v>83.524460000000005</v>
      </c>
      <c r="K2531" s="460">
        <v>8182.8485600000004</v>
      </c>
      <c r="L2531" s="459" t="s">
        <v>540</v>
      </c>
      <c r="O2531">
        <v>18.920000000000002</v>
      </c>
      <c r="P2531" t="s">
        <v>9514</v>
      </c>
    </row>
    <row r="2532" spans="1:16" ht="14.4" x14ac:dyDescent="0.3">
      <c r="A2532">
        <v>98004</v>
      </c>
      <c r="B2532" t="str">
        <f t="shared" si="78"/>
        <v>Sevroll (Astin)tor górny 2,7m srebrny (32/1)</v>
      </c>
      <c r="C2532" s="185">
        <f t="shared" si="79"/>
        <v>144.12826999999999</v>
      </c>
      <c r="D2532" s="407" t="s">
        <v>2711</v>
      </c>
      <c r="E2532" s="407" t="s">
        <v>5644</v>
      </c>
      <c r="F2532" s="407" t="s">
        <v>5645</v>
      </c>
      <c r="G2532" s="407" t="s">
        <v>5646</v>
      </c>
      <c r="H2532" s="460">
        <v>1020.48465</v>
      </c>
      <c r="I2532" s="460">
        <v>36.691870000000002</v>
      </c>
      <c r="J2532" s="460">
        <v>144.12826999999999</v>
      </c>
      <c r="K2532" s="460">
        <v>14122.17425</v>
      </c>
      <c r="L2532" s="459" t="s">
        <v>540</v>
      </c>
      <c r="O2532">
        <v>32.648000000000003</v>
      </c>
      <c r="P2532" t="s">
        <v>9513</v>
      </c>
    </row>
    <row r="2533" spans="1:16" ht="14.4" x14ac:dyDescent="0.3">
      <c r="A2533">
        <v>98005</v>
      </c>
      <c r="B2533" t="str">
        <f t="shared" si="78"/>
        <v>Sevroll (Astin) tor górny 3,6m srebrny (32/1)</v>
      </c>
      <c r="C2533" s="185" t="e">
        <f t="shared" si="79"/>
        <v>#N/A</v>
      </c>
      <c r="D2533" s="407" t="s">
        <v>2712</v>
      </c>
      <c r="E2533" s="407" t="s">
        <v>5641</v>
      </c>
      <c r="F2533" s="407" t="s">
        <v>5642</v>
      </c>
      <c r="G2533" s="407" t="s">
        <v>5643</v>
      </c>
      <c r="H2533" s="460" t="e">
        <v>#N/A</v>
      </c>
      <c r="I2533" s="460" t="e">
        <v>#N/A</v>
      </c>
      <c r="J2533" s="460" t="e">
        <v>#N/A</v>
      </c>
      <c r="K2533" s="460" t="e">
        <v>#N/A</v>
      </c>
      <c r="L2533" s="459" t="e">
        <v>#N/A</v>
      </c>
      <c r="O2533">
        <v>39.93</v>
      </c>
      <c r="P2533" t="s">
        <v>9512</v>
      </c>
    </row>
    <row r="2534" spans="1:16" ht="14.4" x14ac:dyDescent="0.3">
      <c r="A2534">
        <v>98007</v>
      </c>
      <c r="B2534" t="str">
        <f t="shared" si="78"/>
        <v>Sevroll (Astin) tor dolny 1,8m srebrny (22/1)</v>
      </c>
      <c r="C2534" s="185" t="e">
        <f t="shared" si="79"/>
        <v>#N/A</v>
      </c>
      <c r="D2534" s="407" t="s">
        <v>2713</v>
      </c>
      <c r="E2534" s="407" t="s">
        <v>5635</v>
      </c>
      <c r="F2534" s="407" t="s">
        <v>5636</v>
      </c>
      <c r="G2534" s="407" t="s">
        <v>5637</v>
      </c>
      <c r="H2534" s="460" t="e">
        <v>#N/A</v>
      </c>
      <c r="I2534" s="460" t="e">
        <v>#N/A</v>
      </c>
      <c r="J2534" s="460" t="e">
        <v>#N/A</v>
      </c>
      <c r="K2534" s="460" t="e">
        <v>#N/A</v>
      </c>
      <c r="L2534" s="459" t="e">
        <v>#N/A</v>
      </c>
      <c r="O2534">
        <v>9.7240000000000002</v>
      </c>
      <c r="P2534" t="s">
        <v>9510</v>
      </c>
    </row>
    <row r="2535" spans="1:16" ht="14.4" x14ac:dyDescent="0.3">
      <c r="A2535">
        <v>98008</v>
      </c>
      <c r="B2535" t="str">
        <f t="shared" si="78"/>
        <v>Sevroll (Astin) tor dolny 2,7m srebrny (22/1)</v>
      </c>
      <c r="C2535" s="185" t="e">
        <f t="shared" si="79"/>
        <v>#N/A</v>
      </c>
      <c r="D2535" s="407" t="s">
        <v>2714</v>
      </c>
      <c r="E2535" s="407" t="s">
        <v>5632</v>
      </c>
      <c r="F2535" s="407" t="s">
        <v>5633</v>
      </c>
      <c r="G2535" s="407" t="s">
        <v>5634</v>
      </c>
      <c r="H2535" s="460" t="e">
        <v>#N/A</v>
      </c>
      <c r="I2535" s="460" t="e">
        <v>#N/A</v>
      </c>
      <c r="J2535" s="460" t="e">
        <v>#N/A</v>
      </c>
      <c r="K2535" s="460" t="e">
        <v>#N/A</v>
      </c>
      <c r="L2535" s="459" t="e">
        <v>#N/A</v>
      </c>
      <c r="O2535">
        <v>16.698</v>
      </c>
      <c r="P2535" t="s">
        <v>9509</v>
      </c>
    </row>
    <row r="2536" spans="1:16" ht="14.4" x14ac:dyDescent="0.3">
      <c r="A2536">
        <v>98009</v>
      </c>
      <c r="B2536" t="str">
        <f t="shared" si="78"/>
        <v>Sevroll (Astin) tor dolny 3,6m srebrny (22/1)</v>
      </c>
      <c r="C2536" s="185">
        <f t="shared" si="79"/>
        <v>92.052850000000007</v>
      </c>
      <c r="D2536" s="407" t="s">
        <v>2715</v>
      </c>
      <c r="E2536" s="407" t="s">
        <v>5629</v>
      </c>
      <c r="F2536" s="407" t="s">
        <v>5630</v>
      </c>
      <c r="G2536" s="407" t="s">
        <v>5631</v>
      </c>
      <c r="H2536" s="460">
        <v>616.63327000000004</v>
      </c>
      <c r="I2536" s="460">
        <v>22.17126</v>
      </c>
      <c r="J2536" s="460">
        <v>92.052850000000007</v>
      </c>
      <c r="K2536" s="460">
        <v>8533.3989999999994</v>
      </c>
      <c r="L2536" s="459" t="s">
        <v>540</v>
      </c>
      <c r="O2536">
        <v>19.734000000000002</v>
      </c>
      <c r="P2536" t="s">
        <v>9508</v>
      </c>
    </row>
    <row r="2537" spans="1:16" ht="14.4" x14ac:dyDescent="0.3">
      <c r="A2537">
        <v>98011</v>
      </c>
      <c r="B2537" t="str">
        <f t="shared" si="78"/>
        <v>Sevroll (Astin) kątownik 1,8m srebrny (22/1)</v>
      </c>
      <c r="C2537" s="185" t="e">
        <f t="shared" si="79"/>
        <v>#N/A</v>
      </c>
      <c r="D2537" s="407" t="s">
        <v>2716</v>
      </c>
      <c r="E2537" s="407" t="s">
        <v>5623</v>
      </c>
      <c r="F2537" s="407" t="s">
        <v>5624</v>
      </c>
      <c r="G2537" s="407" t="s">
        <v>5625</v>
      </c>
      <c r="H2537" s="460" t="e">
        <v>#N/A</v>
      </c>
      <c r="I2537" s="460" t="e">
        <v>#N/A</v>
      </c>
      <c r="J2537" s="460" t="e">
        <v>#N/A</v>
      </c>
      <c r="K2537" s="460" t="e">
        <v>#N/A</v>
      </c>
      <c r="L2537" s="459" t="e">
        <v>#N/A</v>
      </c>
      <c r="O2537">
        <v>4.68</v>
      </c>
      <c r="P2537" t="s">
        <v>9507</v>
      </c>
    </row>
    <row r="2538" spans="1:16" ht="14.4" x14ac:dyDescent="0.3">
      <c r="A2538">
        <v>98012</v>
      </c>
      <c r="B2538" t="str">
        <f t="shared" si="78"/>
        <v>Sevroll (Astin) kątownik  2,7m srebrny (22/1)</v>
      </c>
      <c r="C2538" s="185">
        <f t="shared" si="79"/>
        <v>34.024070000000002</v>
      </c>
      <c r="D2538" s="407" t="s">
        <v>2717</v>
      </c>
      <c r="E2538" s="407" t="s">
        <v>5620</v>
      </c>
      <c r="F2538" s="407" t="s">
        <v>5621</v>
      </c>
      <c r="G2538" s="407" t="s">
        <v>5622</v>
      </c>
      <c r="H2538" s="460">
        <v>221.46689000000001</v>
      </c>
      <c r="I2538" s="460">
        <v>7.9629200000000004</v>
      </c>
      <c r="J2538" s="460">
        <v>34.024070000000002</v>
      </c>
      <c r="K2538" s="460">
        <v>3064.8121299999998</v>
      </c>
      <c r="L2538" s="459" t="s">
        <v>540</v>
      </c>
      <c r="O2538">
        <v>7.3440000000000003</v>
      </c>
      <c r="P2538" t="s">
        <v>9506</v>
      </c>
    </row>
    <row r="2539" spans="1:16" ht="14.4" x14ac:dyDescent="0.3">
      <c r="A2539">
        <v>98013</v>
      </c>
      <c r="B2539" t="str">
        <f t="shared" si="78"/>
        <v>Sevroll (Astin) kątownik  3,6m srebrny (22/1)</v>
      </c>
      <c r="C2539" s="185" t="e">
        <f t="shared" si="79"/>
        <v>#N/A</v>
      </c>
      <c r="D2539" s="407" t="s">
        <v>2718</v>
      </c>
      <c r="E2539" s="407" t="s">
        <v>5617</v>
      </c>
      <c r="F2539" s="407" t="s">
        <v>5618</v>
      </c>
      <c r="G2539" s="407" t="s">
        <v>5619</v>
      </c>
      <c r="H2539" s="460" t="e">
        <v>#N/A</v>
      </c>
      <c r="I2539" s="460" t="e">
        <v>#N/A</v>
      </c>
      <c r="J2539" s="460" t="e">
        <v>#N/A</v>
      </c>
      <c r="K2539" s="460" t="e">
        <v>#N/A</v>
      </c>
      <c r="L2539" s="459" t="e">
        <v>#N/A</v>
      </c>
      <c r="O2539">
        <v>9.6720000000000006</v>
      </c>
      <c r="P2539" t="s">
        <v>9505</v>
      </c>
    </row>
    <row r="2540" spans="1:16" ht="14.4" x14ac:dyDescent="0.3">
      <c r="A2540">
        <v>98015</v>
      </c>
      <c r="B2540" t="str">
        <f t="shared" si="78"/>
        <v>Sevroll (Astin) łacznik H08 profil 3m srebrny</v>
      </c>
      <c r="C2540" s="185" t="e">
        <f t="shared" si="79"/>
        <v>#N/A</v>
      </c>
      <c r="D2540" s="407" t="s">
        <v>2719</v>
      </c>
      <c r="E2540" s="407" t="s">
        <v>5626</v>
      </c>
      <c r="F2540" s="407" t="s">
        <v>5627</v>
      </c>
      <c r="G2540" s="407" t="s">
        <v>5628</v>
      </c>
      <c r="H2540" s="460" t="e">
        <v>#N/A</v>
      </c>
      <c r="I2540" s="460" t="e">
        <v>#N/A</v>
      </c>
      <c r="J2540" s="460" t="e">
        <v>#N/A</v>
      </c>
      <c r="K2540" s="460" t="e">
        <v>#N/A</v>
      </c>
      <c r="L2540" s="459" t="e">
        <v>#N/A</v>
      </c>
      <c r="O2540" t="e">
        <v>#N/A</v>
      </c>
      <c r="P2540" t="e">
        <v>#N/A</v>
      </c>
    </row>
    <row r="2541" spans="1:16" ht="14.4" x14ac:dyDescent="0.3">
      <c r="A2541">
        <v>98019</v>
      </c>
      <c r="B2541" t="str">
        <f t="shared" si="78"/>
        <v>SEVROLL wkręt 2,5x18mm</v>
      </c>
      <c r="C2541" s="185">
        <f t="shared" si="79"/>
        <v>0.10996</v>
      </c>
      <c r="D2541" s="407" t="s">
        <v>2720</v>
      </c>
      <c r="E2541" s="407" t="s">
        <v>6148</v>
      </c>
      <c r="F2541" s="407" t="s">
        <v>6149</v>
      </c>
      <c r="G2541" s="407" t="s">
        <v>6150</v>
      </c>
      <c r="H2541" s="460">
        <v>0.86782999999999999</v>
      </c>
      <c r="I2541" s="460">
        <v>2.9409999999999999E-2</v>
      </c>
      <c r="J2541" s="460">
        <v>0.10996</v>
      </c>
      <c r="K2541" s="460">
        <v>11.584149999999999</v>
      </c>
      <c r="L2541" s="459" t="s">
        <v>538</v>
      </c>
      <c r="O2541">
        <v>2.6179999999999998E-2</v>
      </c>
      <c r="P2541" t="s">
        <v>8829</v>
      </c>
    </row>
    <row r="2542" spans="1:16" ht="14.4" x14ac:dyDescent="0.3">
      <c r="A2542">
        <v>89250</v>
      </c>
      <c r="B2542" t="str">
        <f t="shared" si="78"/>
        <v>SEVROLL ZR18 zestaw do drzwi rozwieranych</v>
      </c>
      <c r="C2542" s="185">
        <f t="shared" si="79"/>
        <v>99.2256</v>
      </c>
      <c r="D2542" s="407" t="s">
        <v>1529</v>
      </c>
      <c r="E2542" s="407" t="s">
        <v>1959</v>
      </c>
      <c r="F2542" s="407" t="s">
        <v>2182</v>
      </c>
      <c r="G2542" s="407" t="s">
        <v>2476</v>
      </c>
      <c r="H2542" s="460">
        <v>791.05652999999995</v>
      </c>
      <c r="I2542" s="460">
        <v>28.442699999999999</v>
      </c>
      <c r="J2542" s="460">
        <v>99.2256</v>
      </c>
      <c r="K2542" s="460">
        <v>10947.188889999999</v>
      </c>
      <c r="L2542" s="459" t="s">
        <v>539</v>
      </c>
      <c r="O2542">
        <v>26.641999999999999</v>
      </c>
      <c r="P2542" t="s">
        <v>10122</v>
      </c>
    </row>
    <row r="2543" spans="1:16" ht="14.4" x14ac:dyDescent="0.3">
      <c r="A2543">
        <v>84170</v>
      </c>
      <c r="B2543" t="str">
        <f t="shared" si="78"/>
        <v>SEVROLL Prowadnica alum. HERKULES 2 2,4 m</v>
      </c>
      <c r="C2543" s="185" t="e">
        <f t="shared" si="79"/>
        <v>#N/A</v>
      </c>
      <c r="D2543" s="407" t="s">
        <v>2721</v>
      </c>
      <c r="E2543" s="407" t="s">
        <v>4777</v>
      </c>
      <c r="F2543" s="407" t="s">
        <v>4778</v>
      </c>
      <c r="G2543" s="407" t="s">
        <v>4779</v>
      </c>
      <c r="H2543" s="460" t="e">
        <v>#N/A</v>
      </c>
      <c r="I2543" s="460" t="e">
        <v>#N/A</v>
      </c>
      <c r="J2543" s="460" t="e">
        <v>#N/A</v>
      </c>
      <c r="K2543" s="460" t="e">
        <v>#N/A</v>
      </c>
      <c r="L2543" s="459" t="e">
        <v>#N/A</v>
      </c>
      <c r="O2543" t="e">
        <v>#N/A</v>
      </c>
      <c r="P2543" t="e">
        <v>#N/A</v>
      </c>
    </row>
    <row r="2544" spans="1:16" ht="14.4" x14ac:dyDescent="0.3">
      <c r="A2544">
        <v>84172</v>
      </c>
      <c r="B2544" t="str">
        <f t="shared" si="78"/>
        <v>SEVROLL Złączki do 2 skrz.SYMETRIC-mechanizm</v>
      </c>
      <c r="C2544" s="185" t="e">
        <f t="shared" si="79"/>
        <v>#N/A</v>
      </c>
      <c r="D2544" s="407" t="s">
        <v>2722</v>
      </c>
      <c r="E2544" s="407" t="s">
        <v>4748</v>
      </c>
      <c r="F2544" s="407" t="s">
        <v>2722</v>
      </c>
      <c r="G2544" s="407" t="s">
        <v>4749</v>
      </c>
      <c r="H2544" s="460" t="e">
        <v>#N/A</v>
      </c>
      <c r="I2544" s="460" t="e">
        <v>#N/A</v>
      </c>
      <c r="J2544" s="460" t="e">
        <v>#N/A</v>
      </c>
      <c r="K2544" s="460" t="e">
        <v>#N/A</v>
      </c>
      <c r="L2544" s="459" t="e">
        <v>#N/A</v>
      </c>
      <c r="O2544" t="e">
        <v>#N/A</v>
      </c>
      <c r="P2544" t="e">
        <v>#N/A</v>
      </c>
    </row>
    <row r="2545" spans="1:16" ht="14.4" x14ac:dyDescent="0.3">
      <c r="A2545">
        <v>84174</v>
      </c>
      <c r="B2545" t="str">
        <f t="shared" si="78"/>
        <v>SEVROLL Prowadnica alumin.HERKULES 2 3 m</v>
      </c>
      <c r="C2545" s="185" t="e">
        <f t="shared" si="79"/>
        <v>#N/A</v>
      </c>
      <c r="D2545" s="407" t="s">
        <v>2723</v>
      </c>
      <c r="E2545" s="407" t="s">
        <v>4891</v>
      </c>
      <c r="F2545" s="407" t="s">
        <v>4894</v>
      </c>
      <c r="G2545" s="407" t="s">
        <v>4895</v>
      </c>
      <c r="H2545" s="460" t="e">
        <v>#N/A</v>
      </c>
      <c r="I2545" s="460" t="e">
        <v>#N/A</v>
      </c>
      <c r="J2545" s="460" t="e">
        <v>#N/A</v>
      </c>
      <c r="K2545" s="460" t="e">
        <v>#N/A</v>
      </c>
      <c r="L2545" s="459" t="e">
        <v>#N/A</v>
      </c>
      <c r="O2545" t="e">
        <v>#N/A</v>
      </c>
      <c r="P2545" t="e">
        <v>#N/A</v>
      </c>
    </row>
    <row r="2546" spans="1:16" ht="14.4" x14ac:dyDescent="0.3">
      <c r="A2546">
        <v>89019</v>
      </c>
      <c r="B2546" t="str">
        <f t="shared" si="78"/>
        <v>SEVROLL First tor górny / dolny 1,8m srebrny</v>
      </c>
      <c r="C2546" s="185">
        <f t="shared" si="79"/>
        <v>29.631</v>
      </c>
      <c r="D2546" s="407" t="s">
        <v>2724</v>
      </c>
      <c r="E2546" s="407" t="s">
        <v>3852</v>
      </c>
      <c r="F2546" s="407" t="s">
        <v>3853</v>
      </c>
      <c r="G2546" s="407" t="s">
        <v>3854</v>
      </c>
      <c r="H2546" s="460">
        <v>220.74315000000001</v>
      </c>
      <c r="I2546" s="460">
        <v>7.93689</v>
      </c>
      <c r="J2546" s="460">
        <v>29.631</v>
      </c>
      <c r="K2546" s="460">
        <v>3054.79655</v>
      </c>
      <c r="L2546" s="459" t="s">
        <v>539</v>
      </c>
      <c r="O2546">
        <v>7.4359999999999999</v>
      </c>
      <c r="P2546" t="s">
        <v>8951</v>
      </c>
    </row>
    <row r="2547" spans="1:16" ht="14.4" x14ac:dyDescent="0.3">
      <c r="A2547">
        <v>89028</v>
      </c>
      <c r="B2547" t="str">
        <f t="shared" si="78"/>
        <v>SEVROLL Single tor górny 1,7m jasny brąz</v>
      </c>
      <c r="C2547" s="185">
        <f t="shared" si="79"/>
        <v>62.236049999999999</v>
      </c>
      <c r="D2547" s="407" t="s">
        <v>2725</v>
      </c>
      <c r="E2547" s="407" t="s">
        <v>4408</v>
      </c>
      <c r="F2547" s="407" t="s">
        <v>4409</v>
      </c>
      <c r="G2547" s="407" t="s">
        <v>4410</v>
      </c>
      <c r="H2547" s="460">
        <v>483.62245999999999</v>
      </c>
      <c r="I2547" s="460">
        <v>18.24184</v>
      </c>
      <c r="J2547" s="460">
        <v>62.236049999999999</v>
      </c>
      <c r="K2547" s="460">
        <v>6883.3569299999999</v>
      </c>
      <c r="L2547" s="459" t="s">
        <v>539</v>
      </c>
      <c r="O2547">
        <v>15.422000000000001</v>
      </c>
      <c r="P2547" t="s">
        <v>9127</v>
      </c>
    </row>
    <row r="2548" spans="1:16" ht="14.4" x14ac:dyDescent="0.3">
      <c r="A2548">
        <v>89029</v>
      </c>
      <c r="B2548" t="str">
        <f t="shared" si="78"/>
        <v>SEVROLL 01255 Single horní vedení 1,7m stříbrná</v>
      </c>
      <c r="C2548" s="185">
        <f t="shared" si="79"/>
        <v>51.049550000000004</v>
      </c>
      <c r="D2548" s="407" t="s">
        <v>2726</v>
      </c>
      <c r="E2548" s="407" t="s">
        <v>4379</v>
      </c>
      <c r="F2548" s="407" t="s">
        <v>4380</v>
      </c>
      <c r="G2548" s="407" t="s">
        <v>2726</v>
      </c>
      <c r="H2548" s="460">
        <v>396.69461000000001</v>
      </c>
      <c r="I2548" s="460">
        <v>14.962999999999999</v>
      </c>
      <c r="J2548" s="460">
        <v>51.049550000000004</v>
      </c>
      <c r="K2548" s="460">
        <v>5646.1202800000001</v>
      </c>
      <c r="L2548" s="459" t="s">
        <v>538</v>
      </c>
      <c r="O2548">
        <v>14.013999999999999</v>
      </c>
      <c r="P2548" t="s">
        <v>9117</v>
      </c>
    </row>
    <row r="2549" spans="1:16" ht="14.4" x14ac:dyDescent="0.3">
      <c r="A2549">
        <v>89031</v>
      </c>
      <c r="B2549" t="str">
        <f t="shared" si="78"/>
        <v>SEVROLL Single tor górny 2,35m jasny brąz</v>
      </c>
      <c r="C2549" s="185">
        <f t="shared" si="79"/>
        <v>85.940809999999999</v>
      </c>
      <c r="D2549" s="407" t="s">
        <v>2727</v>
      </c>
      <c r="E2549" s="407" t="s">
        <v>4623</v>
      </c>
      <c r="F2549" s="407" t="s">
        <v>4624</v>
      </c>
      <c r="G2549" s="407" t="s">
        <v>4625</v>
      </c>
      <c r="H2549" s="460">
        <v>667.82673999999997</v>
      </c>
      <c r="I2549" s="460">
        <v>25.189879999999999</v>
      </c>
      <c r="J2549" s="460">
        <v>85.940809999999999</v>
      </c>
      <c r="K2549" s="460">
        <v>9505.12068</v>
      </c>
      <c r="L2549" s="459" t="s">
        <v>539</v>
      </c>
      <c r="O2549">
        <v>21.295999999999999</v>
      </c>
      <c r="P2549" t="s">
        <v>9190</v>
      </c>
    </row>
    <row r="2550" spans="1:16" ht="14.4" x14ac:dyDescent="0.3">
      <c r="A2550">
        <v>89032</v>
      </c>
      <c r="B2550" t="str">
        <f t="shared" si="78"/>
        <v>SEVROLL 01256 Single horní vedení 2,35m stříbrná</v>
      </c>
      <c r="C2550" s="185">
        <f t="shared" si="79"/>
        <v>70.492769999999993</v>
      </c>
      <c r="D2550" s="407" t="s">
        <v>2728</v>
      </c>
      <c r="E2550" s="407" t="s">
        <v>4588</v>
      </c>
      <c r="F2550" s="407" t="s">
        <v>4589</v>
      </c>
      <c r="G2550" s="407" t="s">
        <v>2728</v>
      </c>
      <c r="H2550" s="460">
        <v>547.78349000000003</v>
      </c>
      <c r="I2550" s="460">
        <v>20.661940000000001</v>
      </c>
      <c r="J2550" s="460">
        <v>70.492769999999993</v>
      </c>
      <c r="K2550" s="460">
        <v>7796.5558300000002</v>
      </c>
      <c r="L2550" s="459" t="s">
        <v>538</v>
      </c>
      <c r="O2550">
        <v>19.36</v>
      </c>
      <c r="P2550" t="s">
        <v>9181</v>
      </c>
    </row>
    <row r="2551" spans="1:16" ht="14.4" x14ac:dyDescent="0.3">
      <c r="A2551">
        <v>89034</v>
      </c>
      <c r="B2551" t="str">
        <f t="shared" si="78"/>
        <v>SEVROLL Single tor górny 3m jasny brąz</v>
      </c>
      <c r="C2551" s="185">
        <f t="shared" si="79"/>
        <v>109.73432</v>
      </c>
      <c r="D2551" s="407" t="s">
        <v>2729</v>
      </c>
      <c r="E2551" s="407" t="s">
        <v>4772</v>
      </c>
      <c r="F2551" s="407" t="s">
        <v>4773</v>
      </c>
      <c r="G2551" s="407" t="s">
        <v>4774</v>
      </c>
      <c r="H2551" s="460">
        <v>852.72091999999998</v>
      </c>
      <c r="I2551" s="460">
        <v>32.163930000000001</v>
      </c>
      <c r="J2551" s="460">
        <v>109.73432</v>
      </c>
      <c r="K2551" s="460">
        <v>12136.70363</v>
      </c>
      <c r="L2551" s="459" t="s">
        <v>539</v>
      </c>
      <c r="O2551">
        <v>27.192</v>
      </c>
      <c r="P2551" t="s">
        <v>9238</v>
      </c>
    </row>
    <row r="2552" spans="1:16" ht="14.4" x14ac:dyDescent="0.3">
      <c r="A2552">
        <v>89035</v>
      </c>
      <c r="B2552" t="str">
        <f t="shared" si="78"/>
        <v>SEVROLL 01257 Single horní vedení 3m stříbrná</v>
      </c>
      <c r="C2552" s="185">
        <f t="shared" si="79"/>
        <v>90.113560000000007</v>
      </c>
      <c r="D2552" s="407" t="s">
        <v>2730</v>
      </c>
      <c r="E2552" s="407" t="s">
        <v>4741</v>
      </c>
      <c r="F2552" s="407" t="s">
        <v>4742</v>
      </c>
      <c r="G2552" s="407" t="s">
        <v>2730</v>
      </c>
      <c r="H2552" s="460">
        <v>700.25221999999997</v>
      </c>
      <c r="I2552" s="460">
        <v>26.412939999999999</v>
      </c>
      <c r="J2552" s="460">
        <v>90.113560000000007</v>
      </c>
      <c r="K2552" s="460">
        <v>9966.6297300000006</v>
      </c>
      <c r="L2552" s="459" t="s">
        <v>538</v>
      </c>
      <c r="O2552">
        <v>24.728000000000002</v>
      </c>
      <c r="P2552" t="s">
        <v>9230</v>
      </c>
    </row>
    <row r="2553" spans="1:16" ht="14.4" x14ac:dyDescent="0.3">
      <c r="A2553">
        <v>89036</v>
      </c>
      <c r="B2553" t="str">
        <f t="shared" si="78"/>
        <v>SEVROLL ZR10 zestaw do drzwi rozwieranych</v>
      </c>
      <c r="C2553" s="185">
        <f t="shared" si="79"/>
        <v>72.572999999999993</v>
      </c>
      <c r="D2553" s="407" t="s">
        <v>1701</v>
      </c>
      <c r="E2553" s="407" t="s">
        <v>2133</v>
      </c>
      <c r="F2553" s="407" t="s">
        <v>2303</v>
      </c>
      <c r="G2553" s="407" t="s">
        <v>2609</v>
      </c>
      <c r="H2553" s="460">
        <v>578.99838</v>
      </c>
      <c r="I2553" s="460">
        <v>20.818079999999998</v>
      </c>
      <c r="J2553" s="460">
        <v>72.572999999999993</v>
      </c>
      <c r="K2553" s="460">
        <v>8012.5811299999996</v>
      </c>
      <c r="L2553" s="459" t="s">
        <v>539</v>
      </c>
      <c r="O2553">
        <v>19.492000000000001</v>
      </c>
      <c r="P2553" t="s">
        <v>10256</v>
      </c>
    </row>
    <row r="2554" spans="1:16" ht="14.4" x14ac:dyDescent="0.3">
      <c r="A2554">
        <v>84191</v>
      </c>
      <c r="B2554" t="str">
        <f t="shared" si="78"/>
        <v>SEVROLL Smart tor dolny 1,7m jasny brąz</v>
      </c>
      <c r="C2554" s="185">
        <f t="shared" si="79"/>
        <v>16.360800000000001</v>
      </c>
      <c r="D2554" s="407" t="s">
        <v>2731</v>
      </c>
      <c r="E2554" s="407" t="s">
        <v>5476</v>
      </c>
      <c r="F2554" s="407" t="s">
        <v>5477</v>
      </c>
      <c r="G2554" s="407" t="s">
        <v>5478</v>
      </c>
      <c r="H2554" s="460">
        <v>131.72212999999999</v>
      </c>
      <c r="I2554" s="460">
        <v>4.73611</v>
      </c>
      <c r="J2554" s="460">
        <v>16.360800000000001</v>
      </c>
      <c r="K2554" s="460">
        <v>1822.8623</v>
      </c>
      <c r="L2554" s="459" t="s">
        <v>539</v>
      </c>
      <c r="O2554">
        <v>4.0039999999999996</v>
      </c>
      <c r="P2554" t="s">
        <v>9454</v>
      </c>
    </row>
    <row r="2555" spans="1:16" ht="14.4" x14ac:dyDescent="0.3">
      <c r="A2555">
        <v>84192</v>
      </c>
      <c r="B2555" t="str">
        <f t="shared" si="78"/>
        <v>SEVROLL 01135 Smart tor dolny 1,7 m, srebrny</v>
      </c>
      <c r="C2555" s="185">
        <f t="shared" si="79"/>
        <v>14.2188</v>
      </c>
      <c r="D2555" s="407" t="s">
        <v>2732</v>
      </c>
      <c r="E2555" s="407" t="s">
        <v>3618</v>
      </c>
      <c r="F2555" s="407" t="s">
        <v>3619</v>
      </c>
      <c r="G2555" s="407" t="s">
        <v>3620</v>
      </c>
      <c r="H2555" s="460">
        <v>108.5622</v>
      </c>
      <c r="I2555" s="460">
        <v>3.9033899999999999</v>
      </c>
      <c r="J2555" s="460">
        <v>14.2188</v>
      </c>
      <c r="K2555" s="460">
        <v>1502.35897</v>
      </c>
      <c r="L2555" s="459" t="s">
        <v>538</v>
      </c>
      <c r="O2555">
        <v>3.6520000000000001</v>
      </c>
      <c r="P2555" t="s">
        <v>8870</v>
      </c>
    </row>
    <row r="2556" spans="1:16" ht="14.4" x14ac:dyDescent="0.3">
      <c r="A2556">
        <v>84194</v>
      </c>
      <c r="B2556" t="str">
        <f t="shared" si="78"/>
        <v>SEVROLL Smart tor dolny 2,35m jasny brąz</v>
      </c>
      <c r="C2556" s="185">
        <f t="shared" si="79"/>
        <v>22.613399999999999</v>
      </c>
      <c r="D2556" s="407" t="s">
        <v>2733</v>
      </c>
      <c r="E2556" s="407" t="s">
        <v>5479</v>
      </c>
      <c r="F2556" s="407" t="s">
        <v>5480</v>
      </c>
      <c r="G2556" s="407" t="s">
        <v>5481</v>
      </c>
      <c r="H2556" s="460">
        <v>181.66074</v>
      </c>
      <c r="I2556" s="460">
        <v>6.5316700000000001</v>
      </c>
      <c r="J2556" s="460">
        <v>22.613399999999999</v>
      </c>
      <c r="K2556" s="460">
        <v>2513.9471800000001</v>
      </c>
      <c r="L2556" s="459" t="s">
        <v>539</v>
      </c>
      <c r="O2556">
        <v>5.5220000000000002</v>
      </c>
      <c r="P2556" t="s">
        <v>9455</v>
      </c>
    </row>
    <row r="2557" spans="1:16" ht="14.4" x14ac:dyDescent="0.3">
      <c r="A2557">
        <v>84195</v>
      </c>
      <c r="B2557" t="str">
        <f t="shared" si="78"/>
        <v>SEVROLL Smart tor dolny 2,35m srebrny</v>
      </c>
      <c r="C2557" s="185">
        <f t="shared" si="79"/>
        <v>19.6554</v>
      </c>
      <c r="D2557" s="407" t="s">
        <v>2734</v>
      </c>
      <c r="E2557" s="407" t="s">
        <v>3715</v>
      </c>
      <c r="F2557" s="407" t="s">
        <v>3716</v>
      </c>
      <c r="G2557" s="407" t="s">
        <v>3717</v>
      </c>
      <c r="H2557" s="460">
        <v>149.09209999999999</v>
      </c>
      <c r="I2557" s="460">
        <v>5.3606600000000002</v>
      </c>
      <c r="J2557" s="460">
        <v>19.6554</v>
      </c>
      <c r="K2557" s="460">
        <v>2063.2394800000002</v>
      </c>
      <c r="L2557" s="459" t="s">
        <v>538</v>
      </c>
      <c r="O2557">
        <v>5.016</v>
      </c>
      <c r="P2557" t="s">
        <v>8903</v>
      </c>
    </row>
    <row r="2558" spans="1:16" ht="14.4" x14ac:dyDescent="0.3">
      <c r="A2558">
        <v>84197</v>
      </c>
      <c r="B2558" t="str">
        <f t="shared" si="78"/>
        <v>SEVROLL Smart tor dolny 3m jasny brąz</v>
      </c>
      <c r="C2558" s="185">
        <f t="shared" si="79"/>
        <v>28.855799999999999</v>
      </c>
      <c r="D2558" s="407" t="s">
        <v>2735</v>
      </c>
      <c r="E2558" s="407" t="s">
        <v>5482</v>
      </c>
      <c r="F2558" s="407" t="s">
        <v>5483</v>
      </c>
      <c r="G2558" s="407" t="s">
        <v>5484</v>
      </c>
      <c r="H2558" s="460">
        <v>230.87560999999999</v>
      </c>
      <c r="I2558" s="460">
        <v>8.3012099999999993</v>
      </c>
      <c r="J2558" s="460">
        <v>28.855799999999999</v>
      </c>
      <c r="K2558" s="460">
        <v>3195.0168899999999</v>
      </c>
      <c r="L2558" s="459" t="s">
        <v>539</v>
      </c>
      <c r="O2558">
        <v>7.0179999999999998</v>
      </c>
      <c r="P2558" t="s">
        <v>9456</v>
      </c>
    </row>
    <row r="2559" spans="1:16" ht="14.4" x14ac:dyDescent="0.3">
      <c r="A2559">
        <v>84198</v>
      </c>
      <c r="B2559" t="str">
        <f t="shared" si="78"/>
        <v>SEVROLL Smart tor dolny 3m srebrny</v>
      </c>
      <c r="C2559" s="185">
        <f t="shared" si="79"/>
        <v>25.1022</v>
      </c>
      <c r="D2559" s="407" t="s">
        <v>2736</v>
      </c>
      <c r="E2559" s="407" t="s">
        <v>5485</v>
      </c>
      <c r="F2559" s="407" t="s">
        <v>5486</v>
      </c>
      <c r="G2559" s="407" t="s">
        <v>5487</v>
      </c>
      <c r="H2559" s="460">
        <v>188.89822000000001</v>
      </c>
      <c r="I2559" s="460">
        <v>6.7919</v>
      </c>
      <c r="J2559" s="460">
        <v>25.1022</v>
      </c>
      <c r="K2559" s="460">
        <v>2614.1044200000001</v>
      </c>
      <c r="L2559" s="459" t="s">
        <v>538</v>
      </c>
      <c r="O2559">
        <v>6.3579999999999997</v>
      </c>
      <c r="P2559" t="s">
        <v>9457</v>
      </c>
    </row>
    <row r="2560" spans="1:16" ht="14.4" x14ac:dyDescent="0.3">
      <c r="A2560">
        <v>84383</v>
      </c>
      <c r="B2560" t="str">
        <f t="shared" si="78"/>
        <v>SEVROLL Elegant II tor dolny 1,7m złoty</v>
      </c>
      <c r="C2560" s="185">
        <f t="shared" si="79"/>
        <v>39.086399999999998</v>
      </c>
      <c r="D2560" s="407" t="s">
        <v>2737</v>
      </c>
      <c r="E2560" s="407" t="s">
        <v>5162</v>
      </c>
      <c r="F2560" s="407" t="s">
        <v>5163</v>
      </c>
      <c r="G2560" s="407" t="s">
        <v>5164</v>
      </c>
      <c r="H2560" s="460">
        <v>289.49919</v>
      </c>
      <c r="I2560" s="460">
        <v>10.409039999999999</v>
      </c>
      <c r="J2560" s="460">
        <v>39.086399999999998</v>
      </c>
      <c r="K2560" s="460">
        <v>4006.2905700000001</v>
      </c>
      <c r="L2560" s="459" t="s">
        <v>539</v>
      </c>
      <c r="O2560">
        <v>9.8559999999999999</v>
      </c>
      <c r="P2560" t="s">
        <v>9344</v>
      </c>
    </row>
    <row r="2561" spans="1:16" ht="14.4" x14ac:dyDescent="0.3">
      <c r="A2561">
        <v>84385</v>
      </c>
      <c r="B2561" t="str">
        <f t="shared" si="78"/>
        <v>SEVROLL Elegant II tor dolny 1,7m srebrny</v>
      </c>
      <c r="C2561" s="185">
        <f t="shared" si="79"/>
        <v>31.293600000000001</v>
      </c>
      <c r="D2561" s="407" t="s">
        <v>2738</v>
      </c>
      <c r="E2561" s="407" t="s">
        <v>5160</v>
      </c>
      <c r="F2561" s="407" t="s">
        <v>5161</v>
      </c>
      <c r="G2561" s="407" t="s">
        <v>2378</v>
      </c>
      <c r="H2561" s="460">
        <v>231.59934999999999</v>
      </c>
      <c r="I2561" s="460">
        <v>8.3272300000000001</v>
      </c>
      <c r="J2561" s="460">
        <v>31.293600000000001</v>
      </c>
      <c r="K2561" s="460">
        <v>3205.0324500000002</v>
      </c>
      <c r="L2561" s="459" t="s">
        <v>538</v>
      </c>
      <c r="O2561">
        <v>8.25</v>
      </c>
      <c r="P2561" t="s">
        <v>9343</v>
      </c>
    </row>
    <row r="2562" spans="1:16" ht="14.4" x14ac:dyDescent="0.3">
      <c r="A2562">
        <v>84386</v>
      </c>
      <c r="B2562" t="str">
        <f t="shared" si="78"/>
        <v>SEVROLL Elegant II tor dolny 2,35m złoty</v>
      </c>
      <c r="C2562" s="185">
        <f t="shared" si="79"/>
        <v>53.968200000000003</v>
      </c>
      <c r="D2562" s="407" t="s">
        <v>2739</v>
      </c>
      <c r="E2562" s="407" t="s">
        <v>4239</v>
      </c>
      <c r="F2562" s="407" t="s">
        <v>4240</v>
      </c>
      <c r="G2562" s="407" t="s">
        <v>4241</v>
      </c>
      <c r="H2562" s="460">
        <v>399.50887999999998</v>
      </c>
      <c r="I2562" s="460">
        <v>14.36448</v>
      </c>
      <c r="J2562" s="460">
        <v>53.968200000000003</v>
      </c>
      <c r="K2562" s="460">
        <v>5528.6810599999999</v>
      </c>
      <c r="L2562" s="459" t="s">
        <v>539</v>
      </c>
      <c r="O2562">
        <v>13.794</v>
      </c>
      <c r="P2562" t="s">
        <v>9074</v>
      </c>
    </row>
    <row r="2563" spans="1:16" ht="14.4" x14ac:dyDescent="0.3">
      <c r="A2563">
        <v>84387</v>
      </c>
      <c r="B2563" t="str">
        <f t="shared" si="78"/>
        <v>SEVROLL Elegant II tor dolny 2,35m jasny brąz</v>
      </c>
      <c r="C2563" s="185">
        <f t="shared" si="79"/>
        <v>53.968200000000003</v>
      </c>
      <c r="D2563" s="407" t="s">
        <v>2740</v>
      </c>
      <c r="E2563" s="407" t="s">
        <v>4251</v>
      </c>
      <c r="F2563" s="407" t="s">
        <v>4252</v>
      </c>
      <c r="G2563" s="407" t="s">
        <v>4253</v>
      </c>
      <c r="H2563" s="460">
        <v>399.50887999999998</v>
      </c>
      <c r="I2563" s="460">
        <v>14.36448</v>
      </c>
      <c r="J2563" s="460">
        <v>53.968200000000003</v>
      </c>
      <c r="K2563" s="460">
        <v>5528.6810599999999</v>
      </c>
      <c r="L2563" s="459" t="s">
        <v>538</v>
      </c>
      <c r="O2563">
        <v>13.794</v>
      </c>
      <c r="P2563" t="s">
        <v>9078</v>
      </c>
    </row>
    <row r="2564" spans="1:16" ht="14.4" x14ac:dyDescent="0.3">
      <c r="A2564">
        <v>84388</v>
      </c>
      <c r="B2564" t="str">
        <f t="shared" ref="B2564:B2627" si="80">IF($A$2=1,D2564,IF($A$2=2,F2564,IF($A$2=3,G2564,IF($A$2=4,E2564,IF($A$2&gt;4,P2564,"zadat jazyk")))))</f>
        <v>SEVROLL Elegant II tor dolny 2,35m srebrny</v>
      </c>
      <c r="C2564" s="185">
        <f t="shared" ref="C2564:C2627" si="81">IF($A$2=1,H2564,IF($A$2=2,I2564,IF($A$2=3,J2564,IF($A$2=4,K2564,IF($A$2&gt;4,O2564,"zadat jazyk")))))</f>
        <v>43.278599999999997</v>
      </c>
      <c r="D2564" s="407" t="s">
        <v>2741</v>
      </c>
      <c r="E2564" s="407" t="s">
        <v>5177</v>
      </c>
      <c r="F2564" s="407" t="s">
        <v>5178</v>
      </c>
      <c r="G2564" s="407" t="s">
        <v>5179</v>
      </c>
      <c r="H2564" s="460">
        <v>319.17286000000001</v>
      </c>
      <c r="I2564" s="460">
        <v>11.47597</v>
      </c>
      <c r="J2564" s="460">
        <v>43.278599999999997</v>
      </c>
      <c r="K2564" s="460">
        <v>4416.9351999999999</v>
      </c>
      <c r="L2564" s="459" t="s">
        <v>538</v>
      </c>
      <c r="O2564">
        <v>11.352</v>
      </c>
      <c r="P2564" t="s">
        <v>9349</v>
      </c>
    </row>
    <row r="2565" spans="1:16" ht="14.4" x14ac:dyDescent="0.3">
      <c r="A2565">
        <v>84389</v>
      </c>
      <c r="B2565" t="str">
        <f t="shared" si="80"/>
        <v>SEVROLL Elegant II tor dolny 3m złoty</v>
      </c>
      <c r="C2565" s="185">
        <f t="shared" si="81"/>
        <v>0</v>
      </c>
      <c r="D2565" s="407" t="s">
        <v>2742</v>
      </c>
      <c r="E2565" s="407" t="s">
        <v>4392</v>
      </c>
      <c r="F2565" s="407" t="s">
        <v>4393</v>
      </c>
      <c r="G2565" s="407" t="s">
        <v>4394</v>
      </c>
      <c r="H2565" s="460">
        <v>0</v>
      </c>
      <c r="I2565" s="460">
        <v>0</v>
      </c>
      <c r="J2565" s="460">
        <v>0</v>
      </c>
      <c r="K2565" s="460">
        <v>0</v>
      </c>
      <c r="L2565" s="459" t="s">
        <v>540</v>
      </c>
      <c r="O2565">
        <v>17.622</v>
      </c>
      <c r="P2565" t="s">
        <v>9122</v>
      </c>
    </row>
    <row r="2566" spans="1:16" ht="14.4" x14ac:dyDescent="0.3">
      <c r="A2566">
        <v>84390</v>
      </c>
      <c r="B2566" t="str">
        <f t="shared" si="80"/>
        <v>SEVROLL Elegant II tor dolny 3m jasny brąz</v>
      </c>
      <c r="C2566" s="185">
        <f t="shared" si="81"/>
        <v>68.931600000000003</v>
      </c>
      <c r="D2566" s="407" t="s">
        <v>2743</v>
      </c>
      <c r="E2566" s="407" t="s">
        <v>4403</v>
      </c>
      <c r="F2566" s="407" t="s">
        <v>4404</v>
      </c>
      <c r="G2566" s="407" t="s">
        <v>4405</v>
      </c>
      <c r="H2566" s="460">
        <v>510.24234000000001</v>
      </c>
      <c r="I2566" s="460">
        <v>18.345929999999999</v>
      </c>
      <c r="J2566" s="460">
        <v>68.931600000000003</v>
      </c>
      <c r="K2566" s="460">
        <v>7061.0871100000004</v>
      </c>
      <c r="L2566" s="459" t="s">
        <v>538</v>
      </c>
      <c r="O2566">
        <v>17.622</v>
      </c>
      <c r="P2566" t="s">
        <v>9126</v>
      </c>
    </row>
    <row r="2567" spans="1:16" ht="14.4" x14ac:dyDescent="0.3">
      <c r="A2567">
        <v>84391</v>
      </c>
      <c r="B2567" t="str">
        <f t="shared" si="80"/>
        <v>SEVROLL Elegant II tor dolny 3m srebrny</v>
      </c>
      <c r="C2567" s="185">
        <f t="shared" si="81"/>
        <v>55.212600000000002</v>
      </c>
      <c r="D2567" s="407" t="s">
        <v>2744</v>
      </c>
      <c r="E2567" s="407" t="s">
        <v>5195</v>
      </c>
      <c r="F2567" s="407" t="s">
        <v>5196</v>
      </c>
      <c r="G2567" s="407" t="s">
        <v>5197</v>
      </c>
      <c r="H2567" s="460">
        <v>405.29887000000002</v>
      </c>
      <c r="I2567" s="460">
        <v>14.46857</v>
      </c>
      <c r="J2567" s="460">
        <v>55.212600000000002</v>
      </c>
      <c r="K2567" s="460">
        <v>5608.8068000000003</v>
      </c>
      <c r="L2567" s="459" t="s">
        <v>538</v>
      </c>
      <c r="O2567">
        <v>14.41</v>
      </c>
      <c r="P2567" t="s">
        <v>9355</v>
      </c>
    </row>
    <row r="2568" spans="1:16" ht="14.4" x14ac:dyDescent="0.3">
      <c r="A2568">
        <v>84392</v>
      </c>
      <c r="B2568" t="str">
        <f t="shared" si="80"/>
        <v>SEVROLL Elegant II tor dolny 4,05m złoty</v>
      </c>
      <c r="C2568" s="185" t="e">
        <f t="shared" si="81"/>
        <v>#N/A</v>
      </c>
      <c r="D2568" s="407" t="s">
        <v>2745</v>
      </c>
      <c r="E2568" s="407" t="s">
        <v>4585</v>
      </c>
      <c r="F2568" s="407" t="s">
        <v>4586</v>
      </c>
      <c r="G2568" s="407" t="s">
        <v>4587</v>
      </c>
      <c r="H2568" s="460" t="e">
        <v>#N/A</v>
      </c>
      <c r="I2568" s="460" t="e">
        <v>#N/A</v>
      </c>
      <c r="J2568" s="460" t="e">
        <v>#N/A</v>
      </c>
      <c r="K2568" s="460" t="e">
        <v>#N/A</v>
      </c>
      <c r="L2568" s="459" t="e">
        <v>#N/A</v>
      </c>
      <c r="O2568">
        <v>23.76</v>
      </c>
      <c r="P2568" t="s">
        <v>9180</v>
      </c>
    </row>
    <row r="2569" spans="1:16" ht="14.4" x14ac:dyDescent="0.3">
      <c r="A2569">
        <v>84393</v>
      </c>
      <c r="B2569" t="str">
        <f t="shared" si="80"/>
        <v>SEVROLL Elegant II tor dolny 4,05m jasny brąz</v>
      </c>
      <c r="C2569" s="185">
        <f t="shared" si="81"/>
        <v>93.075000000000003</v>
      </c>
      <c r="D2569" s="407" t="s">
        <v>2746</v>
      </c>
      <c r="E2569" s="407" t="s">
        <v>4607</v>
      </c>
      <c r="F2569" s="407" t="s">
        <v>4608</v>
      </c>
      <c r="G2569" s="407" t="s">
        <v>4609</v>
      </c>
      <c r="H2569" s="460">
        <v>689.00806999999998</v>
      </c>
      <c r="I2569" s="460">
        <v>24.773520000000001</v>
      </c>
      <c r="J2569" s="460">
        <v>93.075000000000003</v>
      </c>
      <c r="K2569" s="460">
        <v>9534.97163</v>
      </c>
      <c r="L2569" s="459" t="s">
        <v>538</v>
      </c>
      <c r="O2569">
        <v>23.76</v>
      </c>
      <c r="P2569" t="s">
        <v>9186</v>
      </c>
    </row>
    <row r="2570" spans="1:16" ht="14.4" x14ac:dyDescent="0.3">
      <c r="A2570">
        <v>84394</v>
      </c>
      <c r="B2570" t="str">
        <f t="shared" si="80"/>
        <v>SEVROLL Elegant II tor dolny 4,05m srebrny</v>
      </c>
      <c r="C2570" s="185">
        <f t="shared" si="81"/>
        <v>74.572199999999995</v>
      </c>
      <c r="D2570" s="407" t="s">
        <v>2747</v>
      </c>
      <c r="E2570" s="407" t="s">
        <v>5210</v>
      </c>
      <c r="F2570" s="407" t="s">
        <v>5211</v>
      </c>
      <c r="G2570" s="407" t="s">
        <v>5212</v>
      </c>
      <c r="H2570" s="460">
        <v>549.32471999999996</v>
      </c>
      <c r="I2570" s="460">
        <v>19.751149999999999</v>
      </c>
      <c r="J2570" s="460">
        <v>74.572199999999995</v>
      </c>
      <c r="K2570" s="460">
        <v>7601.9364999999998</v>
      </c>
      <c r="L2570" s="459" t="s">
        <v>538</v>
      </c>
      <c r="O2570">
        <v>19.513999999999999</v>
      </c>
      <c r="P2570" t="s">
        <v>9360</v>
      </c>
    </row>
    <row r="2571" spans="1:16" ht="14.4" x14ac:dyDescent="0.3">
      <c r="A2571">
        <v>84395</v>
      </c>
      <c r="B2571" t="str">
        <f t="shared" si="80"/>
        <v>SEVROLL profil "U" do płyty laminowanej 16mm 3m jasny brąz</v>
      </c>
      <c r="C2571" s="185">
        <f t="shared" si="81"/>
        <v>25.950690000000002</v>
      </c>
      <c r="D2571" s="407" t="s">
        <v>2748</v>
      </c>
      <c r="E2571" s="407" t="s">
        <v>3877</v>
      </c>
      <c r="F2571" s="407" t="s">
        <v>3878</v>
      </c>
      <c r="G2571" s="407" t="s">
        <v>3879</v>
      </c>
      <c r="H2571" s="460">
        <v>209.88691</v>
      </c>
      <c r="I2571" s="460">
        <v>7.5465499999999999</v>
      </c>
      <c r="J2571" s="460">
        <v>25.950690000000002</v>
      </c>
      <c r="K2571" s="460">
        <v>2904.5606699999998</v>
      </c>
      <c r="L2571" s="459" t="s">
        <v>537</v>
      </c>
      <c r="O2571">
        <v>6.7539999999999996</v>
      </c>
      <c r="P2571" t="s">
        <v>8959</v>
      </c>
    </row>
    <row r="2572" spans="1:16" ht="14.4" x14ac:dyDescent="0.3">
      <c r="A2572">
        <v>89265</v>
      </c>
      <c r="B2572" t="str">
        <f t="shared" si="80"/>
        <v>SEVROLL wózek górny 10mm asymetryczny L+P</v>
      </c>
      <c r="C2572" s="185">
        <f t="shared" si="81"/>
        <v>27.305399999999999</v>
      </c>
      <c r="D2572" s="407" t="s">
        <v>2749</v>
      </c>
      <c r="E2572" s="407" t="s">
        <v>5391</v>
      </c>
      <c r="F2572" s="407" t="s">
        <v>5392</v>
      </c>
      <c r="G2572" s="407" t="s">
        <v>5393</v>
      </c>
      <c r="H2572" s="460">
        <v>165.12128999999999</v>
      </c>
      <c r="I2572" s="460">
        <v>5.5948599999999997</v>
      </c>
      <c r="J2572" s="460">
        <v>27.305399999999999</v>
      </c>
      <c r="K2572" s="460">
        <v>2204.04898</v>
      </c>
      <c r="L2572" s="459" t="s">
        <v>538</v>
      </c>
      <c r="O2572">
        <v>5.258</v>
      </c>
      <c r="P2572" t="s">
        <v>9424</v>
      </c>
    </row>
    <row r="2573" spans="1:16" ht="14.4" x14ac:dyDescent="0.3">
      <c r="A2573">
        <v>89063</v>
      </c>
      <c r="B2573" t="str">
        <f t="shared" si="80"/>
        <v>SEVROLL pozycjoner wózka dolnego HI-TEC</v>
      </c>
      <c r="C2573" s="185">
        <f t="shared" si="81"/>
        <v>1.071</v>
      </c>
      <c r="D2573" s="407" t="s">
        <v>2750</v>
      </c>
      <c r="E2573" s="407" t="s">
        <v>6151</v>
      </c>
      <c r="F2573" s="407" t="s">
        <v>6152</v>
      </c>
      <c r="G2573" s="407" t="s">
        <v>6153</v>
      </c>
      <c r="H2573" s="460">
        <v>9.2160700000000002</v>
      </c>
      <c r="I2573" s="460">
        <v>0.31226999999999999</v>
      </c>
      <c r="J2573" s="460">
        <v>1.071</v>
      </c>
      <c r="K2573" s="460">
        <v>123.01676</v>
      </c>
      <c r="L2573" s="459" t="s">
        <v>538</v>
      </c>
      <c r="O2573">
        <v>0.28599999999999998</v>
      </c>
      <c r="P2573" t="s">
        <v>8833</v>
      </c>
    </row>
    <row r="2574" spans="1:16" ht="14.4" x14ac:dyDescent="0.3">
      <c r="A2574">
        <v>98022</v>
      </c>
      <c r="B2574" t="str">
        <f t="shared" si="80"/>
        <v>Sevroll Smart wózek górny</v>
      </c>
      <c r="C2574" s="185">
        <f t="shared" si="81"/>
        <v>6.7144500000000003</v>
      </c>
      <c r="D2574" s="407" t="s">
        <v>2751</v>
      </c>
      <c r="E2574" s="407" t="s">
        <v>6154</v>
      </c>
      <c r="F2574" s="407" t="s">
        <v>6155</v>
      </c>
      <c r="G2574" s="407" t="s">
        <v>6156</v>
      </c>
      <c r="H2574" s="460">
        <v>46.84836</v>
      </c>
      <c r="I2574" s="460">
        <v>1.58738</v>
      </c>
      <c r="J2574" s="460">
        <v>6.7144500000000003</v>
      </c>
      <c r="K2574" s="460">
        <v>625.33465000000001</v>
      </c>
      <c r="L2574" s="459" t="s">
        <v>663</v>
      </c>
      <c r="O2574">
        <v>1.496</v>
      </c>
      <c r="P2574" t="s">
        <v>8847</v>
      </c>
    </row>
    <row r="2575" spans="1:16" ht="14.4" x14ac:dyDescent="0.3">
      <c r="A2575">
        <v>98023</v>
      </c>
      <c r="B2575" t="str">
        <f t="shared" si="80"/>
        <v>Sevroll Smart wózek dolny</v>
      </c>
      <c r="C2575" s="185">
        <f t="shared" si="81"/>
        <v>6.7144500000000003</v>
      </c>
      <c r="D2575" s="407" t="s">
        <v>2752</v>
      </c>
      <c r="E2575" s="407" t="s">
        <v>6157</v>
      </c>
      <c r="F2575" s="407" t="s">
        <v>6158</v>
      </c>
      <c r="G2575" s="407" t="s">
        <v>6159</v>
      </c>
      <c r="H2575" s="460">
        <v>46.84836</v>
      </c>
      <c r="I2575" s="460">
        <v>1.58738</v>
      </c>
      <c r="J2575" s="460">
        <v>6.7144500000000003</v>
      </c>
      <c r="K2575" s="460">
        <v>625.33465000000001</v>
      </c>
      <c r="L2575" s="459" t="s">
        <v>539</v>
      </c>
      <c r="O2575">
        <v>1.496</v>
      </c>
      <c r="P2575" t="s">
        <v>8848</v>
      </c>
    </row>
    <row r="2576" spans="1:16" ht="14.4" x14ac:dyDescent="0.3">
      <c r="A2576">
        <v>84410</v>
      </c>
      <c r="B2576" t="str">
        <f t="shared" si="80"/>
        <v>SEVROLL Gemini II tor dolny 1,7m srebrny</v>
      </c>
      <c r="C2576" s="185">
        <f t="shared" si="81"/>
        <v>32.4831</v>
      </c>
      <c r="D2576" s="407" t="s">
        <v>2753</v>
      </c>
      <c r="E2576" s="407" t="s">
        <v>3948</v>
      </c>
      <c r="F2576" s="407" t="s">
        <v>3949</v>
      </c>
      <c r="G2576" s="407" t="s">
        <v>3950</v>
      </c>
      <c r="H2576" s="460">
        <v>262.72050999999999</v>
      </c>
      <c r="I2576" s="460">
        <v>9.4461999999999993</v>
      </c>
      <c r="J2576" s="460">
        <v>32.4831</v>
      </c>
      <c r="K2576" s="460">
        <v>3114.8907599999998</v>
      </c>
      <c r="L2576" s="459" t="s">
        <v>538</v>
      </c>
      <c r="O2576">
        <v>7.9859999999999998</v>
      </c>
      <c r="P2576" t="s">
        <v>8982</v>
      </c>
    </row>
    <row r="2577" spans="1:16" ht="14.4" x14ac:dyDescent="0.3">
      <c r="A2577">
        <v>84412</v>
      </c>
      <c r="B2577" t="str">
        <f t="shared" si="80"/>
        <v>SEVROLL Gemini II tor dolny 3m srebrny</v>
      </c>
      <c r="C2577" s="185">
        <f t="shared" si="81"/>
        <v>52.749690000000001</v>
      </c>
      <c r="D2577" s="407" t="s">
        <v>2754</v>
      </c>
      <c r="E2577" s="407" t="s">
        <v>4337</v>
      </c>
      <c r="F2577" s="407" t="s">
        <v>4338</v>
      </c>
      <c r="G2577" s="407" t="s">
        <v>4339</v>
      </c>
      <c r="H2577" s="460">
        <v>397.33764000000002</v>
      </c>
      <c r="I2577" s="460">
        <v>14.28641</v>
      </c>
      <c r="J2577" s="460">
        <v>52.749690000000001</v>
      </c>
      <c r="K2577" s="460">
        <v>5498.6339500000004</v>
      </c>
      <c r="L2577" s="459" t="s">
        <v>538</v>
      </c>
      <c r="O2577">
        <v>14.124000000000001</v>
      </c>
      <c r="P2577" t="s">
        <v>9105</v>
      </c>
    </row>
    <row r="2578" spans="1:16" ht="14.4" x14ac:dyDescent="0.3">
      <c r="A2578">
        <v>96400</v>
      </c>
      <c r="B2578" t="str">
        <f t="shared" si="80"/>
        <v>SEVROLL Exclusive tor górny 1,8m srebrny</v>
      </c>
      <c r="C2578" s="185" t="e">
        <f t="shared" si="81"/>
        <v>#N/A</v>
      </c>
      <c r="D2578" s="407" t="s">
        <v>2755</v>
      </c>
      <c r="E2578" s="407" t="s">
        <v>5671</v>
      </c>
      <c r="F2578" s="407" t="s">
        <v>1173</v>
      </c>
      <c r="G2578" s="407" t="s">
        <v>5672</v>
      </c>
      <c r="H2578" s="460" t="e">
        <v>#N/A</v>
      </c>
      <c r="I2578" s="460" t="e">
        <v>#N/A</v>
      </c>
      <c r="J2578" s="460" t="e">
        <v>#N/A</v>
      </c>
      <c r="K2578" s="460" t="e">
        <v>#N/A</v>
      </c>
      <c r="L2578" s="459" t="e">
        <v>#N/A</v>
      </c>
      <c r="O2578">
        <v>18.282</v>
      </c>
      <c r="P2578" t="s">
        <v>9521</v>
      </c>
    </row>
    <row r="2579" spans="1:16" ht="14.4" x14ac:dyDescent="0.3">
      <c r="A2579">
        <v>96401</v>
      </c>
      <c r="B2579" t="str">
        <f t="shared" si="80"/>
        <v>SEVROLL MDF profil wkładka 2,8m</v>
      </c>
      <c r="C2579" s="185" t="e">
        <f t="shared" si="81"/>
        <v>#N/A</v>
      </c>
      <c r="D2579" s="407" t="s">
        <v>2756</v>
      </c>
      <c r="E2579" s="407" t="s">
        <v>3924</v>
      </c>
      <c r="F2579" s="407" t="s">
        <v>3925</v>
      </c>
      <c r="G2579" s="407" t="s">
        <v>3926</v>
      </c>
      <c r="H2579" s="460" t="e">
        <v>#N/A</v>
      </c>
      <c r="I2579" s="460" t="e">
        <v>#N/A</v>
      </c>
      <c r="J2579" s="460" t="e">
        <v>#N/A</v>
      </c>
      <c r="K2579" s="460" t="e">
        <v>#N/A</v>
      </c>
      <c r="L2579" s="459" t="e">
        <v>#N/A</v>
      </c>
      <c r="O2579">
        <v>0</v>
      </c>
      <c r="P2579" t="s">
        <v>8974</v>
      </c>
    </row>
    <row r="2580" spans="1:16" ht="14.4" x14ac:dyDescent="0.3">
      <c r="A2580">
        <v>98032</v>
      </c>
      <c r="B2580" t="str">
        <f t="shared" si="80"/>
        <v>SEVROLL First tor górny / dolny 1,2m srebrny</v>
      </c>
      <c r="C2580" s="185" t="e">
        <f t="shared" si="81"/>
        <v>#N/A</v>
      </c>
      <c r="D2580" s="407" t="s">
        <v>2757</v>
      </c>
      <c r="E2580" s="407" t="s">
        <v>3687</v>
      </c>
      <c r="F2580" s="407" t="s">
        <v>3688</v>
      </c>
      <c r="G2580" s="407" t="s">
        <v>3689</v>
      </c>
      <c r="H2580" s="460" t="e">
        <v>#N/A</v>
      </c>
      <c r="I2580" s="460" t="e">
        <v>#N/A</v>
      </c>
      <c r="J2580" s="460" t="e">
        <v>#N/A</v>
      </c>
      <c r="K2580" s="460" t="e">
        <v>#N/A</v>
      </c>
      <c r="L2580" s="459" t="e">
        <v>#N/A</v>
      </c>
      <c r="O2580">
        <v>4.9279999999999999</v>
      </c>
      <c r="P2580" t="s">
        <v>8895</v>
      </c>
    </row>
    <row r="2581" spans="1:16" ht="14.4" x14ac:dyDescent="0.3">
      <c r="A2581">
        <v>98034</v>
      </c>
      <c r="B2581" t="str">
        <f t="shared" si="80"/>
        <v>SEVROLL 10256-SV Exclusive zestaw okuć ZPE-10 II</v>
      </c>
      <c r="C2581" s="185">
        <f t="shared" si="81"/>
        <v>135.56983</v>
      </c>
      <c r="D2581" s="407" t="s">
        <v>2758</v>
      </c>
      <c r="E2581" s="407" t="s">
        <v>4905</v>
      </c>
      <c r="F2581" s="407" t="s">
        <v>4906</v>
      </c>
      <c r="G2581" s="407" t="s">
        <v>4907</v>
      </c>
      <c r="H2581" s="460">
        <v>1053.48288</v>
      </c>
      <c r="I2581" s="460">
        <v>39.736510000000003</v>
      </c>
      <c r="J2581" s="460">
        <v>135.56983</v>
      </c>
      <c r="K2581" s="460">
        <v>14994.13168</v>
      </c>
      <c r="L2581" s="459" t="s">
        <v>539</v>
      </c>
      <c r="O2581">
        <v>35.353999999999999</v>
      </c>
      <c r="P2581" t="s">
        <v>9275</v>
      </c>
    </row>
    <row r="2582" spans="1:16" ht="14.4" x14ac:dyDescent="0.3">
      <c r="A2582">
        <v>98035</v>
      </c>
      <c r="B2582" t="str">
        <f t="shared" si="80"/>
        <v>SEVROLL Exclusive odbojnik gumowy górny</v>
      </c>
      <c r="C2582" s="185" t="e">
        <f t="shared" si="81"/>
        <v>#N/A</v>
      </c>
      <c r="D2582" s="407" t="s">
        <v>2759</v>
      </c>
      <c r="E2582" s="407" t="s">
        <v>3659</v>
      </c>
      <c r="F2582" s="407" t="s">
        <v>3660</v>
      </c>
      <c r="G2582" s="407" t="s">
        <v>3661</v>
      </c>
      <c r="H2582" s="460" t="e">
        <v>#N/A</v>
      </c>
      <c r="I2582" s="460" t="e">
        <v>#N/A</v>
      </c>
      <c r="J2582" s="460" t="e">
        <v>#N/A</v>
      </c>
      <c r="K2582" s="460" t="e">
        <v>#N/A</v>
      </c>
      <c r="L2582" s="459" t="e">
        <v>#N/A</v>
      </c>
      <c r="O2582">
        <v>3.718</v>
      </c>
      <c r="P2582" t="s">
        <v>8885</v>
      </c>
    </row>
    <row r="2583" spans="1:16" ht="14.4" x14ac:dyDescent="0.3">
      <c r="A2583">
        <v>98036</v>
      </c>
      <c r="B2583" t="str">
        <f t="shared" si="80"/>
        <v>SEVROLL Exclusive odbojnik kulisty</v>
      </c>
      <c r="C2583" s="185">
        <f t="shared" si="81"/>
        <v>3.99519</v>
      </c>
      <c r="D2583" s="407" t="s">
        <v>2760</v>
      </c>
      <c r="E2583" s="407" t="s">
        <v>6160</v>
      </c>
      <c r="F2583" s="407" t="s">
        <v>6161</v>
      </c>
      <c r="G2583" s="407" t="s">
        <v>6162</v>
      </c>
      <c r="H2583" s="460">
        <v>31.045680000000001</v>
      </c>
      <c r="I2583" s="460">
        <v>1.1710199999999999</v>
      </c>
      <c r="J2583" s="460">
        <v>3.99519</v>
      </c>
      <c r="K2583" s="460">
        <v>441.87027999999998</v>
      </c>
      <c r="L2583" s="459" t="s">
        <v>539</v>
      </c>
      <c r="O2583">
        <v>0.85799999999999998</v>
      </c>
      <c r="P2583" t="s">
        <v>8844</v>
      </c>
    </row>
    <row r="2584" spans="1:16" ht="14.4" x14ac:dyDescent="0.3">
      <c r="A2584">
        <v>98048</v>
      </c>
      <c r="B2584" t="str">
        <f t="shared" si="80"/>
        <v>SEVROLL Future wózek górny 10mm L+P</v>
      </c>
      <c r="C2584" s="185">
        <f t="shared" si="81"/>
        <v>25.245000000000001</v>
      </c>
      <c r="D2584" s="407" t="s">
        <v>2761</v>
      </c>
      <c r="E2584" s="407" t="s">
        <v>3863</v>
      </c>
      <c r="F2584" s="407" t="s">
        <v>3864</v>
      </c>
      <c r="G2584" s="407" t="s">
        <v>3865</v>
      </c>
      <c r="H2584" s="460">
        <v>204.28959</v>
      </c>
      <c r="I2584" s="460">
        <v>6.9220100000000002</v>
      </c>
      <c r="J2584" s="460">
        <v>25.245000000000001</v>
      </c>
      <c r="K2584" s="460">
        <v>2726.8697200000001</v>
      </c>
      <c r="L2584" s="459" t="s">
        <v>538</v>
      </c>
      <c r="O2584">
        <v>6.49</v>
      </c>
      <c r="P2584" t="s">
        <v>8955</v>
      </c>
    </row>
    <row r="2585" spans="1:16" ht="14.4" x14ac:dyDescent="0.3">
      <c r="A2585">
        <v>98049</v>
      </c>
      <c r="B2585" t="str">
        <f t="shared" si="80"/>
        <v>SEVROLL First tor górny / dolny 1,2m jasny brąz</v>
      </c>
      <c r="C2585" s="185" t="e">
        <f t="shared" si="81"/>
        <v>#N/A</v>
      </c>
      <c r="D2585" s="407" t="s">
        <v>2762</v>
      </c>
      <c r="E2585" s="407" t="s">
        <v>3684</v>
      </c>
      <c r="F2585" s="407" t="s">
        <v>3685</v>
      </c>
      <c r="G2585" s="407" t="s">
        <v>3686</v>
      </c>
      <c r="H2585" s="460" t="e">
        <v>#N/A</v>
      </c>
      <c r="I2585" s="460" t="e">
        <v>#N/A</v>
      </c>
      <c r="J2585" s="460" t="e">
        <v>#N/A</v>
      </c>
      <c r="K2585" s="460" t="e">
        <v>#N/A</v>
      </c>
      <c r="L2585" s="459" t="e">
        <v>#N/A</v>
      </c>
      <c r="O2585">
        <v>4.9279999999999999</v>
      </c>
      <c r="P2585" t="s">
        <v>8894</v>
      </c>
    </row>
    <row r="2586" spans="1:16" ht="14.4" x14ac:dyDescent="0.3">
      <c r="A2586" t="s">
        <v>67</v>
      </c>
      <c r="B2586" t="str">
        <f t="shared" si="80"/>
        <v>SEVROLL uszczelka bezbarwna 18/4-4,5 mm asymetryczna</v>
      </c>
      <c r="C2586" s="185" t="e">
        <f t="shared" si="81"/>
        <v>#N/A</v>
      </c>
      <c r="D2586" s="407" t="s">
        <v>2763</v>
      </c>
      <c r="E2586" s="407" t="s">
        <v>6163</v>
      </c>
      <c r="F2586" s="407" t="s">
        <v>6164</v>
      </c>
      <c r="G2586" s="407" t="s">
        <v>6165</v>
      </c>
      <c r="H2586" s="460" t="e">
        <v>#N/A</v>
      </c>
      <c r="I2586" s="460" t="e">
        <v>#N/A</v>
      </c>
      <c r="J2586" s="460" t="e">
        <v>#N/A</v>
      </c>
      <c r="K2586" s="460">
        <v>908.27302999999995</v>
      </c>
      <c r="L2586" s="459" t="e">
        <v>#N/A</v>
      </c>
      <c r="O2586">
        <v>2.0521600000000002</v>
      </c>
      <c r="P2586" t="s">
        <v>8855</v>
      </c>
    </row>
    <row r="2587" spans="1:16" ht="14.4" x14ac:dyDescent="0.3">
      <c r="A2587">
        <v>98054</v>
      </c>
      <c r="B2587" t="str">
        <f t="shared" si="80"/>
        <v>SEVROLL Maxim, zestaw okuć dla 2 drzwi, 1,8 m, srebrny</v>
      </c>
      <c r="C2587" s="185">
        <f t="shared" si="81"/>
        <v>107.06509</v>
      </c>
      <c r="D2587" s="407" t="s">
        <v>2764</v>
      </c>
      <c r="E2587" s="407" t="s">
        <v>4842</v>
      </c>
      <c r="F2587" s="407" t="s">
        <v>4843</v>
      </c>
      <c r="G2587" s="407" t="s">
        <v>4844</v>
      </c>
      <c r="H2587" s="460">
        <v>0</v>
      </c>
      <c r="I2587" s="460">
        <v>27.470300000000002</v>
      </c>
      <c r="J2587" s="460">
        <v>107.06509</v>
      </c>
      <c r="K2587" s="460">
        <v>0</v>
      </c>
      <c r="L2587" s="459" t="s">
        <v>540</v>
      </c>
      <c r="O2587">
        <v>0</v>
      </c>
      <c r="P2587" t="s">
        <v>9260</v>
      </c>
    </row>
    <row r="2588" spans="1:16" ht="14.4" x14ac:dyDescent="0.3">
      <c r="A2588">
        <v>98055</v>
      </c>
      <c r="B2588" t="str">
        <f t="shared" si="80"/>
        <v>SEVROLL Maxim listwa łącząca H25 1,8m srebrny</v>
      </c>
      <c r="C2588" s="185" t="e">
        <f t="shared" si="81"/>
        <v>#N/A</v>
      </c>
      <c r="D2588" s="407" t="s">
        <v>2765</v>
      </c>
      <c r="E2588" s="407" t="s">
        <v>4286</v>
      </c>
      <c r="F2588" s="407" t="s">
        <v>4287</v>
      </c>
      <c r="G2588" s="407" t="s">
        <v>4288</v>
      </c>
      <c r="H2588" s="460" t="e">
        <v>#N/A</v>
      </c>
      <c r="I2588" s="460" t="e">
        <v>#N/A</v>
      </c>
      <c r="J2588" s="460" t="e">
        <v>#N/A</v>
      </c>
      <c r="K2588" s="460" t="e">
        <v>#N/A</v>
      </c>
      <c r="L2588" s="459" t="e">
        <v>#N/A</v>
      </c>
      <c r="O2588" t="e">
        <v>#N/A</v>
      </c>
      <c r="P2588" t="e">
        <v>#N/A</v>
      </c>
    </row>
    <row r="2589" spans="1:16" ht="14.4" x14ac:dyDescent="0.3">
      <c r="A2589">
        <v>96421</v>
      </c>
      <c r="B2589" t="str">
        <f t="shared" si="80"/>
        <v>SEVROLL Fox II rączka 2,7 m, srebrna</v>
      </c>
      <c r="C2589" s="185">
        <f t="shared" si="81"/>
        <v>61.863</v>
      </c>
      <c r="D2589" s="407" t="s">
        <v>2766</v>
      </c>
      <c r="E2589" s="407" t="s">
        <v>4351</v>
      </c>
      <c r="F2589" s="407" t="s">
        <v>4352</v>
      </c>
      <c r="G2589" s="407" t="s">
        <v>4353</v>
      </c>
      <c r="H2589" s="460">
        <v>466.81745999999998</v>
      </c>
      <c r="I2589" s="460">
        <v>16.784579999999998</v>
      </c>
      <c r="J2589" s="460">
        <v>61.863</v>
      </c>
      <c r="K2589" s="460">
        <v>6460.1435300000003</v>
      </c>
      <c r="L2589" s="459" t="s">
        <v>538</v>
      </c>
      <c r="O2589">
        <v>15.95</v>
      </c>
      <c r="P2589" t="s">
        <v>9108</v>
      </c>
    </row>
    <row r="2590" spans="1:16" ht="14.4" x14ac:dyDescent="0.3">
      <c r="A2590">
        <v>98056</v>
      </c>
      <c r="B2590" t="str">
        <f t="shared" si="80"/>
        <v>SEVROLL Prince zestaw okuć do drzwi składanych 1200mm srebrny</v>
      </c>
      <c r="C2590" s="185" t="e">
        <f t="shared" si="81"/>
        <v>#N/A</v>
      </c>
      <c r="D2590" s="407" t="s">
        <v>2767</v>
      </c>
      <c r="E2590" s="407" t="s">
        <v>5091</v>
      </c>
      <c r="F2590" s="407" t="s">
        <v>5092</v>
      </c>
      <c r="G2590" s="407" t="s">
        <v>5093</v>
      </c>
      <c r="H2590" s="460" t="e">
        <v>#N/A</v>
      </c>
      <c r="I2590" s="460" t="e">
        <v>#N/A</v>
      </c>
      <c r="J2590" s="460" t="e">
        <v>#N/A</v>
      </c>
      <c r="K2590" s="460" t="e">
        <v>#N/A</v>
      </c>
      <c r="L2590" s="459" t="e">
        <v>#N/A</v>
      </c>
      <c r="O2590">
        <v>170.76400000000001</v>
      </c>
      <c r="P2590" t="s">
        <v>9316</v>
      </c>
    </row>
    <row r="2591" spans="1:16" ht="14.4" x14ac:dyDescent="0.3">
      <c r="A2591">
        <v>98057</v>
      </c>
      <c r="B2591" t="str">
        <f t="shared" si="80"/>
        <v>SEVROLL Gemini II tor dolny 2,35m srebrny</v>
      </c>
      <c r="C2591" s="185">
        <f t="shared" si="81"/>
        <v>41.34393</v>
      </c>
      <c r="D2591" s="407" t="s">
        <v>2768</v>
      </c>
      <c r="E2591" s="407" t="s">
        <v>4151</v>
      </c>
      <c r="F2591" s="407" t="s">
        <v>4152</v>
      </c>
      <c r="G2591" s="407" t="s">
        <v>4153</v>
      </c>
      <c r="H2591" s="460">
        <v>311.21163000000001</v>
      </c>
      <c r="I2591" s="460">
        <v>11.194929999999999</v>
      </c>
      <c r="J2591" s="460">
        <v>41.34393</v>
      </c>
      <c r="K2591" s="460">
        <v>4306.7623700000004</v>
      </c>
      <c r="L2591" s="459" t="s">
        <v>538</v>
      </c>
      <c r="O2591">
        <v>11.066000000000001</v>
      </c>
      <c r="P2591" t="s">
        <v>9046</v>
      </c>
    </row>
    <row r="2592" spans="1:16" ht="14.4" x14ac:dyDescent="0.3">
      <c r="A2592">
        <v>98058</v>
      </c>
      <c r="B2592" t="str">
        <f t="shared" si="80"/>
        <v>SEVROLL Gemini II tor dolny 4,05m srebrny</v>
      </c>
      <c r="C2592" s="185">
        <f t="shared" si="81"/>
        <v>71.187690000000003</v>
      </c>
      <c r="D2592" s="407" t="s">
        <v>2769</v>
      </c>
      <c r="E2592" s="407" t="s">
        <v>4525</v>
      </c>
      <c r="F2592" s="407" t="s">
        <v>4526</v>
      </c>
      <c r="G2592" s="407" t="s">
        <v>4527</v>
      </c>
      <c r="H2592" s="460">
        <v>536.29724999999996</v>
      </c>
      <c r="I2592" s="460">
        <v>19.28275</v>
      </c>
      <c r="J2592" s="460">
        <v>71.187690000000003</v>
      </c>
      <c r="K2592" s="460">
        <v>7421.6531100000002</v>
      </c>
      <c r="L2592" s="459" t="s">
        <v>538</v>
      </c>
      <c r="O2592">
        <v>19.052</v>
      </c>
      <c r="P2592" t="s">
        <v>9162</v>
      </c>
    </row>
    <row r="2593" spans="1:16" ht="14.4" x14ac:dyDescent="0.3">
      <c r="A2593">
        <v>98060</v>
      </c>
      <c r="B2593" t="str">
        <f t="shared" si="80"/>
        <v>SEVROLL wózek dolny WD 18C HI-TEC</v>
      </c>
      <c r="C2593" s="185" t="e">
        <f t="shared" si="81"/>
        <v>#N/A</v>
      </c>
      <c r="D2593" s="407" t="s">
        <v>2770</v>
      </c>
      <c r="E2593" s="407" t="s">
        <v>6166</v>
      </c>
      <c r="F2593" s="407" t="s">
        <v>1103</v>
      </c>
      <c r="G2593" s="407" t="s">
        <v>6167</v>
      </c>
      <c r="H2593" s="460" t="e">
        <v>#N/A</v>
      </c>
      <c r="I2593" s="460" t="e">
        <v>#N/A</v>
      </c>
      <c r="J2593" s="460" t="e">
        <v>#N/A</v>
      </c>
      <c r="K2593" s="460" t="e">
        <v>#N/A</v>
      </c>
      <c r="L2593" s="459" t="e">
        <v>#N/A</v>
      </c>
      <c r="O2593">
        <v>0</v>
      </c>
      <c r="P2593" t="s">
        <v>8856</v>
      </c>
    </row>
    <row r="2594" spans="1:16" ht="14.4" x14ac:dyDescent="0.3">
      <c r="A2594">
        <v>98062</v>
      </c>
      <c r="B2594" t="str">
        <f t="shared" si="80"/>
        <v>SEVROLL Prince 01 rączka 2,7m srebrny</v>
      </c>
      <c r="C2594" s="185" t="e">
        <f t="shared" si="81"/>
        <v>#N/A</v>
      </c>
      <c r="D2594" s="407" t="s">
        <v>2771</v>
      </c>
      <c r="E2594" s="407" t="s">
        <v>4511</v>
      </c>
      <c r="F2594" s="407" t="s">
        <v>4512</v>
      </c>
      <c r="G2594" s="407" t="s">
        <v>4513</v>
      </c>
      <c r="H2594" s="460" t="e">
        <v>#N/A</v>
      </c>
      <c r="I2594" s="460" t="e">
        <v>#N/A</v>
      </c>
      <c r="J2594" s="460" t="e">
        <v>#N/A</v>
      </c>
      <c r="K2594" s="460" t="e">
        <v>#N/A</v>
      </c>
      <c r="L2594" s="459" t="e">
        <v>#N/A</v>
      </c>
      <c r="O2594">
        <v>18.722000000000001</v>
      </c>
      <c r="P2594" t="s">
        <v>9158</v>
      </c>
    </row>
    <row r="2595" spans="1:16" ht="14.4" x14ac:dyDescent="0.3">
      <c r="A2595">
        <v>98064</v>
      </c>
      <c r="B2595" t="str">
        <f t="shared" si="80"/>
        <v>SEVROLL Micra C zestaw okuć dla 1 skrzydła</v>
      </c>
      <c r="C2595" s="185">
        <f t="shared" si="81"/>
        <v>25.214400000000001</v>
      </c>
      <c r="D2595" s="407" t="s">
        <v>2772</v>
      </c>
      <c r="E2595" s="407" t="s">
        <v>5462</v>
      </c>
      <c r="F2595" s="407" t="s">
        <v>5463</v>
      </c>
      <c r="G2595" s="407" t="s">
        <v>5464</v>
      </c>
      <c r="H2595" s="460">
        <v>176.59450000000001</v>
      </c>
      <c r="I2595" s="460">
        <v>6.3495100000000004</v>
      </c>
      <c r="J2595" s="460">
        <v>25.214400000000001</v>
      </c>
      <c r="K2595" s="460">
        <v>2443.8374100000001</v>
      </c>
      <c r="L2595" s="459" t="s">
        <v>538</v>
      </c>
      <c r="O2595">
        <v>5.9619999999999997</v>
      </c>
      <c r="P2595" t="s">
        <v>9448</v>
      </c>
    </row>
    <row r="2596" spans="1:16" ht="14.4" x14ac:dyDescent="0.3">
      <c r="A2596">
        <v>98067</v>
      </c>
      <c r="B2596" t="str">
        <f t="shared" si="80"/>
        <v>SEVROLL szczotka odbojowa zasuwana 14,5x4 mm</v>
      </c>
      <c r="C2596" s="185">
        <f t="shared" si="81"/>
        <v>1.224</v>
      </c>
      <c r="D2596" s="407" t="s">
        <v>2773</v>
      </c>
      <c r="E2596" s="407" t="s">
        <v>5125</v>
      </c>
      <c r="F2596" s="407" t="s">
        <v>5126</v>
      </c>
      <c r="G2596" s="407" t="s">
        <v>5127</v>
      </c>
      <c r="H2596" s="460">
        <v>6.8234399999999997</v>
      </c>
      <c r="I2596" s="460">
        <v>0.2218</v>
      </c>
      <c r="J2596" s="460">
        <v>1.224</v>
      </c>
      <c r="K2596" s="460">
        <v>97.2</v>
      </c>
      <c r="L2596" s="459" t="s">
        <v>538</v>
      </c>
      <c r="O2596">
        <v>0.12383</v>
      </c>
      <c r="P2596" t="s">
        <v>9331</v>
      </c>
    </row>
    <row r="2597" spans="1:16" ht="14.4" x14ac:dyDescent="0.3">
      <c r="A2597">
        <v>98070</v>
      </c>
      <c r="B2597" t="str">
        <f t="shared" si="80"/>
        <v>SEVROLL Gemini-2 rączka 2,7m srebrny</v>
      </c>
      <c r="C2597" s="185">
        <f t="shared" si="81"/>
        <v>78.988799999999998</v>
      </c>
      <c r="D2597" s="407" t="s">
        <v>2774</v>
      </c>
      <c r="E2597" s="407" t="s">
        <v>5300</v>
      </c>
      <c r="F2597" s="407" t="s">
        <v>1245</v>
      </c>
      <c r="G2597" s="407" t="s">
        <v>5301</v>
      </c>
      <c r="H2597" s="460">
        <v>525.44104000000004</v>
      </c>
      <c r="I2597" s="460">
        <v>18.892410000000002</v>
      </c>
      <c r="J2597" s="460">
        <v>78.988799999999998</v>
      </c>
      <c r="K2597" s="460">
        <v>7271.4172099999996</v>
      </c>
      <c r="L2597" s="459" t="s">
        <v>538</v>
      </c>
      <c r="O2597">
        <v>18.611999999999998</v>
      </c>
      <c r="P2597" t="s">
        <v>9394</v>
      </c>
    </row>
    <row r="2598" spans="1:16" ht="14.4" x14ac:dyDescent="0.3">
      <c r="A2598">
        <v>98071</v>
      </c>
      <c r="B2598" t="str">
        <f t="shared" si="80"/>
        <v>SEVROLL Gemini-2 rączka 2,7m jasny brąz</v>
      </c>
      <c r="C2598" s="185">
        <f t="shared" si="81"/>
        <v>86.852999999999994</v>
      </c>
      <c r="D2598" s="407" t="s">
        <v>2775</v>
      </c>
      <c r="E2598" s="407" t="s">
        <v>4536</v>
      </c>
      <c r="F2598" s="407" t="s">
        <v>1246</v>
      </c>
      <c r="G2598" s="407" t="s">
        <v>4537</v>
      </c>
      <c r="H2598" s="460">
        <v>657.16317000000004</v>
      </c>
      <c r="I2598" s="460">
        <v>23.628520000000002</v>
      </c>
      <c r="J2598" s="460">
        <v>86.852999999999994</v>
      </c>
      <c r="K2598" s="460">
        <v>9094.2795100000003</v>
      </c>
      <c r="L2598" s="459" t="s">
        <v>538</v>
      </c>
      <c r="O2598">
        <v>20.504000000000001</v>
      </c>
      <c r="P2598" t="s">
        <v>9166</v>
      </c>
    </row>
    <row r="2599" spans="1:16" ht="14.4" x14ac:dyDescent="0.3">
      <c r="A2599">
        <v>98072</v>
      </c>
      <c r="B2599" t="str">
        <f t="shared" si="80"/>
        <v>SEVROLL Gemini-2 rączka 2,7m złoty</v>
      </c>
      <c r="C2599" s="185" t="e">
        <f t="shared" si="81"/>
        <v>#N/A</v>
      </c>
      <c r="D2599" s="407" t="s">
        <v>2776</v>
      </c>
      <c r="E2599" s="407" t="s">
        <v>4501</v>
      </c>
      <c r="F2599" s="407" t="s">
        <v>1162</v>
      </c>
      <c r="G2599" s="407" t="s">
        <v>4502</v>
      </c>
      <c r="H2599" s="460" t="e">
        <v>#N/A</v>
      </c>
      <c r="I2599" s="460" t="e">
        <v>#N/A</v>
      </c>
      <c r="J2599" s="460" t="e">
        <v>#N/A</v>
      </c>
      <c r="K2599" s="460" t="e">
        <v>#N/A</v>
      </c>
      <c r="L2599" s="459" t="e">
        <v>#N/A</v>
      </c>
      <c r="O2599">
        <v>20.504000000000001</v>
      </c>
      <c r="P2599" t="s">
        <v>9154</v>
      </c>
    </row>
    <row r="2600" spans="1:16" ht="14.4" x14ac:dyDescent="0.3">
      <c r="A2600">
        <v>98073</v>
      </c>
      <c r="B2600" t="str">
        <f t="shared" si="80"/>
        <v>SEVROLL System 10 II rączka 2,7 m, srebrna</v>
      </c>
      <c r="C2600" s="185">
        <f t="shared" si="81"/>
        <v>76.000200000000007</v>
      </c>
      <c r="D2600" s="407" t="s">
        <v>2777</v>
      </c>
      <c r="E2600" s="407" t="s">
        <v>5598</v>
      </c>
      <c r="F2600" s="407" t="s">
        <v>1201</v>
      </c>
      <c r="G2600" s="407" t="s">
        <v>5599</v>
      </c>
      <c r="H2600" s="460">
        <v>525.44104000000004</v>
      </c>
      <c r="I2600" s="460">
        <v>18.892410000000002</v>
      </c>
      <c r="J2600" s="460">
        <v>76.000200000000007</v>
      </c>
      <c r="K2600" s="460">
        <v>7271.4172099999996</v>
      </c>
      <c r="L2600" s="459" t="s">
        <v>538</v>
      </c>
      <c r="O2600">
        <v>18.062000000000001</v>
      </c>
      <c r="P2600" t="s">
        <v>9498</v>
      </c>
    </row>
    <row r="2601" spans="1:16" ht="14.4" x14ac:dyDescent="0.3">
      <c r="A2601">
        <v>98074</v>
      </c>
      <c r="B2601" t="str">
        <f t="shared" si="80"/>
        <v>SEVROLL System 10 II rączka 2,7 m, oliwka</v>
      </c>
      <c r="C2601" s="185">
        <f t="shared" si="81"/>
        <v>82.701599999999999</v>
      </c>
      <c r="D2601" s="407" t="s">
        <v>2778</v>
      </c>
      <c r="E2601" s="407" t="s">
        <v>4538</v>
      </c>
      <c r="F2601" s="407" t="s">
        <v>1202</v>
      </c>
      <c r="G2601" s="407" t="s">
        <v>4539</v>
      </c>
      <c r="H2601" s="460">
        <v>654.26815999999997</v>
      </c>
      <c r="I2601" s="460">
        <v>23.524429999999999</v>
      </c>
      <c r="J2601" s="460">
        <v>82.701599999999999</v>
      </c>
      <c r="K2601" s="460">
        <v>9054.2168399999991</v>
      </c>
      <c r="L2601" s="459" t="s">
        <v>538</v>
      </c>
      <c r="O2601">
        <v>19.888000000000002</v>
      </c>
      <c r="P2601" t="s">
        <v>9167</v>
      </c>
    </row>
    <row r="2602" spans="1:16" ht="14.4" x14ac:dyDescent="0.3">
      <c r="A2602">
        <v>98075</v>
      </c>
      <c r="B2602" t="str">
        <f t="shared" si="80"/>
        <v>SEVROLL System 10 II rączka 2,7m złoty</v>
      </c>
      <c r="C2602" s="185">
        <f t="shared" si="81"/>
        <v>82.701599999999999</v>
      </c>
      <c r="D2602" s="407" t="s">
        <v>2779</v>
      </c>
      <c r="E2602" s="407" t="s">
        <v>4503</v>
      </c>
      <c r="F2602" s="407" t="s">
        <v>1096</v>
      </c>
      <c r="G2602" s="407" t="s">
        <v>4504</v>
      </c>
      <c r="H2602" s="460">
        <v>654.26815999999997</v>
      </c>
      <c r="I2602" s="460">
        <v>23.524429999999999</v>
      </c>
      <c r="J2602" s="460">
        <v>82.701599999999999</v>
      </c>
      <c r="K2602" s="460">
        <v>9054.2168399999991</v>
      </c>
      <c r="L2602" s="459" t="s">
        <v>539</v>
      </c>
      <c r="O2602">
        <v>19.888000000000002</v>
      </c>
      <c r="P2602" t="s">
        <v>9155</v>
      </c>
    </row>
    <row r="2603" spans="1:16" ht="14.4" x14ac:dyDescent="0.3">
      <c r="A2603">
        <v>96427</v>
      </c>
      <c r="B2603" t="str">
        <f t="shared" si="80"/>
        <v>SEVROLL Fox II rączka 2,7 m, oliwka</v>
      </c>
      <c r="C2603" s="185">
        <f t="shared" si="81"/>
        <v>71.498620000000003</v>
      </c>
      <c r="D2603" s="407" t="s">
        <v>2780</v>
      </c>
      <c r="E2603" s="407" t="s">
        <v>4398</v>
      </c>
      <c r="F2603" s="407" t="s">
        <v>2780</v>
      </c>
      <c r="G2603" s="407" t="s">
        <v>4399</v>
      </c>
      <c r="H2603" s="460">
        <v>578.27463999999998</v>
      </c>
      <c r="I2603" s="460">
        <v>20.792059999999999</v>
      </c>
      <c r="J2603" s="460">
        <v>71.498620000000003</v>
      </c>
      <c r="K2603" s="460">
        <v>8002.5655800000004</v>
      </c>
      <c r="L2603" s="459" t="s">
        <v>538</v>
      </c>
      <c r="O2603">
        <v>17.577999999999999</v>
      </c>
      <c r="P2603" t="s">
        <v>9124</v>
      </c>
    </row>
    <row r="2604" spans="1:16" ht="14.4" x14ac:dyDescent="0.3">
      <c r="A2604">
        <v>96428</v>
      </c>
      <c r="B2604" t="str">
        <f t="shared" si="80"/>
        <v>SEVROLL Fox II rączka 2,7m złoty</v>
      </c>
      <c r="C2604" s="185">
        <f t="shared" si="81"/>
        <v>71.498620000000003</v>
      </c>
      <c r="D2604" s="407" t="s">
        <v>2781</v>
      </c>
      <c r="E2604" s="407" t="s">
        <v>4400</v>
      </c>
      <c r="F2604" s="407" t="s">
        <v>4401</v>
      </c>
      <c r="G2604" s="407" t="s">
        <v>4402</v>
      </c>
      <c r="H2604" s="460">
        <v>578.27463999999998</v>
      </c>
      <c r="I2604" s="460">
        <v>20.792059999999999</v>
      </c>
      <c r="J2604" s="460">
        <v>71.498620000000003</v>
      </c>
      <c r="K2604" s="460">
        <v>8002.5655800000004</v>
      </c>
      <c r="L2604" s="459" t="s">
        <v>539</v>
      </c>
      <c r="O2604">
        <v>17.577999999999999</v>
      </c>
      <c r="P2604" t="s">
        <v>9125</v>
      </c>
    </row>
    <row r="2605" spans="1:16" ht="14.4" x14ac:dyDescent="0.3">
      <c r="A2605">
        <v>96429</v>
      </c>
      <c r="B2605" t="str">
        <f t="shared" si="80"/>
        <v>SEVROLL Fox II rączka 2,7 m, oliwka szczotkowana</v>
      </c>
      <c r="C2605" s="185">
        <f t="shared" si="81"/>
        <v>90.198599999999999</v>
      </c>
      <c r="D2605" s="407" t="s">
        <v>2782</v>
      </c>
      <c r="E2605" s="407" t="s">
        <v>5245</v>
      </c>
      <c r="F2605" s="407" t="s">
        <v>2782</v>
      </c>
      <c r="G2605" s="407" t="s">
        <v>5246</v>
      </c>
      <c r="H2605" s="460">
        <v>699.86431000000005</v>
      </c>
      <c r="I2605" s="460">
        <v>25.16385</v>
      </c>
      <c r="J2605" s="460">
        <v>90.198599999999999</v>
      </c>
      <c r="K2605" s="460">
        <v>9685.2075299999997</v>
      </c>
      <c r="L2605" s="459" t="s">
        <v>538</v>
      </c>
      <c r="O2605">
        <v>23.122</v>
      </c>
      <c r="P2605" t="s">
        <v>9373</v>
      </c>
    </row>
    <row r="2606" spans="1:16" ht="14.4" x14ac:dyDescent="0.3">
      <c r="A2606">
        <v>98077</v>
      </c>
      <c r="B2606" t="str">
        <f t="shared" si="80"/>
        <v>SEVROLL Everest tor 3 m, srebrny</v>
      </c>
      <c r="C2606" s="185">
        <f t="shared" si="81"/>
        <v>89.321399999999997</v>
      </c>
      <c r="D2606" s="407" t="s">
        <v>2783</v>
      </c>
      <c r="E2606" s="407" t="s">
        <v>4729</v>
      </c>
      <c r="F2606" s="407" t="s">
        <v>1254</v>
      </c>
      <c r="G2606" s="407" t="s">
        <v>4730</v>
      </c>
      <c r="H2606" s="460">
        <v>712.16800000000001</v>
      </c>
      <c r="I2606" s="460">
        <v>25.60624</v>
      </c>
      <c r="J2606" s="460">
        <v>89.321399999999997</v>
      </c>
      <c r="K2606" s="460">
        <v>9855.4749599999996</v>
      </c>
      <c r="L2606" s="459" t="s">
        <v>538</v>
      </c>
      <c r="O2606">
        <v>23.98</v>
      </c>
      <c r="P2606" t="s">
        <v>9225</v>
      </c>
    </row>
    <row r="2607" spans="1:16" ht="14.4" x14ac:dyDescent="0.3">
      <c r="A2607">
        <v>98078</v>
      </c>
      <c r="B2607" t="str">
        <f t="shared" si="80"/>
        <v>SEVROLL Everest wózek do skrzydła skośnego - 2 szt.</v>
      </c>
      <c r="C2607" s="185">
        <f t="shared" si="81"/>
        <v>67.640100000000004</v>
      </c>
      <c r="D2607" s="407" t="s">
        <v>2784</v>
      </c>
      <c r="E2607" s="407" t="s">
        <v>4630</v>
      </c>
      <c r="F2607" s="407" t="s">
        <v>4631</v>
      </c>
      <c r="G2607" s="407" t="s">
        <v>4632</v>
      </c>
      <c r="H2607" s="460">
        <v>595.97262999999998</v>
      </c>
      <c r="I2607" s="460">
        <v>20.193539999999999</v>
      </c>
      <c r="J2607" s="460">
        <v>67.640100000000004</v>
      </c>
      <c r="K2607" s="460">
        <v>7955.0789299999997</v>
      </c>
      <c r="L2607" s="459" t="s">
        <v>538</v>
      </c>
      <c r="O2607">
        <v>17.974</v>
      </c>
      <c r="P2607" t="s">
        <v>9193</v>
      </c>
    </row>
    <row r="2608" spans="1:16" ht="14.4" x14ac:dyDescent="0.3">
      <c r="A2608">
        <v>96480</v>
      </c>
      <c r="B2608" t="str">
        <f t="shared" si="80"/>
        <v>SEVROLL Exclusive tor górny 3m srebrny</v>
      </c>
      <c r="C2608" s="185">
        <f t="shared" si="81"/>
        <v>111.06605999999999</v>
      </c>
      <c r="D2608" s="407" t="s">
        <v>2785</v>
      </c>
      <c r="E2608" s="407" t="s">
        <v>4792</v>
      </c>
      <c r="F2608" s="407" t="s">
        <v>1171</v>
      </c>
      <c r="G2608" s="407" t="s">
        <v>4793</v>
      </c>
      <c r="H2608" s="460">
        <v>863.06946000000005</v>
      </c>
      <c r="I2608" s="460">
        <v>32.554270000000002</v>
      </c>
      <c r="J2608" s="460">
        <v>111.06605999999999</v>
      </c>
      <c r="K2608" s="460">
        <v>12283.993700000001</v>
      </c>
      <c r="L2608" s="459" t="s">
        <v>539</v>
      </c>
      <c r="O2608">
        <v>30.536000000000001</v>
      </c>
      <c r="P2608" t="s">
        <v>9245</v>
      </c>
    </row>
    <row r="2609" spans="1:16" ht="14.4" x14ac:dyDescent="0.3">
      <c r="A2609">
        <v>98079</v>
      </c>
      <c r="B2609" t="str">
        <f t="shared" si="80"/>
        <v>SEVROLL Comfort tor górny 4,05m srebrny</v>
      </c>
      <c r="C2609" s="185">
        <f t="shared" si="81"/>
        <v>257.95800000000003</v>
      </c>
      <c r="D2609" s="407" t="s">
        <v>2786</v>
      </c>
      <c r="E2609" s="407" t="s">
        <v>5039</v>
      </c>
      <c r="F2609" s="407" t="s">
        <v>1186</v>
      </c>
      <c r="G2609" s="407" t="s">
        <v>5040</v>
      </c>
      <c r="H2609" s="460">
        <v>1991.7544399999999</v>
      </c>
      <c r="I2609" s="460">
        <v>71.614199999999997</v>
      </c>
      <c r="J2609" s="460">
        <v>257.95800000000003</v>
      </c>
      <c r="K2609" s="460">
        <v>27563.279180000001</v>
      </c>
      <c r="L2609" s="459" t="s">
        <v>538</v>
      </c>
      <c r="O2609">
        <v>69.256</v>
      </c>
      <c r="P2609" t="s">
        <v>9305</v>
      </c>
    </row>
    <row r="2610" spans="1:16" ht="14.4" x14ac:dyDescent="0.3">
      <c r="A2610">
        <v>98080</v>
      </c>
      <c r="B2610" t="str">
        <f t="shared" si="80"/>
        <v>SEVROLL Comfort tor dolny 4,05m srebrny</v>
      </c>
      <c r="C2610" s="185" t="e">
        <f t="shared" si="81"/>
        <v>#N/A</v>
      </c>
      <c r="D2610" s="407" t="s">
        <v>1421</v>
      </c>
      <c r="E2610" s="407" t="s">
        <v>4831</v>
      </c>
      <c r="F2610" s="407" t="s">
        <v>1181</v>
      </c>
      <c r="G2610" s="407" t="s">
        <v>4832</v>
      </c>
      <c r="H2610" s="460" t="e">
        <v>#N/A</v>
      </c>
      <c r="I2610" s="460" t="e">
        <v>#N/A</v>
      </c>
      <c r="J2610" s="460" t="e">
        <v>#N/A</v>
      </c>
      <c r="K2610" s="460" t="e">
        <v>#N/A</v>
      </c>
      <c r="L2610" s="459" t="e">
        <v>#N/A</v>
      </c>
      <c r="O2610">
        <v>34.078000000000003</v>
      </c>
      <c r="P2610" t="s">
        <v>9257</v>
      </c>
    </row>
    <row r="2611" spans="1:16" ht="14.4" x14ac:dyDescent="0.3">
      <c r="A2611">
        <v>98092</v>
      </c>
      <c r="B2611" t="str">
        <f t="shared" si="80"/>
        <v>SEVROLL Comfort wózek górny 18mm - 2szt</v>
      </c>
      <c r="C2611" s="185">
        <f t="shared" si="81"/>
        <v>25.245000000000001</v>
      </c>
      <c r="D2611" s="407" t="s">
        <v>2787</v>
      </c>
      <c r="E2611" s="407" t="s">
        <v>3858</v>
      </c>
      <c r="F2611" s="407" t="s">
        <v>3859</v>
      </c>
      <c r="G2611" s="407" t="s">
        <v>3860</v>
      </c>
      <c r="H2611" s="460">
        <v>212.73766000000001</v>
      </c>
      <c r="I2611" s="460">
        <v>7.2082600000000001</v>
      </c>
      <c r="J2611" s="460">
        <v>25.245000000000001</v>
      </c>
      <c r="K2611" s="460">
        <v>2839.63526</v>
      </c>
      <c r="L2611" s="459" t="s">
        <v>538</v>
      </c>
      <c r="O2611">
        <v>6.7759999999999998</v>
      </c>
      <c r="P2611" t="s">
        <v>8953</v>
      </c>
    </row>
    <row r="2612" spans="1:16" ht="14.4" x14ac:dyDescent="0.3">
      <c r="A2612">
        <v>98107</v>
      </c>
      <c r="B2612" t="str">
        <f t="shared" si="80"/>
        <v>SEVROLL Doubler II tor dolny 4,05m srebrny</v>
      </c>
      <c r="C2612" s="185">
        <f t="shared" si="81"/>
        <v>127.0206</v>
      </c>
      <c r="D2612" s="407" t="s">
        <v>2788</v>
      </c>
      <c r="E2612" s="407" t="s">
        <v>4837</v>
      </c>
      <c r="F2612" s="407" t="s">
        <v>4838</v>
      </c>
      <c r="G2612" s="407" t="s">
        <v>4839</v>
      </c>
      <c r="H2612" s="460">
        <v>959.68983000000003</v>
      </c>
      <c r="I2612" s="460">
        <v>34.505969999999998</v>
      </c>
      <c r="J2612" s="460">
        <v>127.0206</v>
      </c>
      <c r="K2612" s="460">
        <v>13280.853059999999</v>
      </c>
      <c r="L2612" s="459" t="s">
        <v>538</v>
      </c>
      <c r="O2612">
        <v>34.1</v>
      </c>
      <c r="P2612" t="s">
        <v>9259</v>
      </c>
    </row>
    <row r="2613" spans="1:16" ht="14.4" x14ac:dyDescent="0.3">
      <c r="A2613">
        <v>98110</v>
      </c>
      <c r="B2613" t="str">
        <f t="shared" si="80"/>
        <v>SEVROLL Comfort tor górny 1,7m srebrny</v>
      </c>
      <c r="C2613" s="185">
        <f t="shared" si="81"/>
        <v>108.3036</v>
      </c>
      <c r="D2613" s="407" t="s">
        <v>2789</v>
      </c>
      <c r="E2613" s="407" t="s">
        <v>4766</v>
      </c>
      <c r="F2613" s="407" t="s">
        <v>4767</v>
      </c>
      <c r="G2613" s="407" t="s">
        <v>4768</v>
      </c>
      <c r="H2613" s="460">
        <v>836.65268000000003</v>
      </c>
      <c r="I2613" s="460">
        <v>30.082129999999999</v>
      </c>
      <c r="J2613" s="460">
        <v>108.3036</v>
      </c>
      <c r="K2613" s="460">
        <v>11578.17958</v>
      </c>
      <c r="L2613" s="459" t="s">
        <v>539</v>
      </c>
      <c r="O2613">
        <v>29.084</v>
      </c>
      <c r="P2613" t="s">
        <v>9236</v>
      </c>
    </row>
    <row r="2614" spans="1:16" ht="14.4" x14ac:dyDescent="0.3">
      <c r="A2614">
        <v>98111</v>
      </c>
      <c r="B2614" t="str">
        <f t="shared" si="80"/>
        <v>SEVROLL Comfort tor górny 1,7m jasny brąz</v>
      </c>
      <c r="C2614" s="185">
        <f t="shared" si="81"/>
        <v>129.12701999999999</v>
      </c>
      <c r="D2614" s="407" t="s">
        <v>2790</v>
      </c>
      <c r="E2614" s="407" t="s">
        <v>4797</v>
      </c>
      <c r="F2614" s="407" t="s">
        <v>1187</v>
      </c>
      <c r="G2614" s="407" t="s">
        <v>4798</v>
      </c>
      <c r="H2614" s="460">
        <v>1044.36833</v>
      </c>
      <c r="I2614" s="460">
        <v>37.550609999999999</v>
      </c>
      <c r="J2614" s="460">
        <v>129.12701999999999</v>
      </c>
      <c r="K2614" s="460">
        <v>14452.693139999999</v>
      </c>
      <c r="L2614" s="459" t="s">
        <v>539</v>
      </c>
      <c r="O2614">
        <v>31.988</v>
      </c>
      <c r="P2614" t="s">
        <v>9247</v>
      </c>
    </row>
    <row r="2615" spans="1:16" ht="14.4" x14ac:dyDescent="0.3">
      <c r="A2615">
        <v>98113</v>
      </c>
      <c r="B2615" t="str">
        <f t="shared" si="80"/>
        <v>SEVROLL Comfort tor górny 2,35m jasny brąz</v>
      </c>
      <c r="C2615" s="185">
        <f t="shared" si="81"/>
        <v>178.52282</v>
      </c>
      <c r="D2615" s="407" t="s">
        <v>2791</v>
      </c>
      <c r="E2615" s="407" t="s">
        <v>4934</v>
      </c>
      <c r="F2615" s="407" t="s">
        <v>4935</v>
      </c>
      <c r="G2615" s="407" t="s">
        <v>4936</v>
      </c>
      <c r="H2615" s="460">
        <v>1443.8772300000001</v>
      </c>
      <c r="I2615" s="460">
        <v>51.915089999999999</v>
      </c>
      <c r="J2615" s="460">
        <v>178.52282</v>
      </c>
      <c r="K2615" s="460">
        <v>19981.374199999998</v>
      </c>
      <c r="L2615" s="459" t="s">
        <v>539</v>
      </c>
      <c r="O2615">
        <v>44.198</v>
      </c>
      <c r="P2615" t="s">
        <v>9283</v>
      </c>
    </row>
    <row r="2616" spans="1:16" ht="14.4" x14ac:dyDescent="0.3">
      <c r="A2616">
        <v>98115</v>
      </c>
      <c r="B2616" t="str">
        <f t="shared" si="80"/>
        <v>SEVROLL Comfort tor górny 3m jasny brąz</v>
      </c>
      <c r="C2616" s="185">
        <f t="shared" si="81"/>
        <v>227.9186</v>
      </c>
      <c r="D2616" s="407" t="s">
        <v>2792</v>
      </c>
      <c r="E2616" s="407" t="s">
        <v>5003</v>
      </c>
      <c r="F2616" s="407" t="s">
        <v>5004</v>
      </c>
      <c r="G2616" s="407" t="s">
        <v>5005</v>
      </c>
      <c r="H2616" s="460">
        <v>1843.3861099999999</v>
      </c>
      <c r="I2616" s="460">
        <v>66.279560000000004</v>
      </c>
      <c r="J2616" s="460">
        <v>227.9186</v>
      </c>
      <c r="K2616" s="460">
        <v>25510.055260000001</v>
      </c>
      <c r="L2616" s="459" t="s">
        <v>539</v>
      </c>
      <c r="O2616">
        <v>56.43</v>
      </c>
      <c r="P2616" t="s">
        <v>9299</v>
      </c>
    </row>
    <row r="2617" spans="1:16" ht="14.4" x14ac:dyDescent="0.3">
      <c r="A2617">
        <v>98117</v>
      </c>
      <c r="B2617" t="str">
        <f t="shared" si="80"/>
        <v>SEVROLL Comfort tor górny 4,05m jasny brąz</v>
      </c>
      <c r="C2617" s="185">
        <f t="shared" si="81"/>
        <v>307.64983999999998</v>
      </c>
      <c r="D2617" s="407" t="s">
        <v>2793</v>
      </c>
      <c r="E2617" s="407" t="s">
        <v>5056</v>
      </c>
      <c r="F2617" s="407" t="s">
        <v>5057</v>
      </c>
      <c r="G2617" s="407" t="s">
        <v>5058</v>
      </c>
      <c r="H2617" s="460">
        <v>2488.2455599999998</v>
      </c>
      <c r="I2617" s="460">
        <v>89.465699999999998</v>
      </c>
      <c r="J2617" s="460">
        <v>307.64983999999998</v>
      </c>
      <c r="K2617" s="460">
        <v>34434.067340000001</v>
      </c>
      <c r="L2617" s="459" t="s">
        <v>539</v>
      </c>
      <c r="O2617">
        <v>76.186000000000007</v>
      </c>
      <c r="P2617" t="s">
        <v>9307</v>
      </c>
    </row>
    <row r="2618" spans="1:16" ht="14.4" x14ac:dyDescent="0.3">
      <c r="A2618">
        <v>100968</v>
      </c>
      <c r="B2618" t="str">
        <f t="shared" si="80"/>
        <v>SEVROLL Maxim zestaw okuć dla 3 drzwi 2,5 m, srebrny</v>
      </c>
      <c r="C2618" s="185" t="e">
        <f t="shared" si="81"/>
        <v>#N/A</v>
      </c>
      <c r="D2618" s="407" t="s">
        <v>2794</v>
      </c>
      <c r="E2618" s="407" t="s">
        <v>4955</v>
      </c>
      <c r="F2618" s="407" t="s">
        <v>4956</v>
      </c>
      <c r="G2618" s="407" t="s">
        <v>4957</v>
      </c>
      <c r="H2618" s="460" t="e">
        <v>#N/A</v>
      </c>
      <c r="I2618" s="460" t="e">
        <v>#N/A</v>
      </c>
      <c r="J2618" s="460" t="e">
        <v>#N/A</v>
      </c>
      <c r="K2618" s="460" t="e">
        <v>#N/A</v>
      </c>
      <c r="L2618" s="459" t="e">
        <v>#N/A</v>
      </c>
      <c r="O2618" t="e">
        <v>#N/A</v>
      </c>
      <c r="P2618" t="e">
        <v>#N/A</v>
      </c>
    </row>
    <row r="2619" spans="1:16" ht="14.4" x14ac:dyDescent="0.3">
      <c r="A2619">
        <v>100102</v>
      </c>
      <c r="B2619" t="str">
        <f t="shared" si="80"/>
        <v>SEVROLL Master rączka 2,7m srebrna</v>
      </c>
      <c r="C2619" s="185">
        <f t="shared" si="81"/>
        <v>90.78</v>
      </c>
      <c r="D2619" s="407" t="s">
        <v>2795</v>
      </c>
      <c r="E2619" s="407" t="s">
        <v>4711</v>
      </c>
      <c r="F2619" s="407" t="s">
        <v>4712</v>
      </c>
      <c r="G2619" s="407" t="s">
        <v>4713</v>
      </c>
      <c r="H2619" s="460">
        <v>701.31179999999995</v>
      </c>
      <c r="I2619" s="460">
        <v>25.21069</v>
      </c>
      <c r="J2619" s="460">
        <v>90.78</v>
      </c>
      <c r="K2619" s="460">
        <v>9705.2390599999999</v>
      </c>
      <c r="L2619" s="459" t="s">
        <v>539</v>
      </c>
      <c r="O2619">
        <v>24.376000000000001</v>
      </c>
      <c r="P2619" t="s">
        <v>9221</v>
      </c>
    </row>
    <row r="2620" spans="1:16" ht="14.4" x14ac:dyDescent="0.3">
      <c r="A2620">
        <v>100103</v>
      </c>
      <c r="B2620" t="str">
        <f t="shared" si="80"/>
        <v>SEVROLL Master rączka 2,7m jasny brąz</v>
      </c>
      <c r="C2620" s="185">
        <f t="shared" si="81"/>
        <v>108.36648</v>
      </c>
      <c r="D2620" s="407" t="s">
        <v>2796</v>
      </c>
      <c r="E2620" s="407" t="s">
        <v>4761</v>
      </c>
      <c r="F2620" s="407" t="s">
        <v>2796</v>
      </c>
      <c r="G2620" s="407" t="s">
        <v>4762</v>
      </c>
      <c r="H2620" s="460">
        <v>876.4588</v>
      </c>
      <c r="I2620" s="460">
        <v>31.513369999999998</v>
      </c>
      <c r="J2620" s="460">
        <v>108.36648</v>
      </c>
      <c r="K2620" s="460">
        <v>12129.044529999999</v>
      </c>
      <c r="L2620" s="459" t="s">
        <v>539</v>
      </c>
      <c r="O2620">
        <v>26.641999999999999</v>
      </c>
      <c r="P2620" t="s">
        <v>9235</v>
      </c>
    </row>
    <row r="2621" spans="1:16" ht="14.4" x14ac:dyDescent="0.3">
      <c r="A2621">
        <v>100105</v>
      </c>
      <c r="B2621" t="str">
        <f t="shared" si="80"/>
        <v>SEVROLL 02379 Master rączka 3m srebrna</v>
      </c>
      <c r="C2621" s="185">
        <f t="shared" si="81"/>
        <v>100.85760000000001</v>
      </c>
      <c r="D2621" s="407" t="s">
        <v>2797</v>
      </c>
      <c r="E2621" s="407" t="s">
        <v>4804</v>
      </c>
      <c r="F2621" s="407" t="s">
        <v>1231</v>
      </c>
      <c r="G2621" s="407" t="s">
        <v>4805</v>
      </c>
      <c r="H2621" s="460">
        <v>779.47658000000001</v>
      </c>
      <c r="I2621" s="460">
        <v>28.026340000000001</v>
      </c>
      <c r="J2621" s="460">
        <v>100.85760000000001</v>
      </c>
      <c r="K2621" s="460">
        <v>10786.93743</v>
      </c>
      <c r="L2621" s="459" t="s">
        <v>538</v>
      </c>
      <c r="O2621">
        <v>27.082000000000001</v>
      </c>
      <c r="P2621" t="s">
        <v>9249</v>
      </c>
    </row>
    <row r="2622" spans="1:16" ht="14.4" x14ac:dyDescent="0.3">
      <c r="A2622">
        <v>100106</v>
      </c>
      <c r="B2622" t="str">
        <f t="shared" si="80"/>
        <v>SEVROLL Master rączka 3 m jasny brąz</v>
      </c>
      <c r="C2622" s="185">
        <f t="shared" si="81"/>
        <v>120.44696999999999</v>
      </c>
      <c r="D2622" s="407" t="s">
        <v>2798</v>
      </c>
      <c r="E2622" s="407" t="s">
        <v>4833</v>
      </c>
      <c r="F2622" s="407" t="s">
        <v>2798</v>
      </c>
      <c r="G2622" s="407" t="s">
        <v>4834</v>
      </c>
      <c r="H2622" s="460">
        <v>974.16479000000004</v>
      </c>
      <c r="I2622" s="460">
        <v>35.026420000000002</v>
      </c>
      <c r="J2622" s="460">
        <v>120.44696999999999</v>
      </c>
      <c r="K2622" s="460">
        <v>13481.167589999999</v>
      </c>
      <c r="L2622" s="459" t="s">
        <v>539</v>
      </c>
      <c r="O2622">
        <v>29.611999999999998</v>
      </c>
      <c r="P2622" t="s">
        <v>9258</v>
      </c>
    </row>
    <row r="2623" spans="1:16" ht="14.4" x14ac:dyDescent="0.3">
      <c r="A2623">
        <v>102820</v>
      </c>
      <c r="B2623" t="str">
        <f t="shared" si="80"/>
        <v>SEVROLL 02021 Maxim tor 1,8 m srebrny</v>
      </c>
      <c r="C2623" s="185" t="e">
        <f t="shared" si="81"/>
        <v>#N/A</v>
      </c>
      <c r="D2623" s="407" t="s">
        <v>2799</v>
      </c>
      <c r="E2623" s="407" t="s">
        <v>4340</v>
      </c>
      <c r="F2623" s="407" t="s">
        <v>4341</v>
      </c>
      <c r="G2623" s="407" t="s">
        <v>4342</v>
      </c>
      <c r="H2623" s="460" t="e">
        <v>#N/A</v>
      </c>
      <c r="I2623" s="460" t="e">
        <v>#N/A</v>
      </c>
      <c r="J2623" s="460" t="e">
        <v>#N/A</v>
      </c>
      <c r="K2623" s="460" t="e">
        <v>#N/A</v>
      </c>
      <c r="L2623" s="459" t="e">
        <v>#N/A</v>
      </c>
      <c r="O2623" t="e">
        <v>#N/A</v>
      </c>
      <c r="P2623" t="e">
        <v>#N/A</v>
      </c>
    </row>
    <row r="2624" spans="1:16" ht="14.4" x14ac:dyDescent="0.3">
      <c r="A2624">
        <v>102822</v>
      </c>
      <c r="B2624" t="str">
        <f t="shared" si="80"/>
        <v>SEVROLL 02022 Maxim tor 2,5 m, srebrny</v>
      </c>
      <c r="C2624" s="185" t="e">
        <f t="shared" si="81"/>
        <v>#N/A</v>
      </c>
      <c r="D2624" s="407" t="s">
        <v>2800</v>
      </c>
      <c r="E2624" s="407" t="s">
        <v>4577</v>
      </c>
      <c r="F2624" s="407" t="s">
        <v>1227</v>
      </c>
      <c r="G2624" s="407" t="s">
        <v>4578</v>
      </c>
      <c r="H2624" s="460" t="e">
        <v>#N/A</v>
      </c>
      <c r="I2624" s="460" t="e">
        <v>#N/A</v>
      </c>
      <c r="J2624" s="460" t="e">
        <v>#N/A</v>
      </c>
      <c r="K2624" s="460" t="e">
        <v>#N/A</v>
      </c>
      <c r="L2624" s="459" t="e">
        <v>#N/A</v>
      </c>
      <c r="O2624" t="e">
        <v>#N/A</v>
      </c>
      <c r="P2624" t="e">
        <v>#N/A</v>
      </c>
    </row>
    <row r="2625" spans="1:16" ht="14.4" x14ac:dyDescent="0.3">
      <c r="A2625">
        <v>102824</v>
      </c>
      <c r="B2625" t="str">
        <f t="shared" si="80"/>
        <v>SEVROLL 02301 Maxim tor 3,5 m, srebrny</v>
      </c>
      <c r="C2625" s="185" t="e">
        <f t="shared" si="81"/>
        <v>#N/A</v>
      </c>
      <c r="D2625" s="407" t="s">
        <v>2801</v>
      </c>
      <c r="E2625" s="407" t="s">
        <v>4801</v>
      </c>
      <c r="F2625" s="407" t="s">
        <v>4802</v>
      </c>
      <c r="G2625" s="407" t="s">
        <v>4803</v>
      </c>
      <c r="H2625" s="460" t="e">
        <v>#N/A</v>
      </c>
      <c r="I2625" s="460" t="e">
        <v>#N/A</v>
      </c>
      <c r="J2625" s="460" t="e">
        <v>#N/A</v>
      </c>
      <c r="K2625" s="460" t="e">
        <v>#N/A</v>
      </c>
      <c r="L2625" s="459" t="e">
        <v>#N/A</v>
      </c>
      <c r="O2625" t="e">
        <v>#N/A</v>
      </c>
      <c r="P2625" t="e">
        <v>#N/A</v>
      </c>
    </row>
    <row r="2626" spans="1:16" ht="14.4" x14ac:dyDescent="0.3">
      <c r="A2626">
        <v>102825</v>
      </c>
      <c r="B2626" t="str">
        <f t="shared" si="80"/>
        <v>SEVROLL Maxim tor 4,3 m, srebrny</v>
      </c>
      <c r="C2626" s="185" t="e">
        <f t="shared" si="81"/>
        <v>#N/A</v>
      </c>
      <c r="D2626" s="407" t="s">
        <v>2802</v>
      </c>
      <c r="E2626" s="407" t="s">
        <v>4902</v>
      </c>
      <c r="F2626" s="407" t="s">
        <v>4903</v>
      </c>
      <c r="G2626" s="407" t="s">
        <v>4904</v>
      </c>
      <c r="H2626" s="460" t="e">
        <v>#N/A</v>
      </c>
      <c r="I2626" s="460" t="e">
        <v>#N/A</v>
      </c>
      <c r="J2626" s="460" t="e">
        <v>#N/A</v>
      </c>
      <c r="K2626" s="460" t="e">
        <v>#N/A</v>
      </c>
      <c r="L2626" s="459" t="e">
        <v>#N/A</v>
      </c>
      <c r="O2626" t="e">
        <v>#N/A</v>
      </c>
      <c r="P2626" t="e">
        <v>#N/A</v>
      </c>
    </row>
    <row r="2627" spans="1:16" ht="14.4" x14ac:dyDescent="0.3">
      <c r="A2627">
        <v>102827</v>
      </c>
      <c r="B2627" t="str">
        <f t="shared" si="80"/>
        <v>SEVROLL 02804 Maxim maskownica dolna 1,8 m, 18 mm, srebrna</v>
      </c>
      <c r="C2627" s="185" t="e">
        <f t="shared" si="81"/>
        <v>#N/A</v>
      </c>
      <c r="D2627" s="407" t="s">
        <v>2803</v>
      </c>
      <c r="E2627" s="407" t="s">
        <v>4569</v>
      </c>
      <c r="F2627" s="407" t="s">
        <v>4570</v>
      </c>
      <c r="G2627" s="407" t="s">
        <v>4571</v>
      </c>
      <c r="H2627" s="460" t="e">
        <v>#N/A</v>
      </c>
      <c r="I2627" s="460" t="e">
        <v>#N/A</v>
      </c>
      <c r="J2627" s="460" t="e">
        <v>#N/A</v>
      </c>
      <c r="K2627" s="460" t="e">
        <v>#N/A</v>
      </c>
      <c r="L2627" s="459" t="e">
        <v>#N/A</v>
      </c>
      <c r="O2627" t="e">
        <v>#N/A</v>
      </c>
      <c r="P2627" t="e">
        <v>#N/A</v>
      </c>
    </row>
    <row r="2628" spans="1:16" ht="14.4" x14ac:dyDescent="0.3">
      <c r="A2628">
        <v>102828</v>
      </c>
      <c r="B2628" t="str">
        <f t="shared" ref="B2628:B2691" si="82">IF($A$2=1,D2628,IF($A$2=2,F2628,IF($A$2=3,G2628,IF($A$2=4,E2628,IF($A$2&gt;4,P2628,"zadat jazyk")))))</f>
        <v>SEVROLL 02809 Maxim maskownica dolna 2,5 m, 18mm srebrna</v>
      </c>
      <c r="C2628" s="185" t="e">
        <f t="shared" ref="C2628:C2691" si="83">IF($A$2=1,H2628,IF($A$2=2,I2628,IF($A$2=3,J2628,IF($A$2=4,K2628,IF($A$2&gt;4,O2628,"zadat jazyk")))))</f>
        <v>#N/A</v>
      </c>
      <c r="D2628" s="407" t="s">
        <v>2804</v>
      </c>
      <c r="E2628" s="407" t="s">
        <v>4818</v>
      </c>
      <c r="F2628" s="407" t="s">
        <v>4819</v>
      </c>
      <c r="G2628" s="407" t="s">
        <v>4820</v>
      </c>
      <c r="H2628" s="460" t="e">
        <v>#N/A</v>
      </c>
      <c r="I2628" s="460" t="e">
        <v>#N/A</v>
      </c>
      <c r="J2628" s="460" t="e">
        <v>#N/A</v>
      </c>
      <c r="K2628" s="460" t="e">
        <v>#N/A</v>
      </c>
      <c r="L2628" s="459" t="e">
        <v>#N/A</v>
      </c>
      <c r="O2628" t="e">
        <v>#N/A</v>
      </c>
      <c r="P2628" t="e">
        <v>#N/A</v>
      </c>
    </row>
    <row r="2629" spans="1:16" ht="14.4" x14ac:dyDescent="0.3">
      <c r="A2629">
        <v>102830</v>
      </c>
      <c r="B2629" t="str">
        <f t="shared" si="82"/>
        <v>SEVROLL 02811 Maxim maskownica dolna 3,5 m, 18mm  srebrna</v>
      </c>
      <c r="C2629" s="185" t="e">
        <f t="shared" si="83"/>
        <v>#N/A</v>
      </c>
      <c r="D2629" s="407" t="s">
        <v>2805</v>
      </c>
      <c r="E2629" s="407" t="s">
        <v>4940</v>
      </c>
      <c r="F2629" s="407" t="s">
        <v>4941</v>
      </c>
      <c r="G2629" s="407" t="s">
        <v>4942</v>
      </c>
      <c r="H2629" s="460" t="e">
        <v>#N/A</v>
      </c>
      <c r="I2629" s="460" t="e">
        <v>#N/A</v>
      </c>
      <c r="J2629" s="460" t="e">
        <v>#N/A</v>
      </c>
      <c r="K2629" s="460" t="e">
        <v>#N/A</v>
      </c>
      <c r="L2629" s="459" t="e">
        <v>#N/A</v>
      </c>
      <c r="O2629" t="e">
        <v>#N/A</v>
      </c>
      <c r="P2629" t="e">
        <v>#N/A</v>
      </c>
    </row>
    <row r="2630" spans="1:16" ht="14.4" x14ac:dyDescent="0.3">
      <c r="A2630">
        <v>102831</v>
      </c>
      <c r="B2630" t="str">
        <f t="shared" si="82"/>
        <v>SEVROLL 02801 Maxim maskownica dolna 4,3 m, 18mm  srebrna</v>
      </c>
      <c r="C2630" s="185" t="e">
        <f t="shared" si="83"/>
        <v>#N/A</v>
      </c>
      <c r="D2630" s="407" t="s">
        <v>2806</v>
      </c>
      <c r="E2630" s="407" t="s">
        <v>5009</v>
      </c>
      <c r="F2630" s="407" t="s">
        <v>5010</v>
      </c>
      <c r="G2630" s="407" t="s">
        <v>5011</v>
      </c>
      <c r="H2630" s="460" t="e">
        <v>#N/A</v>
      </c>
      <c r="I2630" s="460" t="e">
        <v>#N/A</v>
      </c>
      <c r="J2630" s="460" t="e">
        <v>#N/A</v>
      </c>
      <c r="K2630" s="460" t="e">
        <v>#N/A</v>
      </c>
      <c r="L2630" s="459" t="e">
        <v>#N/A</v>
      </c>
      <c r="O2630" t="e">
        <v>#N/A</v>
      </c>
      <c r="P2630" t="e">
        <v>#N/A</v>
      </c>
    </row>
    <row r="2631" spans="1:16" ht="14.4" x14ac:dyDescent="0.3">
      <c r="A2631">
        <v>102832</v>
      </c>
      <c r="B2631" t="str">
        <f t="shared" si="82"/>
        <v>SEVROLL01884 Maxim listwa łącząca H25 2,5 m, srebrna</v>
      </c>
      <c r="C2631" s="185" t="e">
        <f t="shared" si="83"/>
        <v>#N/A</v>
      </c>
      <c r="D2631" s="407" t="s">
        <v>2807</v>
      </c>
      <c r="E2631" s="407" t="s">
        <v>4522</v>
      </c>
      <c r="F2631" s="407" t="s">
        <v>4523</v>
      </c>
      <c r="G2631" s="407" t="s">
        <v>4524</v>
      </c>
      <c r="H2631" s="460" t="e">
        <v>#N/A</v>
      </c>
      <c r="I2631" s="460" t="e">
        <v>#N/A</v>
      </c>
      <c r="J2631" s="460" t="e">
        <v>#N/A</v>
      </c>
      <c r="K2631" s="460" t="e">
        <v>#N/A</v>
      </c>
      <c r="L2631" s="459" t="e">
        <v>#N/A</v>
      </c>
      <c r="O2631" t="e">
        <v>#N/A</v>
      </c>
      <c r="P2631" t="e">
        <v>#N/A</v>
      </c>
    </row>
    <row r="2632" spans="1:16" ht="14.4" x14ac:dyDescent="0.3">
      <c r="A2632">
        <v>102833</v>
      </c>
      <c r="B2632" t="str">
        <f t="shared" si="82"/>
        <v>SEVROLL Maxim listwa łącząca H18 1,8 m srebrna</v>
      </c>
      <c r="C2632" s="185" t="e">
        <f t="shared" si="83"/>
        <v>#N/A</v>
      </c>
      <c r="D2632" s="407" t="s">
        <v>2808</v>
      </c>
      <c r="E2632" s="407" t="s">
        <v>3872</v>
      </c>
      <c r="F2632" s="407" t="s">
        <v>3873</v>
      </c>
      <c r="G2632" s="407" t="s">
        <v>3874</v>
      </c>
      <c r="H2632" s="460" t="e">
        <v>#N/A</v>
      </c>
      <c r="I2632" s="460" t="e">
        <v>#N/A</v>
      </c>
      <c r="J2632" s="460" t="e">
        <v>#N/A</v>
      </c>
      <c r="K2632" s="460" t="e">
        <v>#N/A</v>
      </c>
      <c r="L2632" s="459" t="e">
        <v>#N/A</v>
      </c>
      <c r="O2632" t="e">
        <v>#N/A</v>
      </c>
      <c r="P2632" t="e">
        <v>#N/A</v>
      </c>
    </row>
    <row r="2633" spans="1:16" ht="14.4" x14ac:dyDescent="0.3">
      <c r="A2633">
        <v>102834</v>
      </c>
      <c r="B2633" t="str">
        <f t="shared" si="82"/>
        <v>SEVROLL 01882 Maxim listwa łącząca H18 2,5 m, srebrna</v>
      </c>
      <c r="C2633" s="185" t="e">
        <f t="shared" si="83"/>
        <v>#N/A</v>
      </c>
      <c r="D2633" s="407" t="s">
        <v>2809</v>
      </c>
      <c r="E2633" s="407" t="s">
        <v>4112</v>
      </c>
      <c r="F2633" s="407" t="s">
        <v>4113</v>
      </c>
      <c r="G2633" s="407" t="s">
        <v>4114</v>
      </c>
      <c r="H2633" s="460" t="e">
        <v>#N/A</v>
      </c>
      <c r="I2633" s="460" t="e">
        <v>#N/A</v>
      </c>
      <c r="J2633" s="460" t="e">
        <v>#N/A</v>
      </c>
      <c r="K2633" s="460" t="e">
        <v>#N/A</v>
      </c>
      <c r="L2633" s="459" t="e">
        <v>#N/A</v>
      </c>
      <c r="O2633">
        <v>9.4380000000000006</v>
      </c>
      <c r="P2633" t="s">
        <v>9034</v>
      </c>
    </row>
    <row r="2634" spans="1:16" ht="14.4" x14ac:dyDescent="0.3">
      <c r="A2634">
        <v>102835</v>
      </c>
      <c r="B2634" t="str">
        <f t="shared" si="82"/>
        <v>SEVROLL Maxim tor górny 1,8 m srebrny</v>
      </c>
      <c r="C2634" s="185" t="e">
        <f t="shared" si="83"/>
        <v>#N/A</v>
      </c>
      <c r="D2634" s="407" t="s">
        <v>2810</v>
      </c>
      <c r="E2634" s="407" t="s">
        <v>4548</v>
      </c>
      <c r="F2634" s="407" t="s">
        <v>4549</v>
      </c>
      <c r="G2634" s="407" t="s">
        <v>4550</v>
      </c>
      <c r="H2634" s="460" t="e">
        <v>#N/A</v>
      </c>
      <c r="I2634" s="460" t="e">
        <v>#N/A</v>
      </c>
      <c r="J2634" s="460" t="e">
        <v>#N/A</v>
      </c>
      <c r="K2634" s="460" t="e">
        <v>#N/A</v>
      </c>
      <c r="L2634" s="459" t="e">
        <v>#N/A</v>
      </c>
      <c r="O2634" t="e">
        <v>#N/A</v>
      </c>
      <c r="P2634" t="e">
        <v>#N/A</v>
      </c>
    </row>
    <row r="2635" spans="1:16" ht="14.4" x14ac:dyDescent="0.3">
      <c r="A2635">
        <v>102836</v>
      </c>
      <c r="B2635" t="str">
        <f t="shared" si="82"/>
        <v>SEVROLL 02024 Maxim tor górny 2,5 m, srebrny</v>
      </c>
      <c r="C2635" s="185">
        <f t="shared" si="83"/>
        <v>101.0287</v>
      </c>
      <c r="D2635" s="407" t="s">
        <v>2811</v>
      </c>
      <c r="E2635" s="407" t="s">
        <v>4775</v>
      </c>
      <c r="F2635" s="407" t="s">
        <v>1230</v>
      </c>
      <c r="G2635" s="407" t="s">
        <v>4776</v>
      </c>
      <c r="H2635" s="460">
        <v>753.52733999999998</v>
      </c>
      <c r="I2635" s="460">
        <v>28.511769999999999</v>
      </c>
      <c r="J2635" s="460">
        <v>101.0287</v>
      </c>
      <c r="K2635" s="460">
        <v>11307.755289999999</v>
      </c>
      <c r="L2635" s="459" t="s">
        <v>540</v>
      </c>
      <c r="O2635">
        <v>26.135999999999999</v>
      </c>
      <c r="P2635" t="s">
        <v>9239</v>
      </c>
    </row>
    <row r="2636" spans="1:16" ht="14.4" x14ac:dyDescent="0.3">
      <c r="A2636">
        <v>102838</v>
      </c>
      <c r="B2636" t="str">
        <f t="shared" si="82"/>
        <v>SEVROLL 02298 Maxim tor górny 3,5 m, srebrny</v>
      </c>
      <c r="C2636" s="185" t="e">
        <f t="shared" si="83"/>
        <v>#N/A</v>
      </c>
      <c r="D2636" s="407" t="s">
        <v>2812</v>
      </c>
      <c r="E2636" s="407" t="s">
        <v>4931</v>
      </c>
      <c r="F2636" s="407" t="s">
        <v>4932</v>
      </c>
      <c r="G2636" s="407" t="s">
        <v>4933</v>
      </c>
      <c r="H2636" s="460" t="e">
        <v>#N/A</v>
      </c>
      <c r="I2636" s="460" t="e">
        <v>#N/A</v>
      </c>
      <c r="J2636" s="460" t="e">
        <v>#N/A</v>
      </c>
      <c r="K2636" s="460" t="e">
        <v>#N/A</v>
      </c>
      <c r="L2636" s="459" t="e">
        <v>#N/A</v>
      </c>
      <c r="O2636">
        <v>36.520000000000003</v>
      </c>
      <c r="P2636" t="s">
        <v>9282</v>
      </c>
    </row>
    <row r="2637" spans="1:16" ht="14.4" x14ac:dyDescent="0.3">
      <c r="A2637">
        <v>102839</v>
      </c>
      <c r="B2637" t="str">
        <f t="shared" si="82"/>
        <v>SEVROLL 02306 Maxim tor górny 4,3 m, srebrny</v>
      </c>
      <c r="C2637" s="185" t="e">
        <f t="shared" si="83"/>
        <v>#N/A</v>
      </c>
      <c r="D2637" s="407" t="s">
        <v>2813</v>
      </c>
      <c r="E2637" s="407" t="s">
        <v>4987</v>
      </c>
      <c r="F2637" s="407" t="s">
        <v>4988</v>
      </c>
      <c r="G2637" s="407" t="s">
        <v>4989</v>
      </c>
      <c r="H2637" s="460" t="e">
        <v>#N/A</v>
      </c>
      <c r="I2637" s="460" t="e">
        <v>#N/A</v>
      </c>
      <c r="J2637" s="460" t="e">
        <v>#N/A</v>
      </c>
      <c r="K2637" s="460" t="e">
        <v>#N/A</v>
      </c>
      <c r="L2637" s="459" t="e">
        <v>#N/A</v>
      </c>
      <c r="O2637">
        <v>44.902000000000001</v>
      </c>
      <c r="P2637" t="s">
        <v>9294</v>
      </c>
    </row>
    <row r="2638" spans="1:16" ht="14.4" x14ac:dyDescent="0.3">
      <c r="A2638">
        <v>119414</v>
      </c>
      <c r="B2638" t="str">
        <f t="shared" si="82"/>
        <v>SEVROLL 03042-Y górna listwa prowadząca 1,7m jasny brąz szczotkowany</v>
      </c>
      <c r="C2638" s="185">
        <f t="shared" si="83"/>
        <v>63.382800000000003</v>
      </c>
      <c r="D2638" s="407" t="s">
        <v>2814</v>
      </c>
      <c r="E2638" s="407" t="s">
        <v>5311</v>
      </c>
      <c r="F2638" s="407" t="s">
        <v>1242</v>
      </c>
      <c r="G2638" s="407" t="s">
        <v>5312</v>
      </c>
      <c r="H2638" s="460">
        <v>364.76897000000002</v>
      </c>
      <c r="I2638" s="460">
        <v>13.11539</v>
      </c>
      <c r="J2638" s="460">
        <v>63.382800000000003</v>
      </c>
      <c r="K2638" s="460">
        <v>5047.9262699999999</v>
      </c>
      <c r="L2638" s="459" t="s">
        <v>539</v>
      </c>
      <c r="O2638">
        <v>11.682</v>
      </c>
      <c r="P2638" t="s">
        <v>9398</v>
      </c>
    </row>
    <row r="2639" spans="1:16" ht="14.4" x14ac:dyDescent="0.3">
      <c r="A2639">
        <v>119415</v>
      </c>
      <c r="B2639" t="str">
        <f t="shared" si="82"/>
        <v>SEVROLL 03043-Y górna listwa prowadząca 2,35m  jasny brąz szczotkowany</v>
      </c>
      <c r="C2639" s="185">
        <f t="shared" si="83"/>
        <v>87.638400000000004</v>
      </c>
      <c r="D2639" s="407" t="s">
        <v>2815</v>
      </c>
      <c r="E2639" s="407" t="s">
        <v>5327</v>
      </c>
      <c r="F2639" s="407" t="s">
        <v>1240</v>
      </c>
      <c r="G2639" s="407" t="s">
        <v>5328</v>
      </c>
      <c r="H2639" s="460">
        <v>505.89983999999998</v>
      </c>
      <c r="I2639" s="460">
        <v>18.189800000000002</v>
      </c>
      <c r="J2639" s="460">
        <v>87.638400000000004</v>
      </c>
      <c r="K2639" s="460">
        <v>7000.9929199999997</v>
      </c>
      <c r="L2639" s="459" t="s">
        <v>538</v>
      </c>
      <c r="O2639">
        <v>16.192</v>
      </c>
      <c r="P2639" t="s">
        <v>9404</v>
      </c>
    </row>
    <row r="2640" spans="1:16" ht="14.4" x14ac:dyDescent="0.3">
      <c r="A2640">
        <v>119416</v>
      </c>
      <c r="B2640" t="str">
        <f t="shared" si="82"/>
        <v>SEVROLL 03044-Y górna listwa prowadząca 3m  jasny brąz szczotkowany</v>
      </c>
      <c r="C2640" s="185">
        <f t="shared" si="83"/>
        <v>111.41459999999999</v>
      </c>
      <c r="D2640" s="407" t="s">
        <v>2816</v>
      </c>
      <c r="E2640" s="407" t="s">
        <v>5346</v>
      </c>
      <c r="F2640" s="407" t="s">
        <v>1238</v>
      </c>
      <c r="G2640" s="407" t="s">
        <v>5347</v>
      </c>
      <c r="H2640" s="460">
        <v>644.85945000000004</v>
      </c>
      <c r="I2640" s="460">
        <v>23.186140000000002</v>
      </c>
      <c r="J2640" s="460">
        <v>111.41459999999999</v>
      </c>
      <c r="K2640" s="460">
        <v>8924.0120800000004</v>
      </c>
      <c r="L2640" s="459" t="s">
        <v>538</v>
      </c>
      <c r="O2640">
        <v>20.635999999999999</v>
      </c>
      <c r="P2640" t="s">
        <v>9411</v>
      </c>
    </row>
    <row r="2641" spans="1:16" ht="14.4" x14ac:dyDescent="0.3">
      <c r="A2641">
        <v>119417</v>
      </c>
      <c r="B2641" t="str">
        <f t="shared" si="82"/>
        <v>SEVROLL 02490-Y dolna listwa maskująca 1,7 m 10 mm, jasny brąz szczotkowany</v>
      </c>
      <c r="C2641" s="185">
        <f t="shared" si="83"/>
        <v>76.599260000000001</v>
      </c>
      <c r="D2641" s="407" t="s">
        <v>2817</v>
      </c>
      <c r="E2641" s="407" t="s">
        <v>5497</v>
      </c>
      <c r="F2641" s="407" t="s">
        <v>5498</v>
      </c>
      <c r="G2641" s="407" t="s">
        <v>5499</v>
      </c>
      <c r="H2641" s="460">
        <v>619.52828</v>
      </c>
      <c r="I2641" s="460">
        <v>22.27535</v>
      </c>
      <c r="J2641" s="460">
        <v>76.599260000000001</v>
      </c>
      <c r="K2641" s="460">
        <v>8573.4616399999995</v>
      </c>
      <c r="L2641" s="459" t="s">
        <v>539</v>
      </c>
      <c r="O2641">
        <v>18.832000000000001</v>
      </c>
      <c r="P2641" t="s">
        <v>9461</v>
      </c>
    </row>
    <row r="2642" spans="1:16" ht="14.4" x14ac:dyDescent="0.3">
      <c r="A2642">
        <v>119421</v>
      </c>
      <c r="B2642" t="str">
        <f t="shared" si="82"/>
        <v>SEVROLL 02491-Y dolna listwa maskująca 2,35 m 10 mm, jasny brąz szczotkowany</v>
      </c>
      <c r="C2642" s="185">
        <f t="shared" si="83"/>
        <v>106.03986999999999</v>
      </c>
      <c r="D2642" s="407" t="s">
        <v>2818</v>
      </c>
      <c r="E2642" s="407" t="s">
        <v>5512</v>
      </c>
      <c r="F2642" s="407" t="s">
        <v>5513</v>
      </c>
      <c r="G2642" s="407" t="s">
        <v>5514</v>
      </c>
      <c r="H2642" s="460">
        <v>857.64137000000005</v>
      </c>
      <c r="I2642" s="460">
        <v>30.836780000000001</v>
      </c>
      <c r="J2642" s="460">
        <v>106.03986999999999</v>
      </c>
      <c r="K2642" s="460">
        <v>11868.6358</v>
      </c>
      <c r="L2642" s="459" t="s">
        <v>538</v>
      </c>
      <c r="O2642">
        <v>26.07</v>
      </c>
      <c r="P2642" t="s">
        <v>9466</v>
      </c>
    </row>
    <row r="2643" spans="1:16" ht="14.4" x14ac:dyDescent="0.3">
      <c r="A2643">
        <v>119422</v>
      </c>
      <c r="B2643" t="str">
        <f t="shared" si="82"/>
        <v>SEVROLL 02492-Y dolna listwa maskująca 3 m 10 mm, jasny brąz szczotkowany</v>
      </c>
      <c r="C2643" s="185">
        <f t="shared" si="83"/>
        <v>135.48047</v>
      </c>
      <c r="D2643" s="407" t="s">
        <v>2819</v>
      </c>
      <c r="E2643" s="407" t="s">
        <v>5530</v>
      </c>
      <c r="F2643" s="407" t="s">
        <v>5531</v>
      </c>
      <c r="G2643" s="407" t="s">
        <v>5532</v>
      </c>
      <c r="H2643" s="460">
        <v>1095.75443</v>
      </c>
      <c r="I2643" s="460">
        <v>39.398220000000002</v>
      </c>
      <c r="J2643" s="460">
        <v>135.48047</v>
      </c>
      <c r="K2643" s="460">
        <v>15163.809960000001</v>
      </c>
      <c r="L2643" s="459" t="s">
        <v>539</v>
      </c>
      <c r="O2643">
        <v>33.308</v>
      </c>
      <c r="P2643" t="s">
        <v>9472</v>
      </c>
    </row>
    <row r="2644" spans="1:16" ht="14.4" x14ac:dyDescent="0.3">
      <c r="A2644">
        <v>119459</v>
      </c>
      <c r="B2644" t="str">
        <f t="shared" si="82"/>
        <v>SEVROLL 02501-Y Gemini tor górny 1,7 m, jasny brąz szczotkowany</v>
      </c>
      <c r="C2644" s="185">
        <f t="shared" si="83"/>
        <v>84.170400000000001</v>
      </c>
      <c r="D2644" s="407" t="s">
        <v>2820</v>
      </c>
      <c r="E2644" s="407" t="s">
        <v>5252</v>
      </c>
      <c r="F2644" s="407" t="s">
        <v>5253</v>
      </c>
      <c r="G2644" s="407" t="s">
        <v>5254</v>
      </c>
      <c r="H2644" s="460">
        <v>676.70438000000001</v>
      </c>
      <c r="I2644" s="460">
        <v>24.331130000000002</v>
      </c>
      <c r="J2644" s="460">
        <v>84.170400000000001</v>
      </c>
      <c r="K2644" s="460">
        <v>9364.7042000000001</v>
      </c>
      <c r="L2644" s="459" t="s">
        <v>538</v>
      </c>
      <c r="O2644">
        <v>22.594000000000001</v>
      </c>
      <c r="P2644" t="s">
        <v>9376</v>
      </c>
    </row>
    <row r="2645" spans="1:16" ht="14.4" x14ac:dyDescent="0.3">
      <c r="A2645">
        <v>120832</v>
      </c>
      <c r="B2645" t="str">
        <f t="shared" si="82"/>
        <v>SEVROLL Exclusive tor górny 3m jasny brąz</v>
      </c>
      <c r="C2645" s="185">
        <f t="shared" si="83"/>
        <v>134.77080000000001</v>
      </c>
      <c r="D2645" s="407" t="s">
        <v>2821</v>
      </c>
      <c r="E2645" s="407" t="s">
        <v>4853</v>
      </c>
      <c r="F2645" s="407" t="s">
        <v>4854</v>
      </c>
      <c r="G2645" s="407" t="s">
        <v>4855</v>
      </c>
      <c r="H2645" s="460">
        <v>1047.2737500000001</v>
      </c>
      <c r="I2645" s="460">
        <v>39.502310000000001</v>
      </c>
      <c r="J2645" s="460">
        <v>134.77080000000001</v>
      </c>
      <c r="K2645" s="460">
        <v>14905.75748</v>
      </c>
      <c r="L2645" s="459" t="s">
        <v>539</v>
      </c>
      <c r="O2645">
        <v>33.396000000000001</v>
      </c>
      <c r="P2645" t="s">
        <v>9263</v>
      </c>
    </row>
    <row r="2646" spans="1:16" ht="14.4" x14ac:dyDescent="0.3">
      <c r="A2646">
        <v>120864</v>
      </c>
      <c r="B2646" t="str">
        <f t="shared" si="82"/>
        <v>SEVROLL 02498-Y Gemini tor górny 2,35 m, jasny brąz szczotkowany</v>
      </c>
      <c r="C2646" s="185">
        <f t="shared" si="83"/>
        <v>116.5962</v>
      </c>
      <c r="D2646" s="407" t="s">
        <v>2822</v>
      </c>
      <c r="E2646" s="407" t="s">
        <v>5263</v>
      </c>
      <c r="F2646" s="407" t="s">
        <v>5264</v>
      </c>
      <c r="G2646" s="407" t="s">
        <v>5265</v>
      </c>
      <c r="H2646" s="460">
        <v>935.08237999999994</v>
      </c>
      <c r="I2646" s="460">
        <v>33.621200000000002</v>
      </c>
      <c r="J2646" s="460">
        <v>116.5962</v>
      </c>
      <c r="K2646" s="460">
        <v>12940.31861</v>
      </c>
      <c r="L2646" s="459" t="s">
        <v>538</v>
      </c>
      <c r="O2646">
        <v>31.306000000000001</v>
      </c>
      <c r="P2646" t="s">
        <v>9380</v>
      </c>
    </row>
    <row r="2647" spans="1:16" ht="14.4" x14ac:dyDescent="0.3">
      <c r="A2647">
        <v>120865</v>
      </c>
      <c r="B2647" t="str">
        <f t="shared" si="82"/>
        <v>SEVROLL 02499-Y Gemini tor górny 3 m, jasny brąz szczotkowany</v>
      </c>
      <c r="C2647" s="185">
        <f t="shared" si="83"/>
        <v>148.83840000000001</v>
      </c>
      <c r="D2647" s="407" t="s">
        <v>2823</v>
      </c>
      <c r="E2647" s="407" t="s">
        <v>5274</v>
      </c>
      <c r="F2647" s="407" t="s">
        <v>5275</v>
      </c>
      <c r="G2647" s="407" t="s">
        <v>5276</v>
      </c>
      <c r="H2647" s="460">
        <v>1193.4604200000001</v>
      </c>
      <c r="I2647" s="460">
        <v>42.911270000000002</v>
      </c>
      <c r="J2647" s="460">
        <v>148.83840000000001</v>
      </c>
      <c r="K2647" s="460">
        <v>16515.93302</v>
      </c>
      <c r="L2647" s="459" t="s">
        <v>538</v>
      </c>
      <c r="O2647">
        <v>39.951999999999998</v>
      </c>
      <c r="P2647" t="s">
        <v>9384</v>
      </c>
    </row>
    <row r="2648" spans="1:16" ht="14.4" x14ac:dyDescent="0.3">
      <c r="A2648">
        <v>120867</v>
      </c>
      <c r="B2648" t="str">
        <f t="shared" si="82"/>
        <v>SEVROLL 02500-Y Gemini tor górny 4,05 m, jasny brąz szczotkowany</v>
      </c>
      <c r="C2648" s="185">
        <f t="shared" si="83"/>
        <v>200.9196</v>
      </c>
      <c r="D2648" s="407" t="s">
        <v>2824</v>
      </c>
      <c r="E2648" s="407" t="s">
        <v>5285</v>
      </c>
      <c r="F2648" s="407" t="s">
        <v>5286</v>
      </c>
      <c r="G2648" s="407" t="s">
        <v>5287</v>
      </c>
      <c r="H2648" s="460">
        <v>1611.0630100000001</v>
      </c>
      <c r="I2648" s="460">
        <v>57.926310000000001</v>
      </c>
      <c r="J2648" s="460">
        <v>200.9196</v>
      </c>
      <c r="K2648" s="460">
        <v>22295.006850000002</v>
      </c>
      <c r="L2648" s="459" t="s">
        <v>539</v>
      </c>
      <c r="O2648">
        <v>53.944000000000003</v>
      </c>
      <c r="P2648" t="s">
        <v>9388</v>
      </c>
    </row>
    <row r="2649" spans="1:16" ht="14.4" x14ac:dyDescent="0.3">
      <c r="A2649">
        <v>120868</v>
      </c>
      <c r="B2649" t="str">
        <f t="shared" si="82"/>
        <v>SEVROLL 04333-Y Elegant II tor dolny 1,7 m, jasny brąz szczotkowany</v>
      </c>
      <c r="C2649" s="185">
        <f t="shared" si="83"/>
        <v>55.386000000000003</v>
      </c>
      <c r="D2649" s="407" t="s">
        <v>2825</v>
      </c>
      <c r="E2649" s="407" t="s">
        <v>5154</v>
      </c>
      <c r="F2649" s="407" t="s">
        <v>5155</v>
      </c>
      <c r="G2649" s="407" t="s">
        <v>5156</v>
      </c>
      <c r="H2649" s="460">
        <v>432.07754999999997</v>
      </c>
      <c r="I2649" s="460">
        <v>15.535489999999999</v>
      </c>
      <c r="J2649" s="460">
        <v>55.386000000000003</v>
      </c>
      <c r="K2649" s="460">
        <v>5979.3887400000003</v>
      </c>
      <c r="L2649" s="459" t="s">
        <v>538</v>
      </c>
      <c r="O2649">
        <v>13.816000000000001</v>
      </c>
      <c r="P2649" t="s">
        <v>9341</v>
      </c>
    </row>
    <row r="2650" spans="1:16" ht="14.4" x14ac:dyDescent="0.3">
      <c r="A2650">
        <v>120869</v>
      </c>
      <c r="B2650" t="str">
        <f t="shared" si="82"/>
        <v>SEVROLL 04334-Y Elegant II tor dolny 2,35 m, jasny brąz szczotkowany</v>
      </c>
      <c r="C2650" s="185">
        <f t="shared" si="83"/>
        <v>76.367400000000004</v>
      </c>
      <c r="D2650" s="407" t="s">
        <v>2826</v>
      </c>
      <c r="E2650" s="407" t="s">
        <v>5171</v>
      </c>
      <c r="F2650" s="407" t="s">
        <v>5172</v>
      </c>
      <c r="G2650" s="407" t="s">
        <v>5173</v>
      </c>
      <c r="H2650" s="460">
        <v>597.09209999999996</v>
      </c>
      <c r="I2650" s="460">
        <v>21.464729999999999</v>
      </c>
      <c r="J2650" s="460">
        <v>76.367400000000004</v>
      </c>
      <c r="K2650" s="460">
        <v>8262.9742999999999</v>
      </c>
      <c r="L2650" s="459" t="s">
        <v>538</v>
      </c>
      <c r="O2650">
        <v>19.14</v>
      </c>
      <c r="P2650" t="s">
        <v>9347</v>
      </c>
    </row>
    <row r="2651" spans="1:16" ht="14.4" x14ac:dyDescent="0.3">
      <c r="A2651">
        <v>120870</v>
      </c>
      <c r="B2651" t="str">
        <f t="shared" si="82"/>
        <v>SEVROLL 04335-Y Elegant II tor dolny 3 m, jasny brąz szczotkowany</v>
      </c>
      <c r="C2651" s="185">
        <f t="shared" si="83"/>
        <v>97.675200000000004</v>
      </c>
      <c r="D2651" s="407" t="s">
        <v>2827</v>
      </c>
      <c r="E2651" s="407" t="s">
        <v>5189</v>
      </c>
      <c r="F2651" s="407" t="s">
        <v>5190</v>
      </c>
      <c r="G2651" s="407" t="s">
        <v>5191</v>
      </c>
      <c r="H2651" s="460">
        <v>762.10661000000005</v>
      </c>
      <c r="I2651" s="460">
        <v>27.401800000000001</v>
      </c>
      <c r="J2651" s="460">
        <v>97.675200000000004</v>
      </c>
      <c r="K2651" s="460">
        <v>10546.55984</v>
      </c>
      <c r="L2651" s="459" t="s">
        <v>538</v>
      </c>
      <c r="O2651">
        <v>24.42</v>
      </c>
      <c r="P2651" t="s">
        <v>9353</v>
      </c>
    </row>
    <row r="2652" spans="1:16" ht="14.4" x14ac:dyDescent="0.3">
      <c r="A2652">
        <v>120871</v>
      </c>
      <c r="B2652" t="str">
        <f t="shared" si="82"/>
        <v>SEVROLL 04336-Y Elegant II tor dolny 4,05 m, jasny brąz szczotkowany</v>
      </c>
      <c r="C2652" s="185">
        <f t="shared" si="83"/>
        <v>131.8554</v>
      </c>
      <c r="D2652" s="407" t="s">
        <v>2828</v>
      </c>
      <c r="E2652" s="407" t="s">
        <v>5204</v>
      </c>
      <c r="F2652" s="407" t="s">
        <v>5205</v>
      </c>
      <c r="G2652" s="407" t="s">
        <v>5206</v>
      </c>
      <c r="H2652" s="460">
        <v>1029.1696199999999</v>
      </c>
      <c r="I2652" s="460">
        <v>37.00414</v>
      </c>
      <c r="J2652" s="460">
        <v>131.8554</v>
      </c>
      <c r="K2652" s="460">
        <v>14242.36305</v>
      </c>
      <c r="L2652" s="459" t="s">
        <v>539</v>
      </c>
      <c r="O2652">
        <v>32.933999999999997</v>
      </c>
      <c r="P2652" t="s">
        <v>9358</v>
      </c>
    </row>
    <row r="2653" spans="1:16" ht="14.4" x14ac:dyDescent="0.3">
      <c r="A2653">
        <v>121028</v>
      </c>
      <c r="B2653" t="str">
        <f t="shared" si="82"/>
        <v>SEVROLL 02493-Y Listwa łącząca H10 3m jasny brąz szczotkowany</v>
      </c>
      <c r="C2653" s="185">
        <f t="shared" si="83"/>
        <v>74.362139999999997</v>
      </c>
      <c r="D2653" s="407" t="s">
        <v>2829</v>
      </c>
      <c r="E2653" s="407" t="s">
        <v>4545</v>
      </c>
      <c r="F2653" s="407" t="s">
        <v>4546</v>
      </c>
      <c r="G2653" s="407" t="s">
        <v>4547</v>
      </c>
      <c r="H2653" s="460">
        <v>601.43457000000001</v>
      </c>
      <c r="I2653" s="460">
        <v>21.624780000000001</v>
      </c>
      <c r="J2653" s="460">
        <v>74.362139999999997</v>
      </c>
      <c r="K2653" s="460">
        <v>8323.0684999999994</v>
      </c>
      <c r="L2653" s="459" t="s">
        <v>538</v>
      </c>
      <c r="O2653">
        <v>19.25</v>
      </c>
      <c r="P2653" t="s">
        <v>9170</v>
      </c>
    </row>
    <row r="2654" spans="1:16" ht="14.4" x14ac:dyDescent="0.3">
      <c r="A2654">
        <v>128322</v>
      </c>
      <c r="B2654" t="str">
        <f t="shared" si="82"/>
        <v>SEVROLL zestaw okuć ZSE-10</v>
      </c>
      <c r="C2654" s="185" t="e">
        <f t="shared" si="83"/>
        <v>#N/A</v>
      </c>
      <c r="D2654" s="407" t="s">
        <v>1538</v>
      </c>
      <c r="E2654" s="407" t="s">
        <v>1967</v>
      </c>
      <c r="F2654" s="407" t="s">
        <v>6043</v>
      </c>
      <c r="G2654" s="407" t="s">
        <v>2477</v>
      </c>
      <c r="H2654" s="460" t="e">
        <v>#N/A</v>
      </c>
      <c r="I2654" s="460" t="e">
        <v>#N/A</v>
      </c>
      <c r="J2654" s="460" t="e">
        <v>#N/A</v>
      </c>
      <c r="K2654" s="460" t="e">
        <v>#N/A</v>
      </c>
      <c r="L2654" s="459" t="e">
        <v>#N/A</v>
      </c>
      <c r="O2654">
        <v>44.594000000000001</v>
      </c>
      <c r="P2654" t="s">
        <v>10142</v>
      </c>
    </row>
    <row r="2655" spans="1:16" ht="14.4" x14ac:dyDescent="0.3">
      <c r="A2655">
        <v>128328</v>
      </c>
      <c r="B2655" t="str">
        <f t="shared" si="82"/>
        <v>SEVROLL Exclusive tor górny 1,2m srebrny</v>
      </c>
      <c r="C2655" s="185" t="e">
        <f t="shared" si="83"/>
        <v>#N/A</v>
      </c>
      <c r="D2655" s="407" t="s">
        <v>2830</v>
      </c>
      <c r="E2655" s="407" t="s">
        <v>4199</v>
      </c>
      <c r="F2655" s="407" t="s">
        <v>4200</v>
      </c>
      <c r="G2655" s="407" t="s">
        <v>4201</v>
      </c>
      <c r="H2655" s="460" t="e">
        <v>#N/A</v>
      </c>
      <c r="I2655" s="460" t="e">
        <v>#N/A</v>
      </c>
      <c r="J2655" s="460" t="e">
        <v>#N/A</v>
      </c>
      <c r="K2655" s="460" t="e">
        <v>#N/A</v>
      </c>
      <c r="L2655" s="459" t="e">
        <v>#N/A</v>
      </c>
      <c r="O2655">
        <v>12.188000000000001</v>
      </c>
      <c r="P2655" t="s">
        <v>9061</v>
      </c>
    </row>
    <row r="2656" spans="1:16" ht="14.4" x14ac:dyDescent="0.3">
      <c r="A2656">
        <v>128842</v>
      </c>
      <c r="B2656" t="str">
        <f t="shared" si="82"/>
        <v>SEVROLL wiertło stopniowe 6,5/9,5mm</v>
      </c>
      <c r="C2656" s="185">
        <f t="shared" si="83"/>
        <v>116.85122</v>
      </c>
      <c r="D2656" s="407" t="s">
        <v>2831</v>
      </c>
      <c r="E2656" s="407" t="s">
        <v>5703</v>
      </c>
      <c r="F2656" s="407" t="s">
        <v>2831</v>
      </c>
      <c r="G2656" s="407" t="s">
        <v>5704</v>
      </c>
      <c r="H2656" s="460">
        <v>671.23099999999999</v>
      </c>
      <c r="I2656" s="460">
        <v>26.752659999999999</v>
      </c>
      <c r="J2656" s="460">
        <v>116.85122</v>
      </c>
      <c r="K2656" s="460">
        <v>10898.66318</v>
      </c>
      <c r="L2656" s="459" t="s">
        <v>538</v>
      </c>
      <c r="O2656">
        <v>19.315999999999999</v>
      </c>
      <c r="P2656" t="s">
        <v>9531</v>
      </c>
    </row>
    <row r="2657" spans="1:16" ht="14.4" x14ac:dyDescent="0.3">
      <c r="A2657">
        <v>128850</v>
      </c>
      <c r="B2657" t="str">
        <f t="shared" si="82"/>
        <v>SEVROLL element montażowy do płyty laminowanej 10mm duży</v>
      </c>
      <c r="C2657" s="185">
        <f t="shared" si="83"/>
        <v>506.41131999999999</v>
      </c>
      <c r="D2657" s="407" t="s">
        <v>2832</v>
      </c>
      <c r="E2657" s="407" t="s">
        <v>5722</v>
      </c>
      <c r="F2657" s="407" t="s">
        <v>5723</v>
      </c>
      <c r="G2657" s="407" t="s">
        <v>5724</v>
      </c>
      <c r="H2657" s="460">
        <v>2763.2087999999999</v>
      </c>
      <c r="I2657" s="460">
        <v>110.13077</v>
      </c>
      <c r="J2657" s="460">
        <v>506.41131999999999</v>
      </c>
      <c r="K2657" s="460">
        <v>47232.767570000004</v>
      </c>
      <c r="L2657" s="459" t="s">
        <v>539</v>
      </c>
      <c r="O2657">
        <v>99.396000000000001</v>
      </c>
      <c r="P2657" t="s">
        <v>9538</v>
      </c>
    </row>
    <row r="2658" spans="1:16" ht="14.4" x14ac:dyDescent="0.3">
      <c r="A2658">
        <v>129677</v>
      </c>
      <c r="B2658" t="str">
        <f t="shared" si="82"/>
        <v>SEVROLL element montażowy do płyty laminowanej 10mm mały</v>
      </c>
      <c r="C2658" s="185">
        <f t="shared" si="83"/>
        <v>51.590769999999999</v>
      </c>
      <c r="D2658" s="407" t="s">
        <v>2833</v>
      </c>
      <c r="E2658" s="407" t="s">
        <v>5731</v>
      </c>
      <c r="F2658" s="407" t="s">
        <v>5732</v>
      </c>
      <c r="G2658" s="407" t="s">
        <v>5733</v>
      </c>
      <c r="H2658" s="460">
        <v>276.76895000000002</v>
      </c>
      <c r="I2658" s="460">
        <v>12.06592</v>
      </c>
      <c r="J2658" s="460">
        <v>51.590769999999999</v>
      </c>
      <c r="K2658" s="460">
        <v>4493.0024999999996</v>
      </c>
      <c r="L2658" s="459" t="s">
        <v>538</v>
      </c>
      <c r="O2658">
        <v>4.532</v>
      </c>
      <c r="P2658" t="s">
        <v>9541</v>
      </c>
    </row>
    <row r="2659" spans="1:16" ht="14.4" x14ac:dyDescent="0.3">
      <c r="A2659">
        <v>130609</v>
      </c>
      <c r="B2659" t="str">
        <f t="shared" si="82"/>
        <v>SEVROLL Prince 02 rączka 2,7m srebrny</v>
      </c>
      <c r="C2659" s="185" t="e">
        <f t="shared" si="83"/>
        <v>#N/A</v>
      </c>
      <c r="D2659" s="407" t="s">
        <v>2834</v>
      </c>
      <c r="E2659" s="407" t="s">
        <v>4295</v>
      </c>
      <c r="F2659" s="407" t="s">
        <v>4296</v>
      </c>
      <c r="G2659" s="407" t="s">
        <v>4297</v>
      </c>
      <c r="H2659" s="460" t="e">
        <v>#N/A</v>
      </c>
      <c r="I2659" s="460" t="e">
        <v>#N/A</v>
      </c>
      <c r="J2659" s="460" t="e">
        <v>#N/A</v>
      </c>
      <c r="K2659" s="460" t="e">
        <v>#N/A</v>
      </c>
      <c r="L2659" s="459" t="e">
        <v>#N/A</v>
      </c>
      <c r="O2659">
        <v>13.662000000000001</v>
      </c>
      <c r="P2659" t="s">
        <v>9092</v>
      </c>
    </row>
    <row r="2660" spans="1:16" ht="14.4" x14ac:dyDescent="0.3">
      <c r="A2660">
        <v>130612</v>
      </c>
      <c r="B2660" t="str">
        <f t="shared" si="82"/>
        <v>SEVROLL listwa łącząca T04 3m srebrny</v>
      </c>
      <c r="C2660" s="185">
        <f t="shared" si="83"/>
        <v>24.697890000000001</v>
      </c>
      <c r="D2660" s="407" t="s">
        <v>2835</v>
      </c>
      <c r="E2660" s="407" t="s">
        <v>3811</v>
      </c>
      <c r="F2660" s="407" t="s">
        <v>3812</v>
      </c>
      <c r="G2660" s="407" t="s">
        <v>3813</v>
      </c>
      <c r="H2660" s="460">
        <v>199.75444999999999</v>
      </c>
      <c r="I2660" s="460">
        <v>7.1822400000000002</v>
      </c>
      <c r="J2660" s="460">
        <v>24.697890000000001</v>
      </c>
      <c r="K2660" s="460">
        <v>2764.34033</v>
      </c>
      <c r="L2660" s="459" t="s">
        <v>539</v>
      </c>
      <c r="O2660">
        <v>6.38</v>
      </c>
      <c r="P2660" t="s">
        <v>8936</v>
      </c>
    </row>
    <row r="2661" spans="1:16" ht="14.4" x14ac:dyDescent="0.3">
      <c r="A2661">
        <v>130994</v>
      </c>
      <c r="B2661" t="str">
        <f t="shared" si="82"/>
        <v>SEVROLL 01711 Listwa łącząca H04/18 3m, jasny brąz</v>
      </c>
      <c r="C2661" s="185">
        <f t="shared" si="83"/>
        <v>35.704569999999997</v>
      </c>
      <c r="D2661" s="407" t="s">
        <v>4053</v>
      </c>
      <c r="E2661" s="407" t="s">
        <v>4054</v>
      </c>
      <c r="F2661" s="407" t="s">
        <v>4055</v>
      </c>
      <c r="G2661" s="407" t="s">
        <v>4056</v>
      </c>
      <c r="H2661" s="460">
        <v>288.77544999999998</v>
      </c>
      <c r="I2661" s="460">
        <v>10.38302</v>
      </c>
      <c r="J2661" s="460">
        <v>35.704569999999997</v>
      </c>
      <c r="K2661" s="460">
        <v>3996.2750099999998</v>
      </c>
      <c r="L2661" s="459" t="s">
        <v>538</v>
      </c>
      <c r="O2661">
        <v>8.7780000000000005</v>
      </c>
      <c r="P2661" t="s">
        <v>9017</v>
      </c>
    </row>
    <row r="2662" spans="1:16" ht="14.4" x14ac:dyDescent="0.3">
      <c r="A2662">
        <v>131030</v>
      </c>
      <c r="B2662" t="str">
        <f t="shared" si="82"/>
        <v>SEVROLL Comfort tor dolny 1,7m srebrny</v>
      </c>
      <c r="C2662" s="185" t="e">
        <f t="shared" si="83"/>
        <v>#N/A</v>
      </c>
      <c r="D2662" s="407" t="s">
        <v>2836</v>
      </c>
      <c r="E2662" s="407" t="s">
        <v>4281</v>
      </c>
      <c r="F2662" s="407" t="s">
        <v>4282</v>
      </c>
      <c r="G2662" s="407" t="s">
        <v>4283</v>
      </c>
      <c r="H2662" s="460" t="e">
        <v>#N/A</v>
      </c>
      <c r="I2662" s="460" t="e">
        <v>#N/A</v>
      </c>
      <c r="J2662" s="460" t="e">
        <v>#N/A</v>
      </c>
      <c r="K2662" s="460" t="e">
        <v>#N/A</v>
      </c>
      <c r="L2662" s="459" t="e">
        <v>#N/A</v>
      </c>
      <c r="O2662">
        <v>14.321999999999999</v>
      </c>
      <c r="P2662" t="s">
        <v>9088</v>
      </c>
    </row>
    <row r="2663" spans="1:16" ht="14.4" x14ac:dyDescent="0.3">
      <c r="A2663">
        <v>132953</v>
      </c>
      <c r="B2663" t="str">
        <f t="shared" si="82"/>
        <v>SEVROLL uszczelka do szkła 10,1/8mm</v>
      </c>
      <c r="C2663" s="185">
        <f t="shared" si="83"/>
        <v>2.7501000000000002</v>
      </c>
      <c r="D2663" s="407" t="s">
        <v>2837</v>
      </c>
      <c r="E2663" s="407" t="s">
        <v>6168</v>
      </c>
      <c r="F2663" s="407" t="s">
        <v>6169</v>
      </c>
      <c r="G2663" s="407" t="s">
        <v>6170</v>
      </c>
      <c r="H2663" s="460">
        <v>23.80818</v>
      </c>
      <c r="I2663" s="460">
        <v>0.80669999999999997</v>
      </c>
      <c r="J2663" s="460">
        <v>2.7501000000000002</v>
      </c>
      <c r="K2663" s="460">
        <v>317.79295000000002</v>
      </c>
      <c r="L2663" s="459" t="s">
        <v>538</v>
      </c>
      <c r="O2663">
        <v>0.72599999999999998</v>
      </c>
      <c r="P2663" t="s">
        <v>8843</v>
      </c>
    </row>
    <row r="2664" spans="1:16" ht="14.4" x14ac:dyDescent="0.3">
      <c r="A2664">
        <v>132956</v>
      </c>
      <c r="B2664" t="str">
        <f t="shared" si="82"/>
        <v>SEVROLL wózek dolny WD10 V Duo 60kg</v>
      </c>
      <c r="C2664" s="185" t="e">
        <f t="shared" si="83"/>
        <v>#N/A</v>
      </c>
      <c r="D2664" s="407" t="s">
        <v>2838</v>
      </c>
      <c r="E2664" s="407" t="s">
        <v>4063</v>
      </c>
      <c r="F2664" s="407" t="s">
        <v>4064</v>
      </c>
      <c r="G2664" s="407" t="s">
        <v>4065</v>
      </c>
      <c r="H2664" s="460" t="e">
        <v>#N/A</v>
      </c>
      <c r="I2664" s="460" t="e">
        <v>#N/A</v>
      </c>
      <c r="J2664" s="460" t="e">
        <v>#N/A</v>
      </c>
      <c r="K2664" s="460" t="e">
        <v>#N/A</v>
      </c>
      <c r="L2664" s="459" t="e">
        <v>#N/A</v>
      </c>
      <c r="O2664">
        <v>0</v>
      </c>
      <c r="P2664" t="s">
        <v>9019</v>
      </c>
    </row>
    <row r="2665" spans="1:16" ht="14.4" x14ac:dyDescent="0.3">
      <c r="A2665">
        <v>133570</v>
      </c>
      <c r="B2665" t="str">
        <f t="shared" si="82"/>
        <v>SEVROLL Wilson mocowanie drążka</v>
      </c>
      <c r="C2665" s="185" t="e">
        <f t="shared" si="83"/>
        <v>#N/A</v>
      </c>
      <c r="D2665" s="407" t="s">
        <v>1702</v>
      </c>
      <c r="E2665" s="407" t="s">
        <v>2134</v>
      </c>
      <c r="F2665" s="407" t="s">
        <v>6131</v>
      </c>
      <c r="G2665" s="407" t="s">
        <v>2610</v>
      </c>
      <c r="H2665" s="460" t="e">
        <v>#N/A</v>
      </c>
      <c r="I2665" s="460" t="e">
        <v>#N/A</v>
      </c>
      <c r="J2665" s="460" t="e">
        <v>#N/A</v>
      </c>
      <c r="K2665" s="460" t="e">
        <v>#N/A</v>
      </c>
      <c r="L2665" s="459" t="e">
        <v>#N/A</v>
      </c>
      <c r="O2665">
        <v>2.222</v>
      </c>
      <c r="P2665" t="s">
        <v>10289</v>
      </c>
    </row>
    <row r="2666" spans="1:16" ht="14.4" x14ac:dyDescent="0.3">
      <c r="A2666">
        <v>133547</v>
      </c>
      <c r="B2666" t="str">
        <f t="shared" si="82"/>
        <v>SEVROLL Wilson wspornik 2108mm srebrny</v>
      </c>
      <c r="C2666" s="185" t="e">
        <f t="shared" si="83"/>
        <v>#N/A</v>
      </c>
      <c r="D2666" s="407" t="s">
        <v>1703</v>
      </c>
      <c r="E2666" s="407" t="s">
        <v>2135</v>
      </c>
      <c r="F2666" s="407" t="s">
        <v>6132</v>
      </c>
      <c r="G2666" s="407" t="s">
        <v>6133</v>
      </c>
      <c r="H2666" s="460" t="e">
        <v>#N/A</v>
      </c>
      <c r="I2666" s="460" t="e">
        <v>#N/A</v>
      </c>
      <c r="J2666" s="460" t="e">
        <v>#N/A</v>
      </c>
      <c r="K2666" s="460" t="e">
        <v>#N/A</v>
      </c>
      <c r="L2666" s="459" t="e">
        <v>#N/A</v>
      </c>
      <c r="O2666">
        <v>14.497999999999999</v>
      </c>
      <c r="P2666" t="s">
        <v>10290</v>
      </c>
    </row>
    <row r="2667" spans="1:16" ht="14.4" x14ac:dyDescent="0.3">
      <c r="A2667">
        <v>133548</v>
      </c>
      <c r="B2667" t="str">
        <f t="shared" si="82"/>
        <v>SEVROLL Wilson wspornik 300mm srebrny</v>
      </c>
      <c r="C2667" s="185" t="e">
        <f t="shared" si="83"/>
        <v>#N/A</v>
      </c>
      <c r="D2667" s="407" t="s">
        <v>1704</v>
      </c>
      <c r="E2667" s="407" t="s">
        <v>2136</v>
      </c>
      <c r="F2667" s="407" t="s">
        <v>6134</v>
      </c>
      <c r="G2667" s="407" t="s">
        <v>2611</v>
      </c>
      <c r="H2667" s="460" t="e">
        <v>#N/A</v>
      </c>
      <c r="I2667" s="460" t="e">
        <v>#N/A</v>
      </c>
      <c r="J2667" s="460" t="e">
        <v>#N/A</v>
      </c>
      <c r="K2667" s="460" t="e">
        <v>#N/A</v>
      </c>
      <c r="L2667" s="459" t="e">
        <v>#N/A</v>
      </c>
      <c r="O2667">
        <v>3.4980000000000002</v>
      </c>
      <c r="P2667" t="s">
        <v>10291</v>
      </c>
    </row>
    <row r="2668" spans="1:16" ht="14.4" x14ac:dyDescent="0.3">
      <c r="A2668">
        <v>133549</v>
      </c>
      <c r="B2668" t="str">
        <f t="shared" si="82"/>
        <v>SEVROLL Wilson wspornik 500mm srebrny</v>
      </c>
      <c r="C2668" s="185" t="e">
        <f t="shared" si="83"/>
        <v>#N/A</v>
      </c>
      <c r="D2668" s="407" t="s">
        <v>1705</v>
      </c>
      <c r="E2668" s="407" t="s">
        <v>2137</v>
      </c>
      <c r="F2668" s="407" t="s">
        <v>6135</v>
      </c>
      <c r="G2668" s="407" t="s">
        <v>2612</v>
      </c>
      <c r="H2668" s="460" t="e">
        <v>#N/A</v>
      </c>
      <c r="I2668" s="460" t="e">
        <v>#N/A</v>
      </c>
      <c r="J2668" s="460" t="e">
        <v>#N/A</v>
      </c>
      <c r="K2668" s="460" t="e">
        <v>#N/A</v>
      </c>
      <c r="L2668" s="459" t="e">
        <v>#N/A</v>
      </c>
      <c r="O2668">
        <v>5.6980000000000004</v>
      </c>
      <c r="P2668" t="s">
        <v>10292</v>
      </c>
    </row>
    <row r="2669" spans="1:16" ht="14.4" x14ac:dyDescent="0.3">
      <c r="A2669">
        <v>133553</v>
      </c>
      <c r="B2669" t="str">
        <f t="shared" si="82"/>
        <v>SEVROLL Wilson drążek, średnica 25mm 1,2m srebrny</v>
      </c>
      <c r="C2669" s="185" t="e">
        <f t="shared" si="83"/>
        <v>#N/A</v>
      </c>
      <c r="D2669" s="407" t="s">
        <v>1706</v>
      </c>
      <c r="E2669" s="407" t="s">
        <v>2138</v>
      </c>
      <c r="F2669" s="407" t="s">
        <v>6136</v>
      </c>
      <c r="G2669" s="407" t="s">
        <v>2613</v>
      </c>
      <c r="H2669" s="460" t="e">
        <v>#N/A</v>
      </c>
      <c r="I2669" s="460" t="e">
        <v>#N/A</v>
      </c>
      <c r="J2669" s="460" t="e">
        <v>#N/A</v>
      </c>
      <c r="K2669" s="460" t="e">
        <v>#N/A</v>
      </c>
      <c r="L2669" s="459" t="e">
        <v>#N/A</v>
      </c>
      <c r="O2669">
        <v>6.2919999999999998</v>
      </c>
      <c r="P2669" t="s">
        <v>10293</v>
      </c>
    </row>
    <row r="2670" spans="1:16" ht="14.4" x14ac:dyDescent="0.3">
      <c r="A2670">
        <v>133562</v>
      </c>
      <c r="B2670" t="str">
        <f t="shared" si="82"/>
        <v>SEVROLL  Wilson klips montażowy srebrny</v>
      </c>
      <c r="C2670" s="185" t="e">
        <f t="shared" si="83"/>
        <v>#N/A</v>
      </c>
      <c r="D2670" s="407" t="s">
        <v>1707</v>
      </c>
      <c r="E2670" s="407" t="s">
        <v>2139</v>
      </c>
      <c r="F2670" s="407" t="s">
        <v>6137</v>
      </c>
      <c r="G2670" s="407" t="s">
        <v>6138</v>
      </c>
      <c r="H2670" s="460" t="e">
        <v>#N/A</v>
      </c>
      <c r="I2670" s="460" t="e">
        <v>#N/A</v>
      </c>
      <c r="J2670" s="460" t="e">
        <v>#N/A</v>
      </c>
      <c r="K2670" s="460" t="e">
        <v>#N/A</v>
      </c>
      <c r="L2670" s="459" t="e">
        <v>#N/A</v>
      </c>
      <c r="O2670">
        <v>0.39600000000000002</v>
      </c>
      <c r="P2670" t="s">
        <v>10294</v>
      </c>
    </row>
    <row r="2671" spans="1:16" ht="14.4" x14ac:dyDescent="0.3">
      <c r="A2671">
        <v>133563</v>
      </c>
      <c r="B2671" t="str">
        <f t="shared" si="82"/>
        <v>SEVROLL Wilson záslepka do drążka</v>
      </c>
      <c r="C2671" s="185">
        <f t="shared" si="83"/>
        <v>4.0144000000000002</v>
      </c>
      <c r="D2671" s="407" t="s">
        <v>1708</v>
      </c>
      <c r="E2671" s="407" t="s">
        <v>2140</v>
      </c>
      <c r="F2671" s="407" t="s">
        <v>1708</v>
      </c>
      <c r="G2671" s="407" t="s">
        <v>2614</v>
      </c>
      <c r="H2671" s="460">
        <v>35.328290000000003</v>
      </c>
      <c r="I2671" s="460">
        <v>1.1970400000000001</v>
      </c>
      <c r="J2671" s="460">
        <v>4.0144000000000002</v>
      </c>
      <c r="K2671" s="460">
        <v>471.56380999999999</v>
      </c>
      <c r="L2671" s="459" t="s">
        <v>539</v>
      </c>
      <c r="O2671">
        <v>1.056</v>
      </c>
      <c r="P2671" t="s">
        <v>10295</v>
      </c>
    </row>
    <row r="2672" spans="1:16" ht="14.4" x14ac:dyDescent="0.3">
      <c r="A2672">
        <v>134300</v>
      </c>
      <c r="B2672" t="str">
        <f t="shared" si="82"/>
        <v>SEVROLL Szpros S20 3m srebrny</v>
      </c>
      <c r="C2672" s="185">
        <f t="shared" si="83"/>
        <v>21.725999999999999</v>
      </c>
      <c r="D2672" s="407" t="s">
        <v>2839</v>
      </c>
      <c r="E2672" s="407" t="s">
        <v>3832</v>
      </c>
      <c r="F2672" s="407" t="s">
        <v>1217</v>
      </c>
      <c r="G2672" s="407" t="s">
        <v>3833</v>
      </c>
      <c r="H2672" s="460">
        <v>172.97577000000001</v>
      </c>
      <c r="I2672" s="460">
        <v>6.2194000000000003</v>
      </c>
      <c r="J2672" s="460">
        <v>21.725999999999999</v>
      </c>
      <c r="K2672" s="460">
        <v>2393.7587699999999</v>
      </c>
      <c r="L2672" s="459" t="s">
        <v>538</v>
      </c>
      <c r="O2672">
        <v>5.83</v>
      </c>
      <c r="P2672" t="s">
        <v>8943</v>
      </c>
    </row>
    <row r="2673" spans="1:16" ht="14.4" x14ac:dyDescent="0.3">
      <c r="A2673">
        <v>134487</v>
      </c>
      <c r="B2673" t="str">
        <f t="shared" si="82"/>
        <v>SEVROLL Ursus tor górny 1,8m surowy</v>
      </c>
      <c r="C2673" s="185" t="e">
        <f t="shared" si="83"/>
        <v>#N/A</v>
      </c>
      <c r="D2673" s="407" t="s">
        <v>2840</v>
      </c>
      <c r="E2673" s="407" t="s">
        <v>4463</v>
      </c>
      <c r="F2673" s="407" t="s">
        <v>4464</v>
      </c>
      <c r="G2673" s="407" t="s">
        <v>4465</v>
      </c>
      <c r="H2673" s="460" t="e">
        <v>#N/A</v>
      </c>
      <c r="I2673" s="460" t="e">
        <v>#N/A</v>
      </c>
      <c r="J2673" s="460" t="e">
        <v>#N/A</v>
      </c>
      <c r="K2673" s="460" t="e">
        <v>#N/A</v>
      </c>
      <c r="L2673" s="459" t="e">
        <v>#N/A</v>
      </c>
      <c r="O2673" t="e">
        <v>#N/A</v>
      </c>
      <c r="P2673" t="e">
        <v>#N/A</v>
      </c>
    </row>
    <row r="2674" spans="1:16" ht="14.4" x14ac:dyDescent="0.3">
      <c r="A2674">
        <v>134488</v>
      </c>
      <c r="B2674" t="str">
        <f t="shared" si="82"/>
        <v>SEVROLL Ursus tor górny 3m surowy</v>
      </c>
      <c r="C2674" s="185" t="e">
        <f t="shared" si="83"/>
        <v>#N/A</v>
      </c>
      <c r="D2674" s="407" t="s">
        <v>2841</v>
      </c>
      <c r="E2674" s="407" t="s">
        <v>4780</v>
      </c>
      <c r="F2674" s="407" t="s">
        <v>4781</v>
      </c>
      <c r="G2674" s="407" t="s">
        <v>4782</v>
      </c>
      <c r="H2674" s="460" t="e">
        <v>#N/A</v>
      </c>
      <c r="I2674" s="460" t="e">
        <v>#N/A</v>
      </c>
      <c r="J2674" s="460" t="e">
        <v>#N/A</v>
      </c>
      <c r="K2674" s="460" t="e">
        <v>#N/A</v>
      </c>
      <c r="L2674" s="459" t="e">
        <v>#N/A</v>
      </c>
      <c r="O2674">
        <v>34.451999999999998</v>
      </c>
      <c r="P2674" t="s">
        <v>9240</v>
      </c>
    </row>
    <row r="2675" spans="1:16" ht="14.4" x14ac:dyDescent="0.3">
      <c r="A2675">
        <v>134489</v>
      </c>
      <c r="B2675" t="str">
        <f t="shared" si="82"/>
        <v>SEVROLL Ursus zestaw okuć ZP-18 do 1 skrzydła</v>
      </c>
      <c r="C2675" s="185" t="e">
        <f t="shared" si="83"/>
        <v>#N/A</v>
      </c>
      <c r="D2675" s="407" t="s">
        <v>2842</v>
      </c>
      <c r="E2675" s="407" t="s">
        <v>4915</v>
      </c>
      <c r="F2675" s="407" t="s">
        <v>4916</v>
      </c>
      <c r="G2675" s="407" t="s">
        <v>4917</v>
      </c>
      <c r="H2675" s="460" t="e">
        <v>#N/A</v>
      </c>
      <c r="I2675" s="460" t="e">
        <v>#N/A</v>
      </c>
      <c r="J2675" s="460" t="e">
        <v>#N/A</v>
      </c>
      <c r="K2675" s="460" t="e">
        <v>#N/A</v>
      </c>
      <c r="L2675" s="459" t="e">
        <v>#N/A</v>
      </c>
      <c r="O2675" t="e">
        <v>#N/A</v>
      </c>
      <c r="P2675" t="e">
        <v>#N/A</v>
      </c>
    </row>
    <row r="2676" spans="1:16" ht="14.4" x14ac:dyDescent="0.3">
      <c r="A2676">
        <v>134933</v>
      </c>
      <c r="B2676" t="str">
        <f t="shared" si="82"/>
        <v>SEVROLL Gemini tor górny 6m, srebrny</v>
      </c>
      <c r="C2676" s="185">
        <f t="shared" si="83"/>
        <v>0</v>
      </c>
      <c r="D2676" s="407" t="s">
        <v>2843</v>
      </c>
      <c r="E2676" s="407" t="s">
        <v>4943</v>
      </c>
      <c r="F2676" s="407" t="s">
        <v>4944</v>
      </c>
      <c r="G2676" s="407" t="s">
        <v>4945</v>
      </c>
      <c r="H2676" s="460">
        <v>1387.42489</v>
      </c>
      <c r="I2676" s="460">
        <v>49.88532</v>
      </c>
      <c r="J2676" s="460">
        <v>0</v>
      </c>
      <c r="K2676" s="460">
        <v>19200.14761</v>
      </c>
      <c r="L2676" s="459" t="s">
        <v>538</v>
      </c>
      <c r="O2676">
        <v>49.323999999999998</v>
      </c>
      <c r="P2676" t="s">
        <v>9285</v>
      </c>
    </row>
    <row r="2677" spans="1:16" ht="14.4" x14ac:dyDescent="0.3">
      <c r="A2677">
        <v>134934</v>
      </c>
      <c r="B2677" t="str">
        <f t="shared" si="82"/>
        <v>SEVROLL Gemini tor górny 6m, jasny brąz</v>
      </c>
      <c r="C2677" s="185">
        <f t="shared" si="83"/>
        <v>0</v>
      </c>
      <c r="D2677" s="407" t="s">
        <v>2844</v>
      </c>
      <c r="E2677" s="407" t="s">
        <v>5012</v>
      </c>
      <c r="F2677" s="407" t="s">
        <v>1247</v>
      </c>
      <c r="G2677" s="407" t="s">
        <v>5013</v>
      </c>
      <c r="H2677" s="460">
        <v>1736.99515</v>
      </c>
      <c r="I2677" s="460">
        <v>62.454239999999999</v>
      </c>
      <c r="J2677" s="460">
        <v>0</v>
      </c>
      <c r="K2677" s="460">
        <v>24037.743399999999</v>
      </c>
      <c r="L2677" s="459" t="s">
        <v>538</v>
      </c>
      <c r="O2677">
        <v>58.454000000000001</v>
      </c>
      <c r="P2677" t="s">
        <v>9300</v>
      </c>
    </row>
    <row r="2678" spans="1:16" ht="14.4" x14ac:dyDescent="0.3">
      <c r="A2678">
        <v>134935</v>
      </c>
      <c r="B2678" t="str">
        <f t="shared" si="82"/>
        <v>SEVROLL Gemini tor górny 6m złoty</v>
      </c>
      <c r="C2678" s="185">
        <f t="shared" si="83"/>
        <v>0</v>
      </c>
      <c r="D2678" s="407" t="s">
        <v>2845</v>
      </c>
      <c r="E2678" s="407" t="s">
        <v>4992</v>
      </c>
      <c r="F2678" s="407" t="s">
        <v>4993</v>
      </c>
      <c r="G2678" s="407" t="s">
        <v>4994</v>
      </c>
      <c r="H2678" s="460">
        <v>1736.99296</v>
      </c>
      <c r="I2678" s="460">
        <v>62.454239999999999</v>
      </c>
      <c r="J2678" s="460">
        <v>0</v>
      </c>
      <c r="K2678" s="460">
        <v>24037.743399999999</v>
      </c>
      <c r="L2678" s="459" t="s">
        <v>539</v>
      </c>
      <c r="O2678">
        <v>60.258000000000003</v>
      </c>
      <c r="P2678" t="s">
        <v>9296</v>
      </c>
    </row>
    <row r="2679" spans="1:16" ht="14.4" x14ac:dyDescent="0.3">
      <c r="A2679">
        <v>135115</v>
      </c>
      <c r="B2679" t="str">
        <f t="shared" si="82"/>
        <v>SEVROLL Cleft tor dolny 6m srebrny</v>
      </c>
      <c r="C2679" s="185" t="e">
        <f t="shared" si="83"/>
        <v>#N/A</v>
      </c>
      <c r="D2679" s="407" t="s">
        <v>2846</v>
      </c>
      <c r="E2679" s="407" t="s">
        <v>5111</v>
      </c>
      <c r="F2679" s="407" t="s">
        <v>1061</v>
      </c>
      <c r="G2679" s="407" t="s">
        <v>5112</v>
      </c>
      <c r="H2679" s="460" t="e">
        <v>#N/A</v>
      </c>
      <c r="I2679" s="460" t="e">
        <v>#N/A</v>
      </c>
      <c r="J2679" s="460" t="e">
        <v>#N/A</v>
      </c>
      <c r="K2679" s="460" t="e">
        <v>#N/A</v>
      </c>
      <c r="L2679" s="459" t="e">
        <v>#N/A</v>
      </c>
      <c r="O2679">
        <v>0</v>
      </c>
      <c r="P2679" t="s">
        <v>9326</v>
      </c>
    </row>
    <row r="2680" spans="1:16" ht="14.4" x14ac:dyDescent="0.3">
      <c r="A2680">
        <v>135118</v>
      </c>
      <c r="B2680" t="str">
        <f t="shared" si="82"/>
        <v>SEVROLL zaślepka do toru Cleft 6m srebrny</v>
      </c>
      <c r="C2680" s="185">
        <f t="shared" si="83"/>
        <v>17.19848</v>
      </c>
      <c r="D2680" s="407" t="s">
        <v>2847</v>
      </c>
      <c r="E2680" s="407" t="s">
        <v>5424</v>
      </c>
      <c r="F2680" s="407" t="s">
        <v>5425</v>
      </c>
      <c r="G2680" s="407" t="s">
        <v>5426</v>
      </c>
      <c r="H2680" s="460">
        <v>87.75609</v>
      </c>
      <c r="I2680" s="460">
        <v>3.8414600000000001</v>
      </c>
      <c r="J2680" s="460">
        <v>17.19848</v>
      </c>
      <c r="K2680" s="460">
        <v>1464.5577000000001</v>
      </c>
      <c r="L2680" s="459" t="s">
        <v>540</v>
      </c>
      <c r="O2680">
        <v>3.7730000000000001</v>
      </c>
      <c r="P2680" t="s">
        <v>9432</v>
      </c>
    </row>
    <row r="2681" spans="1:16" ht="14.4" x14ac:dyDescent="0.3">
      <c r="A2681">
        <v>135136</v>
      </c>
      <c r="B2681" t="str">
        <f t="shared" si="82"/>
        <v>SEVROLL Factor 18 II rączka 2,7m srebrny</v>
      </c>
      <c r="C2681" s="185">
        <f t="shared" si="83"/>
        <v>45.462009999999999</v>
      </c>
      <c r="D2681" s="407" t="s">
        <v>2848</v>
      </c>
      <c r="E2681" s="407" t="s">
        <v>4002</v>
      </c>
      <c r="F2681" s="407" t="s">
        <v>4003</v>
      </c>
      <c r="G2681" s="407" t="s">
        <v>4004</v>
      </c>
      <c r="H2681" s="460">
        <v>289.49919</v>
      </c>
      <c r="I2681" s="460">
        <v>10.409039999999999</v>
      </c>
      <c r="J2681" s="460">
        <v>45.462009999999999</v>
      </c>
      <c r="K2681" s="460">
        <v>4006.2905700000001</v>
      </c>
      <c r="L2681" s="459" t="s">
        <v>538</v>
      </c>
      <c r="O2681">
        <v>9.7460000000000004</v>
      </c>
      <c r="P2681" t="s">
        <v>8999</v>
      </c>
    </row>
    <row r="2682" spans="1:16" ht="14.4" x14ac:dyDescent="0.3">
      <c r="A2682">
        <v>135149</v>
      </c>
      <c r="B2682" t="str">
        <f t="shared" si="82"/>
        <v>SEVROLL 01710 listwa łącząca H04/18 3m srebrna</v>
      </c>
      <c r="C2682" s="185">
        <f t="shared" si="83"/>
        <v>29.712599999999998</v>
      </c>
      <c r="D2682" s="407" t="s">
        <v>3993</v>
      </c>
      <c r="E2682" s="407" t="s">
        <v>3994</v>
      </c>
      <c r="F2682" s="407" t="s">
        <v>3995</v>
      </c>
      <c r="G2682" s="407" t="s">
        <v>3996</v>
      </c>
      <c r="H2682" s="460">
        <v>237.38934</v>
      </c>
      <c r="I2682" s="460">
        <v>8.5354100000000006</v>
      </c>
      <c r="J2682" s="460">
        <v>29.712599999999998</v>
      </c>
      <c r="K2682" s="460">
        <v>3285.1581900000001</v>
      </c>
      <c r="L2682" s="459" t="s">
        <v>538</v>
      </c>
      <c r="O2682">
        <v>7.9859999999999998</v>
      </c>
      <c r="P2682" t="s">
        <v>8996</v>
      </c>
    </row>
    <row r="2683" spans="1:16" ht="14.4" x14ac:dyDescent="0.3">
      <c r="A2683">
        <v>135151</v>
      </c>
      <c r="B2683" t="str">
        <f t="shared" si="82"/>
        <v>SEVROLL listwa łącząca H08/18 3m jasny brąz</v>
      </c>
      <c r="C2683" s="185">
        <f t="shared" si="83"/>
        <v>37.046849999999999</v>
      </c>
      <c r="D2683" s="407" t="s">
        <v>2849</v>
      </c>
      <c r="E2683" s="407" t="s">
        <v>3976</v>
      </c>
      <c r="F2683" s="407" t="s">
        <v>3977</v>
      </c>
      <c r="G2683" s="407" t="s">
        <v>3978</v>
      </c>
      <c r="H2683" s="460">
        <v>299.63164999999998</v>
      </c>
      <c r="I2683" s="460">
        <v>10.77336</v>
      </c>
      <c r="J2683" s="460">
        <v>37.046849999999999</v>
      </c>
      <c r="K2683" s="460">
        <v>4146.5108899999996</v>
      </c>
      <c r="L2683" s="459" t="s">
        <v>539</v>
      </c>
      <c r="O2683">
        <v>9.1080000000000005</v>
      </c>
      <c r="P2683" t="s">
        <v>8990</v>
      </c>
    </row>
    <row r="2684" spans="1:16" ht="14.4" x14ac:dyDescent="0.3">
      <c r="A2684">
        <v>135152</v>
      </c>
      <c r="B2684" t="str">
        <f t="shared" si="82"/>
        <v>SEVROLL listwa łącząca H08/18 3m srebrna</v>
      </c>
      <c r="C2684" s="185">
        <f t="shared" si="83"/>
        <v>39.694769999999998</v>
      </c>
      <c r="D2684" s="407" t="s">
        <v>2850</v>
      </c>
      <c r="E2684" s="407" t="s">
        <v>3997</v>
      </c>
      <c r="F2684" s="407" t="s">
        <v>1208</v>
      </c>
      <c r="G2684" s="407" t="s">
        <v>3998</v>
      </c>
      <c r="H2684" s="460">
        <v>245.35057</v>
      </c>
      <c r="I2684" s="460">
        <v>8.8216599999999996</v>
      </c>
      <c r="J2684" s="460">
        <v>39.694769999999998</v>
      </c>
      <c r="K2684" s="460">
        <v>3395.3314300000002</v>
      </c>
      <c r="L2684" s="459" t="s">
        <v>538</v>
      </c>
      <c r="O2684">
        <v>8.2720000000000002</v>
      </c>
      <c r="P2684" t="s">
        <v>8997</v>
      </c>
    </row>
    <row r="2685" spans="1:16" ht="14.4" x14ac:dyDescent="0.3">
      <c r="A2685">
        <v>135154</v>
      </c>
      <c r="B2685" t="str">
        <f t="shared" si="82"/>
        <v>SEVROLL 02292 Szpros S20 3m jasny brąz</v>
      </c>
      <c r="C2685" s="185">
        <f t="shared" si="83"/>
        <v>26.219149999999999</v>
      </c>
      <c r="D2685" s="407" t="s">
        <v>2851</v>
      </c>
      <c r="E2685" s="407" t="s">
        <v>3875</v>
      </c>
      <c r="F2685" s="407" t="s">
        <v>1218</v>
      </c>
      <c r="G2685" s="407" t="s">
        <v>3876</v>
      </c>
      <c r="H2685" s="460">
        <v>212.05815000000001</v>
      </c>
      <c r="I2685" s="460">
        <v>7.6246200000000002</v>
      </c>
      <c r="J2685" s="460">
        <v>26.219149999999999</v>
      </c>
      <c r="K2685" s="460">
        <v>2934.6077500000001</v>
      </c>
      <c r="L2685" s="459" t="s">
        <v>538</v>
      </c>
      <c r="O2685">
        <v>6.4459999999999997</v>
      </c>
      <c r="P2685" t="s">
        <v>8958</v>
      </c>
    </row>
    <row r="2686" spans="1:16" ht="14.4" x14ac:dyDescent="0.3">
      <c r="A2686">
        <v>135156</v>
      </c>
      <c r="B2686" t="str">
        <f t="shared" si="82"/>
        <v>SEVROLL 02336 Szpros S10 3m oliwka</v>
      </c>
      <c r="C2686" s="185">
        <f t="shared" si="83"/>
        <v>12.0054</v>
      </c>
      <c r="D2686" s="407" t="s">
        <v>2852</v>
      </c>
      <c r="E2686" s="407" t="s">
        <v>3621</v>
      </c>
      <c r="F2686" s="407" t="s">
        <v>1219</v>
      </c>
      <c r="G2686" s="407" t="s">
        <v>3622</v>
      </c>
      <c r="H2686" s="460">
        <v>94.810980000000001</v>
      </c>
      <c r="I2686" s="460">
        <v>3.40896</v>
      </c>
      <c r="J2686" s="460">
        <v>12.0054</v>
      </c>
      <c r="K2686" s="460">
        <v>1312.05999</v>
      </c>
      <c r="L2686" s="459" t="s">
        <v>538</v>
      </c>
      <c r="O2686">
        <v>3.19</v>
      </c>
      <c r="P2686" t="s">
        <v>8871</v>
      </c>
    </row>
    <row r="2687" spans="1:16" ht="14.4" x14ac:dyDescent="0.3">
      <c r="A2687">
        <v>135157</v>
      </c>
      <c r="B2687" t="str">
        <f t="shared" si="82"/>
        <v>SEVROLL Szpros S10 3m oliwka</v>
      </c>
      <c r="C2687" s="185">
        <f t="shared" si="83"/>
        <v>14.675560000000001</v>
      </c>
      <c r="D2687" s="407" t="s">
        <v>2853</v>
      </c>
      <c r="E2687" s="407" t="s">
        <v>3662</v>
      </c>
      <c r="F2687" s="407" t="s">
        <v>1220</v>
      </c>
      <c r="G2687" s="407" t="s">
        <v>3663</v>
      </c>
      <c r="H2687" s="460">
        <v>118.69466</v>
      </c>
      <c r="I2687" s="460">
        <v>4.2677100000000001</v>
      </c>
      <c r="J2687" s="460">
        <v>14.675560000000001</v>
      </c>
      <c r="K2687" s="460">
        <v>1642.5792899999999</v>
      </c>
      <c r="L2687" s="459" t="s">
        <v>538</v>
      </c>
      <c r="O2687">
        <v>3.8940000000000001</v>
      </c>
      <c r="P2687" t="s">
        <v>8886</v>
      </c>
    </row>
    <row r="2688" spans="1:16" ht="14.4" x14ac:dyDescent="0.3">
      <c r="A2688">
        <v>135164</v>
      </c>
      <c r="B2688" t="str">
        <f t="shared" si="82"/>
        <v>SEVROLL uszczelka bezbarwna 10/4,5mm</v>
      </c>
      <c r="C2688" s="185">
        <f t="shared" si="83"/>
        <v>2.7501000000000002</v>
      </c>
      <c r="D2688" s="407" t="s">
        <v>2854</v>
      </c>
      <c r="E2688" s="407" t="s">
        <v>5600</v>
      </c>
      <c r="F2688" s="407" t="s">
        <v>5601</v>
      </c>
      <c r="G2688" s="407" t="s">
        <v>5602</v>
      </c>
      <c r="H2688" s="460">
        <v>23.80818</v>
      </c>
      <c r="I2688" s="460">
        <v>0.80669999999999997</v>
      </c>
      <c r="J2688" s="460">
        <v>2.7501000000000002</v>
      </c>
      <c r="K2688" s="460">
        <v>317.79295000000002</v>
      </c>
      <c r="L2688" s="459" t="s">
        <v>538</v>
      </c>
      <c r="O2688">
        <v>0.72599999999999998</v>
      </c>
      <c r="P2688" t="s">
        <v>9499</v>
      </c>
    </row>
    <row r="2689" spans="1:16" ht="14.4" x14ac:dyDescent="0.3">
      <c r="A2689">
        <v>135342</v>
      </c>
      <c r="B2689" t="str">
        <f t="shared" si="82"/>
        <v>SEVROLL 02711 Julia II rączka 2,7m Oliwka</v>
      </c>
      <c r="C2689" s="185">
        <f t="shared" si="83"/>
        <v>74.899050000000003</v>
      </c>
      <c r="D2689" s="407" t="s">
        <v>2855</v>
      </c>
      <c r="E2689" s="407" t="s">
        <v>4483</v>
      </c>
      <c r="F2689" s="407" t="s">
        <v>1236</v>
      </c>
      <c r="G2689" s="407" t="s">
        <v>4484</v>
      </c>
      <c r="H2689" s="460">
        <v>605.77706999999998</v>
      </c>
      <c r="I2689" s="460">
        <v>21.780919999999998</v>
      </c>
      <c r="J2689" s="460">
        <v>74.899050000000003</v>
      </c>
      <c r="K2689" s="460">
        <v>8383.1630999999998</v>
      </c>
      <c r="L2689" s="459" t="s">
        <v>538</v>
      </c>
      <c r="O2689">
        <v>18.853999999999999</v>
      </c>
      <c r="P2689" t="s">
        <v>9150</v>
      </c>
    </row>
    <row r="2690" spans="1:16" ht="14.4" x14ac:dyDescent="0.3">
      <c r="A2690">
        <v>135344</v>
      </c>
      <c r="B2690" t="str">
        <f t="shared" si="82"/>
        <v>SEVROLL 02713 Julia II rączka 2,7m srebrna</v>
      </c>
      <c r="C2690" s="185">
        <f t="shared" si="83"/>
        <v>65.637</v>
      </c>
      <c r="D2690" s="407" t="s">
        <v>2856</v>
      </c>
      <c r="E2690" s="407" t="s">
        <v>4428</v>
      </c>
      <c r="F2690" s="407" t="s">
        <v>1235</v>
      </c>
      <c r="G2690" s="407" t="s">
        <v>4429</v>
      </c>
      <c r="H2690" s="460">
        <v>484.91115000000002</v>
      </c>
      <c r="I2690" s="460">
        <v>17.435140000000001</v>
      </c>
      <c r="J2690" s="460">
        <v>65.637</v>
      </c>
      <c r="K2690" s="460">
        <v>6710.5366999999997</v>
      </c>
      <c r="L2690" s="459" t="s">
        <v>538</v>
      </c>
      <c r="O2690">
        <v>17.181999999999999</v>
      </c>
      <c r="P2690" t="s">
        <v>9134</v>
      </c>
    </row>
    <row r="2691" spans="1:16" ht="14.4" x14ac:dyDescent="0.3">
      <c r="A2691">
        <v>135345</v>
      </c>
      <c r="B2691" t="str">
        <f t="shared" si="82"/>
        <v>SEVROLL Julia II rączka 2,7m złoty</v>
      </c>
      <c r="C2691" s="185" t="e">
        <f t="shared" si="83"/>
        <v>#N/A</v>
      </c>
      <c r="D2691" s="407" t="s">
        <v>2857</v>
      </c>
      <c r="E2691" s="407" t="s">
        <v>4459</v>
      </c>
      <c r="F2691" s="407" t="s">
        <v>1145</v>
      </c>
      <c r="G2691" s="407" t="s">
        <v>4460</v>
      </c>
      <c r="H2691" s="460" t="e">
        <v>#N/A</v>
      </c>
      <c r="I2691" s="460" t="e">
        <v>#N/A</v>
      </c>
      <c r="J2691" s="460" t="e">
        <v>#N/A</v>
      </c>
      <c r="K2691" s="460" t="e">
        <v>#N/A</v>
      </c>
      <c r="L2691" s="459" t="e">
        <v>#N/A</v>
      </c>
      <c r="O2691" t="e">
        <v>#N/A</v>
      </c>
      <c r="P2691" t="e">
        <v>#N/A</v>
      </c>
    </row>
    <row r="2692" spans="1:16" ht="14.4" x14ac:dyDescent="0.3">
      <c r="A2692">
        <v>135365</v>
      </c>
      <c r="B2692" t="str">
        <f t="shared" ref="B2692:B2755" si="84">IF($A$2=1,D2692,IF($A$2=2,F2692,IF($A$2=3,G2692,IF($A$2=4,E2692,IF($A$2&gt;4,P2692,"zadat jazyk")))))</f>
        <v>SEVROLL Romeo II rączka 2,7m jasny brąz</v>
      </c>
      <c r="C2692" s="185">
        <f t="shared" ref="C2692:C2755" si="85">IF($A$2=1,H2692,IF($A$2=2,I2692,IF($A$2=3,J2692,IF($A$2=4,K2692,IF($A$2&gt;4,O2692,"zadat jazyk")))))</f>
        <v>76.688749999999999</v>
      </c>
      <c r="D2692" s="407" t="s">
        <v>2858</v>
      </c>
      <c r="E2692" s="407" t="s">
        <v>4485</v>
      </c>
      <c r="F2692" s="407" t="s">
        <v>1211</v>
      </c>
      <c r="G2692" s="407" t="s">
        <v>4486</v>
      </c>
      <c r="H2692" s="460">
        <v>620.25202999999999</v>
      </c>
      <c r="I2692" s="460">
        <v>22.301369999999999</v>
      </c>
      <c r="J2692" s="460">
        <v>76.688749999999999</v>
      </c>
      <c r="K2692" s="460">
        <v>8583.4776099999999</v>
      </c>
      <c r="L2692" s="459" t="s">
        <v>538</v>
      </c>
      <c r="O2692">
        <v>18.853999999999999</v>
      </c>
      <c r="P2692" t="s">
        <v>9151</v>
      </c>
    </row>
    <row r="2693" spans="1:16" ht="14.4" x14ac:dyDescent="0.3">
      <c r="A2693">
        <v>135366</v>
      </c>
      <c r="B2693" t="str">
        <f t="shared" si="84"/>
        <v>SEVROLL Romeo II rączka 2,7m srebrna</v>
      </c>
      <c r="C2693" s="185">
        <f t="shared" si="85"/>
        <v>65.637</v>
      </c>
      <c r="D2693" s="407" t="s">
        <v>2859</v>
      </c>
      <c r="E2693" s="407" t="s">
        <v>4430</v>
      </c>
      <c r="F2693" s="407" t="s">
        <v>2178</v>
      </c>
      <c r="G2693" s="407" t="s">
        <v>4431</v>
      </c>
      <c r="H2693" s="460">
        <v>484.91115000000002</v>
      </c>
      <c r="I2693" s="460">
        <v>17.435140000000001</v>
      </c>
      <c r="J2693" s="460">
        <v>65.637</v>
      </c>
      <c r="K2693" s="460">
        <v>6710.5366999999997</v>
      </c>
      <c r="L2693" s="459" t="s">
        <v>538</v>
      </c>
      <c r="O2693">
        <v>17.181999999999999</v>
      </c>
      <c r="P2693" t="s">
        <v>9135</v>
      </c>
    </row>
    <row r="2694" spans="1:16" ht="14.4" x14ac:dyDescent="0.3">
      <c r="A2694">
        <v>135367</v>
      </c>
      <c r="B2694" t="str">
        <f t="shared" si="84"/>
        <v>SEVROLL Romeo II rączka 2,7m złoty</v>
      </c>
      <c r="C2694" s="185" t="e">
        <f t="shared" si="85"/>
        <v>#N/A</v>
      </c>
      <c r="D2694" s="407" t="s">
        <v>2860</v>
      </c>
      <c r="E2694" s="407" t="s">
        <v>4461</v>
      </c>
      <c r="F2694" s="407" t="s">
        <v>1104</v>
      </c>
      <c r="G2694" s="407" t="s">
        <v>4462</v>
      </c>
      <c r="H2694" s="460" t="e">
        <v>#N/A</v>
      </c>
      <c r="I2694" s="460" t="e">
        <v>#N/A</v>
      </c>
      <c r="J2694" s="460" t="e">
        <v>#N/A</v>
      </c>
      <c r="K2694" s="460" t="e">
        <v>#N/A</v>
      </c>
      <c r="L2694" s="459" t="e">
        <v>#N/A</v>
      </c>
      <c r="O2694" t="e">
        <v>#N/A</v>
      </c>
      <c r="P2694" t="e">
        <v>#N/A</v>
      </c>
    </row>
    <row r="2695" spans="1:16" ht="14.4" x14ac:dyDescent="0.3">
      <c r="A2695">
        <v>135503</v>
      </c>
      <c r="B2695" t="str">
        <f t="shared" si="84"/>
        <v>SEVROLL Factor 18 II rączka 2,7m jasny brąz</v>
      </c>
      <c r="C2695" s="185">
        <f t="shared" si="85"/>
        <v>43.48977</v>
      </c>
      <c r="D2695" s="407" t="s">
        <v>2861</v>
      </c>
      <c r="E2695" s="407" t="s">
        <v>4095</v>
      </c>
      <c r="F2695" s="407" t="s">
        <v>2861</v>
      </c>
      <c r="G2695" s="407" t="s">
        <v>4096</v>
      </c>
      <c r="H2695" s="460">
        <v>351.74153000000001</v>
      </c>
      <c r="I2695" s="460">
        <v>12.646979999999999</v>
      </c>
      <c r="J2695" s="460">
        <v>43.48977</v>
      </c>
      <c r="K2695" s="460">
        <v>4867.6428800000003</v>
      </c>
      <c r="L2695" s="459" t="s">
        <v>538</v>
      </c>
      <c r="O2695">
        <v>11.651999999999999</v>
      </c>
      <c r="P2695" t="s">
        <v>9029</v>
      </c>
    </row>
    <row r="2696" spans="1:16" ht="14.4" x14ac:dyDescent="0.3">
      <c r="A2696">
        <v>135504</v>
      </c>
      <c r="B2696" t="str">
        <f t="shared" si="84"/>
        <v>SEVROLL Factor 18 II rączka 2,7m złoty</v>
      </c>
      <c r="C2696" s="185" t="e">
        <f t="shared" si="85"/>
        <v>#N/A</v>
      </c>
      <c r="D2696" s="407" t="s">
        <v>2862</v>
      </c>
      <c r="E2696" s="407" t="s">
        <v>4068</v>
      </c>
      <c r="F2696" s="407" t="s">
        <v>1060</v>
      </c>
      <c r="G2696" s="407" t="s">
        <v>4069</v>
      </c>
      <c r="H2696" s="460" t="e">
        <v>#N/A</v>
      </c>
      <c r="I2696" s="460" t="e">
        <v>#N/A</v>
      </c>
      <c r="J2696" s="460" t="e">
        <v>#N/A</v>
      </c>
      <c r="K2696" s="460" t="e">
        <v>#N/A</v>
      </c>
      <c r="L2696" s="459" t="e">
        <v>#N/A</v>
      </c>
      <c r="O2696" t="e">
        <v>#N/A</v>
      </c>
      <c r="P2696" t="e">
        <v>#N/A</v>
      </c>
    </row>
    <row r="2697" spans="1:16" ht="14.4" x14ac:dyDescent="0.3">
      <c r="A2697">
        <v>135505</v>
      </c>
      <c r="B2697" t="str">
        <f t="shared" si="84"/>
        <v>SEVROLL Factor 16 II rączka 2,7m jasny brąz</v>
      </c>
      <c r="C2697" s="185" t="e">
        <f t="shared" si="85"/>
        <v>#N/A</v>
      </c>
      <c r="D2697" s="407" t="s">
        <v>2863</v>
      </c>
      <c r="E2697" s="407" t="s">
        <v>4066</v>
      </c>
      <c r="F2697" s="407" t="s">
        <v>2863</v>
      </c>
      <c r="G2697" s="407" t="s">
        <v>4067</v>
      </c>
      <c r="H2697" s="460" t="e">
        <v>#N/A</v>
      </c>
      <c r="I2697" s="460" t="e">
        <v>#N/A</v>
      </c>
      <c r="J2697" s="460" t="e">
        <v>#N/A</v>
      </c>
      <c r="K2697" s="460" t="e">
        <v>#N/A</v>
      </c>
      <c r="L2697" s="459" t="e">
        <v>#N/A</v>
      </c>
      <c r="O2697">
        <v>11.651999999999999</v>
      </c>
      <c r="P2697" t="s">
        <v>9020</v>
      </c>
    </row>
    <row r="2698" spans="1:16" ht="14.4" x14ac:dyDescent="0.3">
      <c r="A2698">
        <v>135506</v>
      </c>
      <c r="B2698" t="str">
        <f t="shared" si="84"/>
        <v>SEVROLL Factor 16 II rączka 2,7m srebrny</v>
      </c>
      <c r="C2698" s="185" t="e">
        <f t="shared" si="85"/>
        <v>#N/A</v>
      </c>
      <c r="D2698" s="407" t="s">
        <v>2864</v>
      </c>
      <c r="E2698" s="407" t="s">
        <v>3963</v>
      </c>
      <c r="F2698" s="407" t="s">
        <v>3964</v>
      </c>
      <c r="G2698" s="407" t="s">
        <v>3965</v>
      </c>
      <c r="H2698" s="460" t="e">
        <v>#N/A</v>
      </c>
      <c r="I2698" s="460" t="e">
        <v>#N/A</v>
      </c>
      <c r="J2698" s="460" t="e">
        <v>#N/A</v>
      </c>
      <c r="K2698" s="460" t="e">
        <v>#N/A</v>
      </c>
      <c r="L2698" s="459" t="e">
        <v>#N/A</v>
      </c>
      <c r="O2698">
        <v>9.4320000000000004</v>
      </c>
      <c r="P2698" t="s">
        <v>8986</v>
      </c>
    </row>
    <row r="2699" spans="1:16" ht="14.4" x14ac:dyDescent="0.3">
      <c r="A2699">
        <v>135532</v>
      </c>
      <c r="B2699" t="str">
        <f t="shared" si="84"/>
        <v>SEVROLL Victoria II rączka 18mm 2,7m srebrna</v>
      </c>
      <c r="C2699" s="185">
        <f t="shared" si="85"/>
        <v>58.884599999999999</v>
      </c>
      <c r="D2699" s="407" t="s">
        <v>2865</v>
      </c>
      <c r="E2699" s="407" t="s">
        <v>4417</v>
      </c>
      <c r="F2699" s="407" t="s">
        <v>4418</v>
      </c>
      <c r="G2699" s="407" t="s">
        <v>4419</v>
      </c>
      <c r="H2699" s="460">
        <v>458.85620999999998</v>
      </c>
      <c r="I2699" s="460">
        <v>16.498329999999999</v>
      </c>
      <c r="J2699" s="460">
        <v>58.884599999999999</v>
      </c>
      <c r="K2699" s="460">
        <v>6349.9706999999999</v>
      </c>
      <c r="L2699" s="459" t="s">
        <v>538</v>
      </c>
      <c r="O2699">
        <v>15.795999999999999</v>
      </c>
      <c r="P2699" t="s">
        <v>9130</v>
      </c>
    </row>
    <row r="2700" spans="1:16" ht="14.4" x14ac:dyDescent="0.3">
      <c r="A2700">
        <v>135534</v>
      </c>
      <c r="B2700" t="str">
        <f t="shared" si="84"/>
        <v>SEVROLL Victoria II rączka 18mm 2,7m jasny brąz</v>
      </c>
      <c r="C2700" s="185">
        <f t="shared" si="85"/>
        <v>70.961690000000004</v>
      </c>
      <c r="D2700" s="407" t="s">
        <v>2866</v>
      </c>
      <c r="E2700" s="407" t="s">
        <v>4479</v>
      </c>
      <c r="F2700" s="407" t="s">
        <v>2866</v>
      </c>
      <c r="G2700" s="407" t="s">
        <v>4480</v>
      </c>
      <c r="H2700" s="460">
        <v>573.93214</v>
      </c>
      <c r="I2700" s="460">
        <v>20.635919999999999</v>
      </c>
      <c r="J2700" s="460">
        <v>70.961690000000004</v>
      </c>
      <c r="K2700" s="460">
        <v>7942.4709800000001</v>
      </c>
      <c r="L2700" s="459" t="s">
        <v>538</v>
      </c>
      <c r="O2700">
        <v>18.710999999999999</v>
      </c>
      <c r="P2700" t="s">
        <v>9148</v>
      </c>
    </row>
    <row r="2701" spans="1:16" ht="14.4" x14ac:dyDescent="0.3">
      <c r="A2701">
        <v>135538</v>
      </c>
      <c r="B2701" t="str">
        <f t="shared" si="84"/>
        <v>SEVROLL Victoria II rączka 18mm 2,7m złoty</v>
      </c>
      <c r="C2701" s="185" t="e">
        <f t="shared" si="85"/>
        <v>#N/A</v>
      </c>
      <c r="D2701" s="407" t="s">
        <v>2867</v>
      </c>
      <c r="E2701" s="407" t="s">
        <v>4451</v>
      </c>
      <c r="F2701" s="407" t="s">
        <v>1044</v>
      </c>
      <c r="G2701" s="407" t="s">
        <v>4452</v>
      </c>
      <c r="H2701" s="460" t="e">
        <v>#N/A</v>
      </c>
      <c r="I2701" s="460" t="e">
        <v>#N/A</v>
      </c>
      <c r="J2701" s="460" t="e">
        <v>#N/A</v>
      </c>
      <c r="K2701" s="460" t="e">
        <v>#N/A</v>
      </c>
      <c r="L2701" s="459" t="e">
        <v>#N/A</v>
      </c>
      <c r="O2701" t="e">
        <v>#N/A</v>
      </c>
      <c r="P2701" t="e">
        <v>#N/A</v>
      </c>
    </row>
    <row r="2702" spans="1:16" ht="14.4" x14ac:dyDescent="0.3">
      <c r="A2702">
        <v>135552</v>
      </c>
      <c r="B2702" t="str">
        <f t="shared" si="84"/>
        <v>Sevroll 02742 Minicomfort II rączka 2,7m srebrna</v>
      </c>
      <c r="C2702" s="185">
        <f t="shared" si="85"/>
        <v>64.535399999999996</v>
      </c>
      <c r="D2702" s="407" t="s">
        <v>2868</v>
      </c>
      <c r="E2702" s="407" t="s">
        <v>4381</v>
      </c>
      <c r="F2702" s="407" t="s">
        <v>1223</v>
      </c>
      <c r="G2702" s="407" t="s">
        <v>4382</v>
      </c>
      <c r="H2702" s="460">
        <v>460.30372999999997</v>
      </c>
      <c r="I2702" s="460">
        <v>16.550370000000001</v>
      </c>
      <c r="J2702" s="460">
        <v>64.535399999999996</v>
      </c>
      <c r="K2702" s="460">
        <v>6370.0018499999996</v>
      </c>
      <c r="L2702" s="459" t="s">
        <v>538</v>
      </c>
      <c r="O2702">
        <v>16.28</v>
      </c>
      <c r="P2702" t="s">
        <v>9118</v>
      </c>
    </row>
    <row r="2703" spans="1:16" ht="14.4" x14ac:dyDescent="0.3">
      <c r="A2703">
        <v>135553</v>
      </c>
      <c r="B2703" t="str">
        <f t="shared" si="84"/>
        <v>SEVROLL Minicomfort II rączka 2,7m jasny brąz</v>
      </c>
      <c r="C2703" s="185" t="e">
        <f t="shared" si="85"/>
        <v>#N/A</v>
      </c>
      <c r="D2703" s="407" t="s">
        <v>2869</v>
      </c>
      <c r="E2703" s="407" t="s">
        <v>4426</v>
      </c>
      <c r="F2703" s="407" t="s">
        <v>2869</v>
      </c>
      <c r="G2703" s="407" t="s">
        <v>4427</v>
      </c>
      <c r="H2703" s="460" t="e">
        <v>#N/A</v>
      </c>
      <c r="I2703" s="460" t="e">
        <v>#N/A</v>
      </c>
      <c r="J2703" s="460" t="e">
        <v>#N/A</v>
      </c>
      <c r="K2703" s="460" t="e">
        <v>#N/A</v>
      </c>
      <c r="L2703" s="459" t="e">
        <v>#N/A</v>
      </c>
      <c r="O2703">
        <v>17.908000000000001</v>
      </c>
      <c r="P2703" t="s">
        <v>9133</v>
      </c>
    </row>
    <row r="2704" spans="1:16" ht="14.4" x14ac:dyDescent="0.3">
      <c r="A2704">
        <v>135555</v>
      </c>
      <c r="B2704" t="str">
        <f t="shared" si="84"/>
        <v>Sevroll 02723 Comfort 18 II rączka 2,7m srebrna</v>
      </c>
      <c r="C2704" s="185">
        <f t="shared" si="85"/>
        <v>92.779200000000003</v>
      </c>
      <c r="D2704" s="407" t="s">
        <v>2870</v>
      </c>
      <c r="E2704" s="407" t="s">
        <v>4626</v>
      </c>
      <c r="F2704" s="407" t="s">
        <v>1261</v>
      </c>
      <c r="G2704" s="407" t="s">
        <v>4627</v>
      </c>
      <c r="H2704" s="460">
        <v>660.78189999999995</v>
      </c>
      <c r="I2704" s="460">
        <v>23.75863</v>
      </c>
      <c r="J2704" s="460">
        <v>92.779200000000003</v>
      </c>
      <c r="K2704" s="460">
        <v>9144.3581400000003</v>
      </c>
      <c r="L2704" s="459" t="s">
        <v>538</v>
      </c>
      <c r="O2704">
        <v>23.408000000000001</v>
      </c>
      <c r="P2704" t="s">
        <v>9191</v>
      </c>
    </row>
    <row r="2705" spans="1:16" ht="14.4" x14ac:dyDescent="0.3">
      <c r="A2705">
        <v>135556</v>
      </c>
      <c r="B2705" t="str">
        <f t="shared" si="84"/>
        <v>SEVROLL Comfort 18 II rączka 2,7m jasny brąz</v>
      </c>
      <c r="C2705" s="185">
        <f t="shared" si="85"/>
        <v>104.69759999999999</v>
      </c>
      <c r="D2705" s="407" t="s">
        <v>2871</v>
      </c>
      <c r="E2705" s="407" t="s">
        <v>4674</v>
      </c>
      <c r="F2705" s="407" t="s">
        <v>2871</v>
      </c>
      <c r="G2705" s="407" t="s">
        <v>4675</v>
      </c>
      <c r="H2705" s="460">
        <v>846.78513999999996</v>
      </c>
      <c r="I2705" s="460">
        <v>30.446439999999999</v>
      </c>
      <c r="J2705" s="460">
        <v>104.69759999999999</v>
      </c>
      <c r="K2705" s="460">
        <v>11718.3999</v>
      </c>
      <c r="L2705" s="459" t="s">
        <v>539</v>
      </c>
      <c r="O2705">
        <v>25.74</v>
      </c>
      <c r="P2705" t="s">
        <v>9206</v>
      </c>
    </row>
    <row r="2706" spans="1:16" ht="14.4" x14ac:dyDescent="0.3">
      <c r="A2706">
        <v>135684</v>
      </c>
      <c r="B2706" t="str">
        <f t="shared" si="84"/>
        <v>SEVROLL Unicomfort II rączka 2,7m srebrna</v>
      </c>
      <c r="C2706" s="185">
        <f t="shared" si="85"/>
        <v>90.916880000000006</v>
      </c>
      <c r="D2706" s="407" t="s">
        <v>2872</v>
      </c>
      <c r="E2706" s="407" t="s">
        <v>4685</v>
      </c>
      <c r="F2706" s="407" t="s">
        <v>1194</v>
      </c>
      <c r="G2706" s="407" t="s">
        <v>4686</v>
      </c>
      <c r="H2706" s="460">
        <v>735.32795999999996</v>
      </c>
      <c r="I2706" s="460">
        <v>26.438960000000002</v>
      </c>
      <c r="J2706" s="460">
        <v>90.916880000000006</v>
      </c>
      <c r="K2706" s="460">
        <v>10175.97788</v>
      </c>
      <c r="L2706" s="459" t="s">
        <v>538</v>
      </c>
      <c r="O2706">
        <v>23.518000000000001</v>
      </c>
      <c r="P2706" t="s">
        <v>9210</v>
      </c>
    </row>
    <row r="2707" spans="1:16" ht="14.4" x14ac:dyDescent="0.3">
      <c r="A2707">
        <v>135685</v>
      </c>
      <c r="B2707" t="str">
        <f t="shared" si="84"/>
        <v>SEVROLL Unicomfort II rączka 2,7m jasny brąz</v>
      </c>
      <c r="C2707" s="185">
        <f t="shared" si="85"/>
        <v>105.2345</v>
      </c>
      <c r="D2707" s="407" t="s">
        <v>2873</v>
      </c>
      <c r="E2707" s="407" t="s">
        <v>4704</v>
      </c>
      <c r="F2707" s="407" t="s">
        <v>2873</v>
      </c>
      <c r="G2707" s="407" t="s">
        <v>4705</v>
      </c>
      <c r="H2707" s="460">
        <v>851.12764000000004</v>
      </c>
      <c r="I2707" s="460">
        <v>30.60258</v>
      </c>
      <c r="J2707" s="460">
        <v>105.2345</v>
      </c>
      <c r="K2707" s="460">
        <v>11778.494119999999</v>
      </c>
      <c r="L2707" s="459" t="s">
        <v>539</v>
      </c>
      <c r="O2707">
        <v>25.872</v>
      </c>
      <c r="P2707" t="s">
        <v>9218</v>
      </c>
    </row>
    <row r="2708" spans="1:16" ht="14.4" x14ac:dyDescent="0.3">
      <c r="A2708">
        <v>135706</v>
      </c>
      <c r="B2708" t="str">
        <f t="shared" si="84"/>
        <v>SEVROLL Faworyt II rączka 2,7m jasny brąz</v>
      </c>
      <c r="C2708" s="185">
        <f t="shared" si="85"/>
        <v>55.480780000000003</v>
      </c>
      <c r="D2708" s="407" t="s">
        <v>2874</v>
      </c>
      <c r="E2708" s="407" t="s">
        <v>5229</v>
      </c>
      <c r="F2708" s="407" t="s">
        <v>2874</v>
      </c>
      <c r="G2708" s="407" t="s">
        <v>5230</v>
      </c>
      <c r="H2708" s="460">
        <v>448.72375</v>
      </c>
      <c r="I2708" s="460">
        <v>16.13401</v>
      </c>
      <c r="J2708" s="460">
        <v>55.480780000000003</v>
      </c>
      <c r="K2708" s="460">
        <v>6209.7503900000002</v>
      </c>
      <c r="L2708" s="459" t="s">
        <v>538</v>
      </c>
      <c r="O2708">
        <v>13.64</v>
      </c>
      <c r="P2708" t="s">
        <v>9367</v>
      </c>
    </row>
    <row r="2709" spans="1:16" ht="14.4" x14ac:dyDescent="0.3">
      <c r="A2709">
        <v>135709</v>
      </c>
      <c r="B2709" t="str">
        <f t="shared" si="84"/>
        <v>SEVROLL Comfort 16 II rączka 2,7m srebrny</v>
      </c>
      <c r="C2709" s="185" t="e">
        <f t="shared" si="85"/>
        <v>#N/A</v>
      </c>
      <c r="D2709" s="407" t="s">
        <v>2875</v>
      </c>
      <c r="E2709" s="407" t="s">
        <v>4582</v>
      </c>
      <c r="F2709" s="407" t="s">
        <v>4583</v>
      </c>
      <c r="G2709" s="407" t="s">
        <v>4584</v>
      </c>
      <c r="H2709" s="460" t="e">
        <v>#N/A</v>
      </c>
      <c r="I2709" s="460" t="e">
        <v>#N/A</v>
      </c>
      <c r="J2709" s="460" t="e">
        <v>#N/A</v>
      </c>
      <c r="K2709" s="460" t="e">
        <v>#N/A</v>
      </c>
      <c r="L2709" s="459" t="e">
        <v>#N/A</v>
      </c>
      <c r="O2709">
        <v>23.408000000000001</v>
      </c>
      <c r="P2709" t="s">
        <v>9179</v>
      </c>
    </row>
    <row r="2710" spans="1:16" ht="14.4" x14ac:dyDescent="0.3">
      <c r="A2710">
        <v>135710</v>
      </c>
      <c r="B2710" t="str">
        <f t="shared" si="84"/>
        <v>SEVROLL Comfort 16 II rączka 2,7m jasny brąz</v>
      </c>
      <c r="C2710" s="185" t="e">
        <f t="shared" si="85"/>
        <v>#N/A</v>
      </c>
      <c r="D2710" s="407" t="s">
        <v>2876</v>
      </c>
      <c r="E2710" s="407" t="s">
        <v>4672</v>
      </c>
      <c r="F2710" s="407" t="s">
        <v>2876</v>
      </c>
      <c r="G2710" s="407" t="s">
        <v>4673</v>
      </c>
      <c r="H2710" s="460" t="e">
        <v>#N/A</v>
      </c>
      <c r="I2710" s="460" t="e">
        <v>#N/A</v>
      </c>
      <c r="J2710" s="460" t="e">
        <v>#N/A</v>
      </c>
      <c r="K2710" s="460" t="e">
        <v>#N/A</v>
      </c>
      <c r="L2710" s="459" t="e">
        <v>#N/A</v>
      </c>
      <c r="O2710">
        <v>25.74</v>
      </c>
      <c r="P2710" t="s">
        <v>9205</v>
      </c>
    </row>
    <row r="2711" spans="1:16" ht="14.4" x14ac:dyDescent="0.3">
      <c r="A2711">
        <v>143983</v>
      </c>
      <c r="B2711" t="str">
        <f t="shared" si="84"/>
        <v>SEVROLL 02777 Ergo rączka 2,7m srebrna</v>
      </c>
      <c r="C2711" s="185">
        <f t="shared" si="85"/>
        <v>33.579320000000003</v>
      </c>
      <c r="D2711" s="407" t="s">
        <v>2877</v>
      </c>
      <c r="E2711" s="407" t="s">
        <v>3901</v>
      </c>
      <c r="F2711" s="407" t="s">
        <v>3902</v>
      </c>
      <c r="G2711" s="407" t="s">
        <v>3903</v>
      </c>
      <c r="H2711" s="460">
        <v>215.76692</v>
      </c>
      <c r="I2711" s="460">
        <v>7.8588300000000002</v>
      </c>
      <c r="J2711" s="460">
        <v>33.579320000000003</v>
      </c>
      <c r="K2711" s="460">
        <v>2864.4975899999999</v>
      </c>
      <c r="L2711" s="459" t="s">
        <v>538</v>
      </c>
      <c r="O2711">
        <v>6.9960000000000004</v>
      </c>
      <c r="P2711" t="s">
        <v>8968</v>
      </c>
    </row>
    <row r="2712" spans="1:16" ht="14.4" x14ac:dyDescent="0.3">
      <c r="A2712">
        <v>143984</v>
      </c>
      <c r="B2712" t="str">
        <f t="shared" si="84"/>
        <v>SEVROLL 02776 Ergo rączka 2,7m jasny brąz</v>
      </c>
      <c r="C2712" s="185">
        <f t="shared" si="85"/>
        <v>41.357080000000003</v>
      </c>
      <c r="D2712" s="407" t="s">
        <v>2878</v>
      </c>
      <c r="E2712" s="407" t="s">
        <v>3990</v>
      </c>
      <c r="F2712" s="407" t="s">
        <v>3991</v>
      </c>
      <c r="G2712" s="407" t="s">
        <v>3992</v>
      </c>
      <c r="H2712" s="460">
        <v>287.92738000000003</v>
      </c>
      <c r="I2712" s="460">
        <v>10.487109999999999</v>
      </c>
      <c r="J2712" s="460">
        <v>41.357080000000003</v>
      </c>
      <c r="K2712" s="460">
        <v>3585.62997</v>
      </c>
      <c r="L2712" s="459" t="s">
        <v>538</v>
      </c>
      <c r="O2712">
        <v>8.8659999999999997</v>
      </c>
      <c r="P2712" t="s">
        <v>8995</v>
      </c>
    </row>
    <row r="2713" spans="1:16" ht="14.4" x14ac:dyDescent="0.3">
      <c r="A2713">
        <v>154168</v>
      </c>
      <c r="B2713" t="str">
        <f t="shared" si="84"/>
        <v>SEVROLL 02290 profil "U" do płyty laminowanej 36mm srebrny 3m</v>
      </c>
      <c r="C2713" s="185">
        <f t="shared" si="85"/>
        <v>47.144399999999997</v>
      </c>
      <c r="D2713" s="407" t="s">
        <v>2879</v>
      </c>
      <c r="E2713" s="407" t="s">
        <v>4325</v>
      </c>
      <c r="F2713" s="407" t="s">
        <v>4326</v>
      </c>
      <c r="G2713" s="407" t="s">
        <v>4327</v>
      </c>
      <c r="H2713" s="460">
        <v>375.62520000000001</v>
      </c>
      <c r="I2713" s="460">
        <v>13.50573</v>
      </c>
      <c r="J2713" s="460">
        <v>47.144399999999997</v>
      </c>
      <c r="K2713" s="460">
        <v>5198.1621699999996</v>
      </c>
      <c r="L2713" s="459" t="s">
        <v>538</v>
      </c>
      <c r="O2713">
        <v>12.65</v>
      </c>
      <c r="P2713" t="s">
        <v>9102</v>
      </c>
    </row>
    <row r="2714" spans="1:16" ht="14.4" x14ac:dyDescent="0.3">
      <c r="A2714">
        <v>157362</v>
      </c>
      <c r="B2714" t="str">
        <f t="shared" si="84"/>
        <v>ASTIN tor górny 3,6m czarny szczotkowany</v>
      </c>
      <c r="C2714" s="185" t="e">
        <f t="shared" si="85"/>
        <v>#N/A</v>
      </c>
      <c r="D2714" s="407" t="s">
        <v>1066</v>
      </c>
      <c r="E2714" s="407" t="s">
        <v>5051</v>
      </c>
      <c r="F2714" s="407" t="s">
        <v>1067</v>
      </c>
      <c r="G2714" s="407" t="s">
        <v>5052</v>
      </c>
      <c r="H2714" s="460" t="e">
        <v>#N/A</v>
      </c>
      <c r="I2714" s="460" t="e">
        <v>#N/A</v>
      </c>
      <c r="J2714" s="460" t="e">
        <v>#N/A</v>
      </c>
      <c r="K2714" s="460" t="e">
        <v>#N/A</v>
      </c>
      <c r="L2714" s="459" t="e">
        <v>#N/A</v>
      </c>
      <c r="O2714" t="e">
        <v>#N/A</v>
      </c>
      <c r="P2714" t="e">
        <v>#N/A</v>
      </c>
    </row>
    <row r="2715" spans="1:16" ht="14.4" x14ac:dyDescent="0.3">
      <c r="A2715">
        <v>158010</v>
      </c>
      <c r="B2715" t="str">
        <f t="shared" si="84"/>
        <v>SEVROLL Herkules plus tor górny 1,2m</v>
      </c>
      <c r="C2715" s="185" t="e">
        <f t="shared" si="85"/>
        <v>#N/A</v>
      </c>
      <c r="D2715" s="407" t="s">
        <v>1477</v>
      </c>
      <c r="E2715" s="407" t="s">
        <v>1907</v>
      </c>
      <c r="F2715" s="407" t="s">
        <v>5979</v>
      </c>
      <c r="G2715" s="407" t="s">
        <v>2434</v>
      </c>
      <c r="H2715" s="460" t="e">
        <v>#N/A</v>
      </c>
      <c r="I2715" s="460" t="e">
        <v>#N/A</v>
      </c>
      <c r="J2715" s="460" t="e">
        <v>#N/A</v>
      </c>
      <c r="K2715" s="460" t="e">
        <v>#N/A</v>
      </c>
      <c r="L2715" s="459" t="e">
        <v>#N/A</v>
      </c>
      <c r="O2715" t="e">
        <v>#N/A</v>
      </c>
      <c r="P2715" t="e">
        <v>#N/A</v>
      </c>
    </row>
    <row r="2716" spans="1:16" ht="14.4" x14ac:dyDescent="0.3">
      <c r="A2716">
        <v>158012</v>
      </c>
      <c r="B2716" t="str">
        <f t="shared" si="84"/>
        <v>SEVROLL wózek HP40 Herkules plus</v>
      </c>
      <c r="C2716" s="185" t="e">
        <f t="shared" si="85"/>
        <v>#N/A</v>
      </c>
      <c r="D2716" s="407" t="s">
        <v>1478</v>
      </c>
      <c r="E2716" s="407" t="s">
        <v>1908</v>
      </c>
      <c r="F2716" s="407" t="s">
        <v>1478</v>
      </c>
      <c r="G2716" s="407" t="s">
        <v>2435</v>
      </c>
      <c r="H2716" s="460" t="e">
        <v>#N/A</v>
      </c>
      <c r="I2716" s="460" t="e">
        <v>#N/A</v>
      </c>
      <c r="J2716" s="460" t="e">
        <v>#N/A</v>
      </c>
      <c r="K2716" s="460" t="e">
        <v>#N/A</v>
      </c>
      <c r="L2716" s="459" t="e">
        <v>#N/A</v>
      </c>
      <c r="O2716" t="e">
        <v>#N/A</v>
      </c>
      <c r="P2716" t="e">
        <v>#N/A</v>
      </c>
    </row>
    <row r="2717" spans="1:16" ht="14.4" x14ac:dyDescent="0.3">
      <c r="A2717">
        <v>158014</v>
      </c>
      <c r="B2717" t="str">
        <f t="shared" si="84"/>
        <v>SEVROLL zawias 25kg</v>
      </c>
      <c r="C2717" s="185">
        <f t="shared" si="85"/>
        <v>9.2333099999999995</v>
      </c>
      <c r="D2717" s="407" t="s">
        <v>1479</v>
      </c>
      <c r="E2717" s="407" t="s">
        <v>1909</v>
      </c>
      <c r="F2717" s="407" t="s">
        <v>5980</v>
      </c>
      <c r="G2717" s="407" t="s">
        <v>2436</v>
      </c>
      <c r="H2717" s="460">
        <v>71.749970000000005</v>
      </c>
      <c r="I2717" s="460">
        <v>2.70635</v>
      </c>
      <c r="J2717" s="460">
        <v>9.2333099999999995</v>
      </c>
      <c r="K2717" s="460">
        <v>1021.2114800000001</v>
      </c>
      <c r="L2717" s="459" t="s">
        <v>539</v>
      </c>
      <c r="O2717">
        <v>2.2879999999999998</v>
      </c>
      <c r="P2717" t="s">
        <v>10020</v>
      </c>
    </row>
    <row r="2718" spans="1:16" ht="14.4" x14ac:dyDescent="0.3">
      <c r="A2718">
        <v>159409</v>
      </c>
      <c r="B2718" t="str">
        <f t="shared" si="84"/>
        <v>SEVROLL Gemini II tor dolny 6m srebrny</v>
      </c>
      <c r="C2718" s="185">
        <f t="shared" si="85"/>
        <v>0</v>
      </c>
      <c r="D2718" s="407" t="s">
        <v>2880</v>
      </c>
      <c r="E2718" s="407" t="s">
        <v>4769</v>
      </c>
      <c r="F2718" s="407" t="s">
        <v>4770</v>
      </c>
      <c r="G2718" s="407" t="s">
        <v>4771</v>
      </c>
      <c r="H2718" s="460">
        <v>795.39903000000004</v>
      </c>
      <c r="I2718" s="460">
        <v>28.596229999999998</v>
      </c>
      <c r="J2718" s="460">
        <v>0</v>
      </c>
      <c r="K2718" s="460">
        <v>11007.28349</v>
      </c>
      <c r="L2718" s="459" t="s">
        <v>538</v>
      </c>
      <c r="O2718">
        <v>28.27</v>
      </c>
      <c r="P2718" t="s">
        <v>9237</v>
      </c>
    </row>
    <row r="2719" spans="1:16" ht="14.4" x14ac:dyDescent="0.3">
      <c r="A2719">
        <v>162316</v>
      </c>
      <c r="B2719" t="str">
        <f t="shared" si="84"/>
        <v>SEVROLL First tor górny / dolny 1,8m jasny brąz</v>
      </c>
      <c r="C2719" s="185">
        <f t="shared" si="85"/>
        <v>32.609400000000001</v>
      </c>
      <c r="D2719" s="407" t="s">
        <v>2881</v>
      </c>
      <c r="E2719" s="407" t="s">
        <v>3849</v>
      </c>
      <c r="F2719" s="407" t="s">
        <v>3850</v>
      </c>
      <c r="G2719" s="407" t="s">
        <v>3851</v>
      </c>
      <c r="H2719" s="460">
        <v>243.90307999999999</v>
      </c>
      <c r="I2719" s="460">
        <v>8.7592099999999995</v>
      </c>
      <c r="J2719" s="460">
        <v>32.609400000000001</v>
      </c>
      <c r="K2719" s="460">
        <v>3375.29988</v>
      </c>
      <c r="L2719" s="459" t="s">
        <v>539</v>
      </c>
      <c r="O2719">
        <v>7.4359999999999999</v>
      </c>
      <c r="P2719" t="s">
        <v>8950</v>
      </c>
    </row>
    <row r="2720" spans="1:16" ht="14.4" x14ac:dyDescent="0.3">
      <c r="A2720">
        <v>162670</v>
      </c>
      <c r="B2720" t="str">
        <f t="shared" si="84"/>
        <v>SEVROLL 02867 Doubler II maskownica 4,05m srebrna</v>
      </c>
      <c r="C2720" s="185">
        <f t="shared" si="85"/>
        <v>38.943600000000004</v>
      </c>
      <c r="D2720" s="407" t="s">
        <v>2882</v>
      </c>
      <c r="E2720" s="407" t="s">
        <v>4131</v>
      </c>
      <c r="F2720" s="407" t="s">
        <v>4132</v>
      </c>
      <c r="G2720" s="407" t="s">
        <v>4133</v>
      </c>
      <c r="H2720" s="460">
        <v>309.76414</v>
      </c>
      <c r="I2720" s="460">
        <v>11.13767</v>
      </c>
      <c r="J2720" s="460">
        <v>38.943600000000004</v>
      </c>
      <c r="K2720" s="460">
        <v>4286.7308199999998</v>
      </c>
      <c r="L2720" s="459" t="s">
        <v>538</v>
      </c>
      <c r="O2720">
        <v>10.45</v>
      </c>
      <c r="P2720" t="s">
        <v>9041</v>
      </c>
    </row>
    <row r="2721" spans="1:16" ht="14.4" x14ac:dyDescent="0.3">
      <c r="A2721">
        <v>163106</v>
      </c>
      <c r="B2721" t="str">
        <f t="shared" si="84"/>
        <v>SEVROLL Doubler II tor dolny 1,7m srebrna</v>
      </c>
      <c r="C2721" s="185">
        <f t="shared" si="85"/>
        <v>53.335799999999999</v>
      </c>
      <c r="D2721" s="407" t="s">
        <v>2883</v>
      </c>
      <c r="E2721" s="407" t="s">
        <v>4322</v>
      </c>
      <c r="F2721" s="407" t="s">
        <v>4323</v>
      </c>
      <c r="G2721" s="407" t="s">
        <v>4324</v>
      </c>
      <c r="H2721" s="460">
        <v>402.40388999999999</v>
      </c>
      <c r="I2721" s="460">
        <v>14.46857</v>
      </c>
      <c r="J2721" s="460">
        <v>53.335799999999999</v>
      </c>
      <c r="K2721" s="460">
        <v>5568.7437300000001</v>
      </c>
      <c r="L2721" s="459" t="s">
        <v>539</v>
      </c>
      <c r="O2721">
        <v>14.321999999999999</v>
      </c>
      <c r="P2721" t="s">
        <v>9101</v>
      </c>
    </row>
    <row r="2722" spans="1:16" ht="14.4" x14ac:dyDescent="0.3">
      <c r="A2722">
        <v>163107</v>
      </c>
      <c r="B2722" t="str">
        <f t="shared" si="84"/>
        <v>SEVROLL 02850 Doubler II tor dolny 2,35m srebrny</v>
      </c>
      <c r="C2722" s="185">
        <f t="shared" si="85"/>
        <v>73.745999999999995</v>
      </c>
      <c r="D2722" s="407" t="s">
        <v>2884</v>
      </c>
      <c r="E2722" s="407" t="s">
        <v>4514</v>
      </c>
      <c r="F2722" s="407" t="s">
        <v>1256</v>
      </c>
      <c r="G2722" s="407" t="s">
        <v>4515</v>
      </c>
      <c r="H2722" s="460">
        <v>557.28593999999998</v>
      </c>
      <c r="I2722" s="460">
        <v>20.037400000000002</v>
      </c>
      <c r="J2722" s="460">
        <v>73.745999999999995</v>
      </c>
      <c r="K2722" s="460">
        <v>7712.1093300000002</v>
      </c>
      <c r="L2722" s="459" t="s">
        <v>538</v>
      </c>
      <c r="O2722">
        <v>19.8</v>
      </c>
      <c r="P2722" t="s">
        <v>9159</v>
      </c>
    </row>
    <row r="2723" spans="1:16" ht="14.4" x14ac:dyDescent="0.3">
      <c r="A2723">
        <v>163108</v>
      </c>
      <c r="B2723" t="str">
        <f t="shared" si="84"/>
        <v>SEVROLL 02851 Doubler II tor dolny 3m srebrny</v>
      </c>
      <c r="C2723" s="185">
        <f t="shared" si="85"/>
        <v>94.115399999999994</v>
      </c>
      <c r="D2723" s="407" t="s">
        <v>2885</v>
      </c>
      <c r="E2723" s="407" t="s">
        <v>4696</v>
      </c>
      <c r="F2723" s="407" t="s">
        <v>1255</v>
      </c>
      <c r="G2723" s="407" t="s">
        <v>4697</v>
      </c>
      <c r="H2723" s="460">
        <v>711.44425999999999</v>
      </c>
      <c r="I2723" s="460">
        <v>25.580220000000001</v>
      </c>
      <c r="J2723" s="460">
        <v>94.115399999999994</v>
      </c>
      <c r="K2723" s="460">
        <v>9845.4589899999992</v>
      </c>
      <c r="L2723" s="459" t="s">
        <v>538</v>
      </c>
      <c r="O2723">
        <v>25.277999999999999</v>
      </c>
      <c r="P2723" t="s">
        <v>9214</v>
      </c>
    </row>
    <row r="2724" spans="1:16" ht="14.4" x14ac:dyDescent="0.3">
      <c r="A2724">
        <v>163110</v>
      </c>
      <c r="B2724" t="str">
        <f t="shared" si="84"/>
        <v>SEVROLL Doubler II tor dolny 6m srebrna</v>
      </c>
      <c r="C2724" s="185">
        <f t="shared" si="85"/>
        <v>0</v>
      </c>
      <c r="D2724" s="407" t="s">
        <v>2886</v>
      </c>
      <c r="E2724" s="407" t="s">
        <v>4971</v>
      </c>
      <c r="F2724" s="407" t="s">
        <v>4972</v>
      </c>
      <c r="G2724" s="407" t="s">
        <v>4973</v>
      </c>
      <c r="H2724" s="460">
        <v>1421.44102</v>
      </c>
      <c r="I2724" s="460">
        <v>51.10839</v>
      </c>
      <c r="J2724" s="460">
        <v>0</v>
      </c>
      <c r="K2724" s="460">
        <v>19670.886839999999</v>
      </c>
      <c r="L2724" s="459" t="s">
        <v>539</v>
      </c>
      <c r="O2724">
        <v>50.533999999999999</v>
      </c>
      <c r="P2724" t="s">
        <v>9292</v>
      </c>
    </row>
    <row r="2725" spans="1:16" ht="14.4" x14ac:dyDescent="0.3">
      <c r="A2725">
        <v>163111</v>
      </c>
      <c r="B2725" t="str">
        <f t="shared" si="84"/>
        <v>SEVROLL Doubler II tor dolny 1,7m jasny brąz</v>
      </c>
      <c r="C2725" s="185">
        <f t="shared" si="85"/>
        <v>62.192169999999997</v>
      </c>
      <c r="D2725" s="407" t="s">
        <v>2887</v>
      </c>
      <c r="E2725" s="407" t="s">
        <v>4343</v>
      </c>
      <c r="F2725" s="407" t="s">
        <v>4344</v>
      </c>
      <c r="G2725" s="407" t="s">
        <v>4345</v>
      </c>
      <c r="H2725" s="460">
        <v>503.00486000000001</v>
      </c>
      <c r="I2725" s="460">
        <v>18.085709999999999</v>
      </c>
      <c r="J2725" s="460">
        <v>62.192169999999997</v>
      </c>
      <c r="K2725" s="460">
        <v>6960.9298699999999</v>
      </c>
      <c r="L2725" s="459" t="s">
        <v>539</v>
      </c>
      <c r="O2725">
        <v>15.752000000000001</v>
      </c>
      <c r="P2725" t="s">
        <v>9106</v>
      </c>
    </row>
    <row r="2726" spans="1:16" ht="14.4" x14ac:dyDescent="0.3">
      <c r="A2726">
        <v>163112</v>
      </c>
      <c r="B2726" t="str">
        <f t="shared" si="84"/>
        <v>SEVROLL Doubler II tor dolny 2,35m jasny brąz</v>
      </c>
      <c r="C2726" s="185">
        <f t="shared" si="85"/>
        <v>86.174180000000007</v>
      </c>
      <c r="D2726" s="407" t="s">
        <v>2888</v>
      </c>
      <c r="E2726" s="407" t="s">
        <v>4557</v>
      </c>
      <c r="F2726" s="407" t="s">
        <v>4558</v>
      </c>
      <c r="G2726" s="407" t="s">
        <v>4559</v>
      </c>
      <c r="H2726" s="460">
        <v>696.96929999999998</v>
      </c>
      <c r="I2726" s="460">
        <v>25.059760000000001</v>
      </c>
      <c r="J2726" s="460">
        <v>86.174180000000007</v>
      </c>
      <c r="K2726" s="460">
        <v>9645.1444499999998</v>
      </c>
      <c r="L2726" s="459" t="s">
        <v>539</v>
      </c>
      <c r="O2726">
        <v>21.78</v>
      </c>
      <c r="P2726" t="s">
        <v>9173</v>
      </c>
    </row>
    <row r="2727" spans="1:16" ht="14.4" x14ac:dyDescent="0.3">
      <c r="A2727">
        <v>163113</v>
      </c>
      <c r="B2727" t="str">
        <f t="shared" si="84"/>
        <v>SEVROLL Doubler II tor dolny 3m jasny brąz</v>
      </c>
      <c r="C2727" s="185">
        <f t="shared" si="85"/>
        <v>109.97721</v>
      </c>
      <c r="D2727" s="407" t="s">
        <v>2889</v>
      </c>
      <c r="E2727" s="407" t="s">
        <v>4714</v>
      </c>
      <c r="F2727" s="407" t="s">
        <v>4715</v>
      </c>
      <c r="G2727" s="407" t="s">
        <v>4716</v>
      </c>
      <c r="H2727" s="460">
        <v>889.48626999999999</v>
      </c>
      <c r="I2727" s="460">
        <v>31.981780000000001</v>
      </c>
      <c r="J2727" s="460">
        <v>109.97721</v>
      </c>
      <c r="K2727" s="460">
        <v>12309.32792</v>
      </c>
      <c r="L2727" s="459" t="s">
        <v>539</v>
      </c>
      <c r="O2727">
        <v>27.786000000000001</v>
      </c>
      <c r="P2727" t="s">
        <v>9222</v>
      </c>
    </row>
    <row r="2728" spans="1:16" ht="14.4" x14ac:dyDescent="0.3">
      <c r="A2728">
        <v>163114</v>
      </c>
      <c r="B2728" t="str">
        <f t="shared" si="84"/>
        <v>SEVROLL Doubler II tor dolny 4,05m jasny brąz</v>
      </c>
      <c r="C2728" s="185">
        <f t="shared" si="85"/>
        <v>148.36633</v>
      </c>
      <c r="D2728" s="407" t="s">
        <v>2890</v>
      </c>
      <c r="E2728" s="407" t="s">
        <v>4874</v>
      </c>
      <c r="F2728" s="407" t="s">
        <v>4875</v>
      </c>
      <c r="G2728" s="407" t="s">
        <v>4876</v>
      </c>
      <c r="H2728" s="460">
        <v>1199.97416</v>
      </c>
      <c r="I2728" s="460">
        <v>43.145470000000003</v>
      </c>
      <c r="J2728" s="460">
        <v>148.36633</v>
      </c>
      <c r="K2728" s="460">
        <v>16606.074329999999</v>
      </c>
      <c r="L2728" s="459" t="s">
        <v>539</v>
      </c>
      <c r="O2728">
        <v>37.51</v>
      </c>
      <c r="P2728" t="s">
        <v>9267</v>
      </c>
    </row>
    <row r="2729" spans="1:16" ht="14.4" x14ac:dyDescent="0.3">
      <c r="A2729">
        <v>163115</v>
      </c>
      <c r="B2729" t="str">
        <f t="shared" si="84"/>
        <v>SEVROLL Doubler II tor dolny 6m jasny brąz</v>
      </c>
      <c r="C2729" s="185">
        <f t="shared" si="85"/>
        <v>0</v>
      </c>
      <c r="D2729" s="407" t="s">
        <v>2891</v>
      </c>
      <c r="E2729" s="407" t="s">
        <v>4995</v>
      </c>
      <c r="F2729" s="407" t="s">
        <v>4996</v>
      </c>
      <c r="G2729" s="407" t="s">
        <v>4997</v>
      </c>
      <c r="H2729" s="460">
        <v>1776.8013000000001</v>
      </c>
      <c r="I2729" s="460">
        <v>63.885480000000001</v>
      </c>
      <c r="J2729" s="460">
        <v>0</v>
      </c>
      <c r="K2729" s="460">
        <v>24588.608349999999</v>
      </c>
      <c r="L2729" s="459" t="s">
        <v>539</v>
      </c>
      <c r="O2729">
        <v>55.594000000000001</v>
      </c>
      <c r="P2729" t="s">
        <v>9297</v>
      </c>
    </row>
    <row r="2730" spans="1:16" ht="14.4" x14ac:dyDescent="0.3">
      <c r="A2730">
        <v>163120</v>
      </c>
      <c r="B2730" t="str">
        <f t="shared" si="84"/>
        <v>SEVROLL Doubler II tor dolny 4,05m złoty</v>
      </c>
      <c r="C2730" s="185" t="e">
        <f t="shared" si="85"/>
        <v>#N/A</v>
      </c>
      <c r="D2730" s="407" t="s">
        <v>2892</v>
      </c>
      <c r="E2730" s="407" t="s">
        <v>4877</v>
      </c>
      <c r="F2730" s="407" t="s">
        <v>1179</v>
      </c>
      <c r="G2730" s="407" t="s">
        <v>4878</v>
      </c>
      <c r="H2730" s="460" t="e">
        <v>#N/A</v>
      </c>
      <c r="I2730" s="460" t="e">
        <v>#N/A</v>
      </c>
      <c r="J2730" s="460" t="e">
        <v>#N/A</v>
      </c>
      <c r="K2730" s="460" t="e">
        <v>#N/A</v>
      </c>
      <c r="L2730" s="459" t="e">
        <v>#N/A</v>
      </c>
      <c r="O2730" t="e">
        <v>#N/A</v>
      </c>
      <c r="P2730" t="e">
        <v>#N/A</v>
      </c>
    </row>
    <row r="2731" spans="1:16" ht="14.4" x14ac:dyDescent="0.3">
      <c r="A2731">
        <v>163122</v>
      </c>
      <c r="B2731" t="str">
        <f t="shared" si="84"/>
        <v>SEVROLL Doubler II maskownica 1,7m srebrna</v>
      </c>
      <c r="C2731" s="185">
        <f t="shared" si="85"/>
        <v>16.360800000000001</v>
      </c>
      <c r="D2731" s="407" t="s">
        <v>2893</v>
      </c>
      <c r="E2731" s="407" t="s">
        <v>3718</v>
      </c>
      <c r="F2731" s="407" t="s">
        <v>3719</v>
      </c>
      <c r="G2731" s="407" t="s">
        <v>3720</v>
      </c>
      <c r="H2731" s="460">
        <v>130.99838</v>
      </c>
      <c r="I2731" s="460">
        <v>4.7100900000000001</v>
      </c>
      <c r="J2731" s="460">
        <v>16.360800000000001</v>
      </c>
      <c r="K2731" s="460">
        <v>1812.8463300000001</v>
      </c>
      <c r="L2731" s="459" t="s">
        <v>539</v>
      </c>
      <c r="O2731">
        <v>4.4000000000000004</v>
      </c>
      <c r="P2731" t="s">
        <v>8904</v>
      </c>
    </row>
    <row r="2732" spans="1:16" ht="14.4" x14ac:dyDescent="0.3">
      <c r="A2732">
        <v>163123</v>
      </c>
      <c r="B2732" t="str">
        <f t="shared" si="84"/>
        <v>SEVROLL 02865 Doubler II maskownica 2,35m srebrna</v>
      </c>
      <c r="C2732" s="185">
        <f t="shared" si="85"/>
        <v>22.593</v>
      </c>
      <c r="D2732" s="407" t="s">
        <v>2894</v>
      </c>
      <c r="E2732" s="407" t="s">
        <v>3842</v>
      </c>
      <c r="F2732" s="407" t="s">
        <v>1257</v>
      </c>
      <c r="G2732" s="407" t="s">
        <v>3843</v>
      </c>
      <c r="H2732" s="460">
        <v>180.21324999999999</v>
      </c>
      <c r="I2732" s="460">
        <v>6.4796300000000002</v>
      </c>
      <c r="J2732" s="460">
        <v>22.593</v>
      </c>
      <c r="K2732" s="460">
        <v>2493.9160400000001</v>
      </c>
      <c r="L2732" s="459" t="s">
        <v>538</v>
      </c>
      <c r="O2732">
        <v>6.0720000000000001</v>
      </c>
      <c r="P2732" t="s">
        <v>8947</v>
      </c>
    </row>
    <row r="2733" spans="1:16" ht="14.4" x14ac:dyDescent="0.3">
      <c r="A2733">
        <v>163125</v>
      </c>
      <c r="B2733" t="str">
        <f t="shared" si="84"/>
        <v>SEVROLL Doubler II maskownica 3m srebrny</v>
      </c>
      <c r="C2733" s="185">
        <f t="shared" si="85"/>
        <v>28.845600000000001</v>
      </c>
      <c r="D2733" s="407" t="s">
        <v>2895</v>
      </c>
      <c r="E2733" s="407" t="s">
        <v>3999</v>
      </c>
      <c r="F2733" s="407" t="s">
        <v>4000</v>
      </c>
      <c r="G2733" s="407" t="s">
        <v>4001</v>
      </c>
      <c r="H2733" s="460">
        <v>229.42812000000001</v>
      </c>
      <c r="I2733" s="460">
        <v>8.2491599999999998</v>
      </c>
      <c r="J2733" s="460">
        <v>28.845600000000001</v>
      </c>
      <c r="K2733" s="460">
        <v>3174.9853699999999</v>
      </c>
      <c r="L2733" s="459" t="s">
        <v>538</v>
      </c>
      <c r="O2733">
        <v>7.7439999999999998</v>
      </c>
      <c r="P2733" t="s">
        <v>8998</v>
      </c>
    </row>
    <row r="2734" spans="1:16" ht="14.4" x14ac:dyDescent="0.3">
      <c r="A2734">
        <v>163128</v>
      </c>
      <c r="B2734" t="str">
        <f t="shared" si="84"/>
        <v>SEVROLL Doubler II maskownica 6m srebrna</v>
      </c>
      <c r="C2734" s="185">
        <f t="shared" si="85"/>
        <v>0</v>
      </c>
      <c r="D2734" s="407" t="s">
        <v>2896</v>
      </c>
      <c r="E2734" s="407" t="s">
        <v>4414</v>
      </c>
      <c r="F2734" s="407" t="s">
        <v>4415</v>
      </c>
      <c r="G2734" s="407" t="s">
        <v>4416</v>
      </c>
      <c r="H2734" s="460">
        <v>460.30372999999997</v>
      </c>
      <c r="I2734" s="460">
        <v>16.550370000000001</v>
      </c>
      <c r="J2734" s="460">
        <v>0</v>
      </c>
      <c r="K2734" s="460">
        <v>6370.0018499999996</v>
      </c>
      <c r="L2734" s="459" t="s">
        <v>539</v>
      </c>
      <c r="O2734">
        <v>15.488</v>
      </c>
      <c r="P2734" t="s">
        <v>9129</v>
      </c>
    </row>
    <row r="2735" spans="1:16" ht="14.4" x14ac:dyDescent="0.3">
      <c r="A2735">
        <v>163129</v>
      </c>
      <c r="B2735" t="str">
        <f t="shared" si="84"/>
        <v>SEVROLL Doubler II maskownica 1,7m jasny brąz</v>
      </c>
      <c r="C2735" s="185">
        <f t="shared" si="85"/>
        <v>19.597249999999999</v>
      </c>
      <c r="D2735" s="407" t="s">
        <v>2897</v>
      </c>
      <c r="E2735" s="407" t="s">
        <v>3740</v>
      </c>
      <c r="F2735" s="407" t="s">
        <v>2897</v>
      </c>
      <c r="G2735" s="407" t="s">
        <v>3741</v>
      </c>
      <c r="H2735" s="460">
        <v>158.50081</v>
      </c>
      <c r="I2735" s="460">
        <v>5.69895</v>
      </c>
      <c r="J2735" s="460">
        <v>19.597249999999999</v>
      </c>
      <c r="K2735" s="460">
        <v>2193.4442399999998</v>
      </c>
      <c r="L2735" s="459" t="s">
        <v>539</v>
      </c>
      <c r="O2735">
        <v>4.8179999999999996</v>
      </c>
      <c r="P2735" t="s">
        <v>8911</v>
      </c>
    </row>
    <row r="2736" spans="1:16" ht="14.4" x14ac:dyDescent="0.3">
      <c r="A2736">
        <v>163131</v>
      </c>
      <c r="B2736" t="str">
        <f t="shared" si="84"/>
        <v>SEVROLL Doubler II maskownica 2,35m jasny brąz</v>
      </c>
      <c r="C2736" s="185">
        <f t="shared" si="85"/>
        <v>27.113990000000001</v>
      </c>
      <c r="D2736" s="407" t="s">
        <v>2898</v>
      </c>
      <c r="E2736" s="407" t="s">
        <v>3861</v>
      </c>
      <c r="F2736" s="407" t="s">
        <v>2898</v>
      </c>
      <c r="G2736" s="407" t="s">
        <v>3862</v>
      </c>
      <c r="H2736" s="460">
        <v>219.29562999999999</v>
      </c>
      <c r="I2736" s="460">
        <v>7.8848500000000001</v>
      </c>
      <c r="J2736" s="460">
        <v>27.113990000000001</v>
      </c>
      <c r="K2736" s="460">
        <v>3034.7650199999998</v>
      </c>
      <c r="L2736" s="459" t="s">
        <v>539</v>
      </c>
      <c r="O2736">
        <v>6.6660000000000004</v>
      </c>
      <c r="P2736" t="s">
        <v>8954</v>
      </c>
    </row>
    <row r="2737" spans="1:16" ht="14.4" x14ac:dyDescent="0.3">
      <c r="A2737">
        <v>163132</v>
      </c>
      <c r="B2737" t="str">
        <f t="shared" si="84"/>
        <v>SEVROLL Doubler II maskownica 3m jasny brąz</v>
      </c>
      <c r="C2737" s="185">
        <f t="shared" si="85"/>
        <v>34.630749999999999</v>
      </c>
      <c r="D2737" s="407" t="s">
        <v>2899</v>
      </c>
      <c r="E2737" s="407" t="s">
        <v>4023</v>
      </c>
      <c r="F2737" s="407" t="s">
        <v>2899</v>
      </c>
      <c r="G2737" s="407" t="s">
        <v>4024</v>
      </c>
      <c r="H2737" s="460">
        <v>280.09048000000001</v>
      </c>
      <c r="I2737" s="460">
        <v>10.07075</v>
      </c>
      <c r="J2737" s="460">
        <v>34.630749999999999</v>
      </c>
      <c r="K2737" s="460">
        <v>3876.0862200000001</v>
      </c>
      <c r="L2737" s="459" t="s">
        <v>539</v>
      </c>
      <c r="O2737">
        <v>8.5139999999999993</v>
      </c>
      <c r="P2737" t="s">
        <v>9007</v>
      </c>
    </row>
    <row r="2738" spans="1:16" ht="14.4" x14ac:dyDescent="0.3">
      <c r="A2738">
        <v>163133</v>
      </c>
      <c r="B2738" t="str">
        <f t="shared" si="84"/>
        <v>SEVROLL Doubler II maskownica 4,05m jasny brąz</v>
      </c>
      <c r="C2738" s="185">
        <f t="shared" si="85"/>
        <v>46.800719999999998</v>
      </c>
      <c r="D2738" s="407" t="s">
        <v>2900</v>
      </c>
      <c r="E2738" s="407" t="s">
        <v>4223</v>
      </c>
      <c r="F2738" s="407" t="s">
        <v>2900</v>
      </c>
      <c r="G2738" s="407" t="s">
        <v>4224</v>
      </c>
      <c r="H2738" s="460">
        <v>378.52019000000001</v>
      </c>
      <c r="I2738" s="460">
        <v>13.609819999999999</v>
      </c>
      <c r="J2738" s="460">
        <v>46.800719999999998</v>
      </c>
      <c r="K2738" s="460">
        <v>5238.2248399999999</v>
      </c>
      <c r="L2738" s="459" t="s">
        <v>539</v>
      </c>
      <c r="O2738">
        <v>11.506</v>
      </c>
      <c r="P2738" t="s">
        <v>9069</v>
      </c>
    </row>
    <row r="2739" spans="1:16" ht="14.4" x14ac:dyDescent="0.3">
      <c r="A2739">
        <v>163134</v>
      </c>
      <c r="B2739" t="str">
        <f t="shared" si="84"/>
        <v>SEVROLL Doubler II maskownica 6m jasny brąz</v>
      </c>
      <c r="C2739" s="185">
        <f t="shared" si="85"/>
        <v>0</v>
      </c>
      <c r="D2739" s="407" t="s">
        <v>2901</v>
      </c>
      <c r="E2739" s="407" t="s">
        <v>4481</v>
      </c>
      <c r="F2739" s="407" t="s">
        <v>2901</v>
      </c>
      <c r="G2739" s="407" t="s">
        <v>4482</v>
      </c>
      <c r="H2739" s="460">
        <v>560.18092999999999</v>
      </c>
      <c r="I2739" s="460">
        <v>20.141490000000001</v>
      </c>
      <c r="J2739" s="460">
        <v>0</v>
      </c>
      <c r="K2739" s="460">
        <v>7752.1724100000001</v>
      </c>
      <c r="L2739" s="459" t="s">
        <v>539</v>
      </c>
      <c r="O2739">
        <v>17.027999999999999</v>
      </c>
      <c r="P2739" t="s">
        <v>9149</v>
      </c>
    </row>
    <row r="2740" spans="1:16" ht="14.4" x14ac:dyDescent="0.3">
      <c r="A2740">
        <v>163151</v>
      </c>
      <c r="B2740" t="str">
        <f t="shared" si="84"/>
        <v>SEVROLL 02803 Maxim II maskownica 4,3m srebrna</v>
      </c>
      <c r="C2740" s="185" t="e">
        <f t="shared" si="85"/>
        <v>#N/A</v>
      </c>
      <c r="D2740" s="407" t="s">
        <v>2902</v>
      </c>
      <c r="E2740" s="407" t="s">
        <v>4242</v>
      </c>
      <c r="F2740" s="407" t="s">
        <v>4243</v>
      </c>
      <c r="G2740" s="407" t="s">
        <v>4244</v>
      </c>
      <c r="H2740" s="460" t="e">
        <v>#N/A</v>
      </c>
      <c r="I2740" s="460" t="e">
        <v>#N/A</v>
      </c>
      <c r="J2740" s="460" t="e">
        <v>#N/A</v>
      </c>
      <c r="K2740" s="460" t="e">
        <v>#N/A</v>
      </c>
      <c r="L2740" s="459" t="e">
        <v>#N/A</v>
      </c>
      <c r="O2740">
        <v>11.263999999999999</v>
      </c>
      <c r="P2740" t="s">
        <v>9075</v>
      </c>
    </row>
    <row r="2741" spans="1:16" ht="14.4" x14ac:dyDescent="0.3">
      <c r="A2741">
        <v>179111</v>
      </c>
      <c r="B2741" t="str">
        <f t="shared" si="84"/>
        <v>SEVROLL wzornik folii</v>
      </c>
      <c r="C2741" s="185" t="e">
        <f t="shared" si="85"/>
        <v>#N/A</v>
      </c>
      <c r="D2741" s="407" t="s">
        <v>2903</v>
      </c>
      <c r="E2741" s="407" t="s">
        <v>5716</v>
      </c>
      <c r="F2741" s="407" t="s">
        <v>5717</v>
      </c>
      <c r="G2741" s="407" t="s">
        <v>5718</v>
      </c>
      <c r="H2741" s="460" t="e">
        <v>#N/A</v>
      </c>
      <c r="I2741" s="460" t="e">
        <v>#N/A</v>
      </c>
      <c r="J2741" s="460" t="e">
        <v>#N/A</v>
      </c>
      <c r="K2741" s="460" t="e">
        <v>#N/A</v>
      </c>
      <c r="L2741" s="459" t="e">
        <v>#N/A</v>
      </c>
      <c r="O2741">
        <v>0</v>
      </c>
      <c r="P2741" t="s">
        <v>9536</v>
      </c>
    </row>
    <row r="2742" spans="1:16" ht="14.4" x14ac:dyDescent="0.3">
      <c r="A2742">
        <v>179196</v>
      </c>
      <c r="B2742" t="str">
        <f t="shared" si="84"/>
        <v>SEVROLL Faworyt II rączka 2,7m srebrny</v>
      </c>
      <c r="C2742" s="185">
        <f t="shared" si="85"/>
        <v>46.195799999999998</v>
      </c>
      <c r="D2742" s="407" t="s">
        <v>2904</v>
      </c>
      <c r="E2742" s="407" t="s">
        <v>5231</v>
      </c>
      <c r="F2742" s="407" t="s">
        <v>5232</v>
      </c>
      <c r="G2742" s="407" t="s">
        <v>5233</v>
      </c>
      <c r="H2742" s="460">
        <v>350.29401000000001</v>
      </c>
      <c r="I2742" s="460">
        <v>12.594939999999999</v>
      </c>
      <c r="J2742" s="460">
        <v>46.195799999999998</v>
      </c>
      <c r="K2742" s="460">
        <v>4847.6117400000003</v>
      </c>
      <c r="L2742" s="459" t="s">
        <v>538</v>
      </c>
      <c r="O2742">
        <v>12.385999999999999</v>
      </c>
      <c r="P2742" t="s">
        <v>9368</v>
      </c>
    </row>
    <row r="2743" spans="1:16" ht="14.4" x14ac:dyDescent="0.3">
      <c r="A2743">
        <v>179224</v>
      </c>
      <c r="B2743" t="str">
        <f t="shared" si="84"/>
        <v>SEVROLL 03049 Future II rączka 3,5m srebrna</v>
      </c>
      <c r="C2743" s="185">
        <f t="shared" si="85"/>
        <v>154.6728</v>
      </c>
      <c r="D2743" s="407" t="s">
        <v>2905</v>
      </c>
      <c r="E2743" s="407" t="s">
        <v>4928</v>
      </c>
      <c r="F2743" s="407" t="s">
        <v>4929</v>
      </c>
      <c r="G2743" s="407" t="s">
        <v>4930</v>
      </c>
      <c r="H2743" s="460">
        <v>1169.5767499999999</v>
      </c>
      <c r="I2743" s="460">
        <v>42.052520000000001</v>
      </c>
      <c r="J2743" s="460">
        <v>154.6728</v>
      </c>
      <c r="K2743" s="460">
        <v>16185.41373</v>
      </c>
      <c r="L2743" s="459" t="s">
        <v>538</v>
      </c>
      <c r="O2743">
        <v>38.588000000000001</v>
      </c>
      <c r="P2743" t="s">
        <v>9281</v>
      </c>
    </row>
    <row r="2744" spans="1:16" ht="14.4" x14ac:dyDescent="0.3">
      <c r="A2744">
        <v>179227</v>
      </c>
      <c r="B2744" t="str">
        <f t="shared" si="84"/>
        <v>SEVROLL Future II rączka 3,5m jasny brąz</v>
      </c>
      <c r="C2744" s="185">
        <f t="shared" si="85"/>
        <v>170.136</v>
      </c>
      <c r="D2744" s="407" t="s">
        <v>2906</v>
      </c>
      <c r="E2744" s="407" t="s">
        <v>4911</v>
      </c>
      <c r="F2744" s="407" t="s">
        <v>2906</v>
      </c>
      <c r="G2744" s="407" t="s">
        <v>4912</v>
      </c>
      <c r="H2744" s="460">
        <v>1362.81744</v>
      </c>
      <c r="I2744" s="460">
        <v>49.00056</v>
      </c>
      <c r="J2744" s="460">
        <v>170.136</v>
      </c>
      <c r="K2744" s="460">
        <v>18859.61275</v>
      </c>
      <c r="L2744" s="459" t="s">
        <v>539</v>
      </c>
      <c r="O2744">
        <v>41.426000000000002</v>
      </c>
      <c r="P2744" t="s">
        <v>9276</v>
      </c>
    </row>
    <row r="2745" spans="1:16" ht="14.4" x14ac:dyDescent="0.3">
      <c r="A2745">
        <v>179229</v>
      </c>
      <c r="B2745" t="str">
        <f t="shared" si="84"/>
        <v>SEVROLL 03048 Future II rączka 2,7m srebrna</v>
      </c>
      <c r="C2745" s="185">
        <f t="shared" si="85"/>
        <v>119.34</v>
      </c>
      <c r="D2745" s="407" t="s">
        <v>2907</v>
      </c>
      <c r="E2745" s="407" t="s">
        <v>4823</v>
      </c>
      <c r="F2745" s="407" t="s">
        <v>1251</v>
      </c>
      <c r="G2745" s="407" t="s">
        <v>4824</v>
      </c>
      <c r="H2745" s="460">
        <v>903.23748000000001</v>
      </c>
      <c r="I2745" s="460">
        <v>32.476199999999999</v>
      </c>
      <c r="J2745" s="460">
        <v>119.34</v>
      </c>
      <c r="K2745" s="460">
        <v>12499.626490000001</v>
      </c>
      <c r="L2745" s="459" t="s">
        <v>538</v>
      </c>
      <c r="O2745">
        <v>29.788</v>
      </c>
      <c r="P2745" t="s">
        <v>9254</v>
      </c>
    </row>
    <row r="2746" spans="1:16" ht="14.4" x14ac:dyDescent="0.3">
      <c r="A2746">
        <v>179230</v>
      </c>
      <c r="B2746" t="str">
        <f t="shared" si="84"/>
        <v>SEVROLL Future II rączka 2,7m jasny brąz</v>
      </c>
      <c r="C2746" s="185">
        <f t="shared" si="85"/>
        <v>131.2638</v>
      </c>
      <c r="D2746" s="407" t="s">
        <v>2908</v>
      </c>
      <c r="E2746" s="407" t="s">
        <v>4788</v>
      </c>
      <c r="F2746" s="407" t="s">
        <v>2908</v>
      </c>
      <c r="G2746" s="407" t="s">
        <v>4789</v>
      </c>
      <c r="H2746" s="460">
        <v>1051.60581</v>
      </c>
      <c r="I2746" s="460">
        <v>37.810839999999999</v>
      </c>
      <c r="J2746" s="460">
        <v>131.2638</v>
      </c>
      <c r="K2746" s="460">
        <v>14552.850409999999</v>
      </c>
      <c r="L2746" s="459" t="s">
        <v>539</v>
      </c>
      <c r="O2746">
        <v>31.966000000000001</v>
      </c>
      <c r="P2746" t="s">
        <v>9243</v>
      </c>
    </row>
    <row r="2747" spans="1:16" ht="14.4" x14ac:dyDescent="0.3">
      <c r="A2747">
        <v>179772</v>
      </c>
      <c r="B2747" t="str">
        <f t="shared" si="84"/>
        <v>SEVROLL profil "U" do płyty laminowanej 10mm 2m srebrny</v>
      </c>
      <c r="C2747" s="185" t="e">
        <f t="shared" si="85"/>
        <v>#N/A</v>
      </c>
      <c r="D2747" s="407" t="s">
        <v>2909</v>
      </c>
      <c r="E2747" s="407" t="s">
        <v>3587</v>
      </c>
      <c r="F2747" s="407" t="s">
        <v>3588</v>
      </c>
      <c r="G2747" s="407" t="s">
        <v>3589</v>
      </c>
      <c r="H2747" s="460" t="e">
        <v>#N/A</v>
      </c>
      <c r="I2747" s="460" t="e">
        <v>#N/A</v>
      </c>
      <c r="J2747" s="460" t="e">
        <v>#N/A</v>
      </c>
      <c r="K2747" s="460" t="e">
        <v>#N/A</v>
      </c>
      <c r="L2747" s="459" t="e">
        <v>#N/A</v>
      </c>
      <c r="O2747" t="e">
        <v>#N/A</v>
      </c>
      <c r="P2747" t="e">
        <v>#N/A</v>
      </c>
    </row>
    <row r="2748" spans="1:16" ht="14.4" x14ac:dyDescent="0.3">
      <c r="A2748">
        <v>179789</v>
      </c>
      <c r="B2748" t="str">
        <f t="shared" si="84"/>
        <v>SEVROLL profil "U" do płyty laminowanej 10mm 3m srebrny</v>
      </c>
      <c r="C2748" s="185">
        <f t="shared" si="85"/>
        <v>17.091660000000001</v>
      </c>
      <c r="D2748" s="407" t="s">
        <v>2910</v>
      </c>
      <c r="E2748" s="407" t="s">
        <v>3695</v>
      </c>
      <c r="F2748" s="407" t="s">
        <v>3696</v>
      </c>
      <c r="G2748" s="407" t="s">
        <v>3697</v>
      </c>
      <c r="H2748" s="460">
        <v>138.23586</v>
      </c>
      <c r="I2748" s="460">
        <v>4.9703200000000001</v>
      </c>
      <c r="J2748" s="460">
        <v>17.091660000000001</v>
      </c>
      <c r="K2748" s="460">
        <v>1913.0035700000001</v>
      </c>
      <c r="L2748" s="459" t="s">
        <v>539</v>
      </c>
      <c r="O2748">
        <v>4.4219999999999997</v>
      </c>
      <c r="P2748" t="s">
        <v>8898</v>
      </c>
    </row>
    <row r="2749" spans="1:16" ht="14.4" x14ac:dyDescent="0.3">
      <c r="A2749">
        <v>180324</v>
      </c>
      <c r="B2749" t="str">
        <f t="shared" si="84"/>
        <v>SEVROLL 02808 Maxim II tor dolny 3,5m srebrny</v>
      </c>
      <c r="C2749" s="185" t="e">
        <f t="shared" si="85"/>
        <v>#N/A</v>
      </c>
      <c r="D2749" s="407" t="s">
        <v>2911</v>
      </c>
      <c r="E2749" s="407" t="s">
        <v>4638</v>
      </c>
      <c r="F2749" s="407" t="s">
        <v>4639</v>
      </c>
      <c r="G2749" s="407" t="s">
        <v>4640</v>
      </c>
      <c r="H2749" s="460" t="e">
        <v>#N/A</v>
      </c>
      <c r="I2749" s="460" t="e">
        <v>#N/A</v>
      </c>
      <c r="J2749" s="460" t="e">
        <v>#N/A</v>
      </c>
      <c r="K2749" s="460" t="e">
        <v>#N/A</v>
      </c>
      <c r="L2749" s="459" t="e">
        <v>#N/A</v>
      </c>
      <c r="O2749" t="e">
        <v>#N/A</v>
      </c>
      <c r="P2749" t="e">
        <v>#N/A</v>
      </c>
    </row>
    <row r="2750" spans="1:16" ht="14.4" x14ac:dyDescent="0.3">
      <c r="A2750">
        <v>180325</v>
      </c>
      <c r="B2750" t="str">
        <f t="shared" si="84"/>
        <v>SEVROLL 02802 Maxim II tor dolny 4,3m srebrny</v>
      </c>
      <c r="C2750" s="185" t="e">
        <f t="shared" si="85"/>
        <v>#N/A</v>
      </c>
      <c r="D2750" s="407" t="s">
        <v>2912</v>
      </c>
      <c r="E2750" s="407" t="s">
        <v>4755</v>
      </c>
      <c r="F2750" s="407" t="s">
        <v>4756</v>
      </c>
      <c r="G2750" s="407" t="s">
        <v>4757</v>
      </c>
      <c r="H2750" s="460" t="e">
        <v>#N/A</v>
      </c>
      <c r="I2750" s="460" t="e">
        <v>#N/A</v>
      </c>
      <c r="J2750" s="460" t="e">
        <v>#N/A</v>
      </c>
      <c r="K2750" s="460" t="e">
        <v>#N/A</v>
      </c>
      <c r="L2750" s="459" t="e">
        <v>#N/A</v>
      </c>
      <c r="O2750" t="e">
        <v>#N/A</v>
      </c>
      <c r="P2750" t="e">
        <v>#N/A</v>
      </c>
    </row>
    <row r="2751" spans="1:16" ht="14.4" x14ac:dyDescent="0.3">
      <c r="A2751">
        <v>180326</v>
      </c>
      <c r="B2751" t="str">
        <f t="shared" si="84"/>
        <v>SEVROLL 02815 Maxim II zaślepka do toru 3,5m srebrna</v>
      </c>
      <c r="C2751" s="185" t="e">
        <f t="shared" si="85"/>
        <v>#N/A</v>
      </c>
      <c r="D2751" s="407" t="s">
        <v>2913</v>
      </c>
      <c r="E2751" s="407" t="s">
        <v>4100</v>
      </c>
      <c r="F2751" s="407" t="s">
        <v>4101</v>
      </c>
      <c r="G2751" s="407" t="s">
        <v>4102</v>
      </c>
      <c r="H2751" s="460" t="e">
        <v>#N/A</v>
      </c>
      <c r="I2751" s="460" t="e">
        <v>#N/A</v>
      </c>
      <c r="J2751" s="460" t="e">
        <v>#N/A</v>
      </c>
      <c r="K2751" s="460" t="e">
        <v>#N/A</v>
      </c>
      <c r="L2751" s="459" t="e">
        <v>#N/A</v>
      </c>
      <c r="O2751" t="e">
        <v>#N/A</v>
      </c>
      <c r="P2751" t="e">
        <v>#N/A</v>
      </c>
    </row>
    <row r="2752" spans="1:16" ht="14.4" x14ac:dyDescent="0.3">
      <c r="A2752">
        <v>180411</v>
      </c>
      <c r="B2752" t="str">
        <f t="shared" si="84"/>
        <v>SEVROLL Maxim II tor dolny 1,8m srebrny</v>
      </c>
      <c r="C2752" s="185" t="e">
        <f t="shared" si="85"/>
        <v>#N/A</v>
      </c>
      <c r="D2752" s="407" t="s">
        <v>2914</v>
      </c>
      <c r="E2752" s="407" t="s">
        <v>4145</v>
      </c>
      <c r="F2752" s="407" t="s">
        <v>4146</v>
      </c>
      <c r="G2752" s="407" t="s">
        <v>4147</v>
      </c>
      <c r="H2752" s="460" t="e">
        <v>#N/A</v>
      </c>
      <c r="I2752" s="460" t="e">
        <v>#N/A</v>
      </c>
      <c r="J2752" s="460" t="e">
        <v>#N/A</v>
      </c>
      <c r="K2752" s="460" t="e">
        <v>#N/A</v>
      </c>
      <c r="L2752" s="459" t="e">
        <v>#N/A</v>
      </c>
      <c r="O2752" t="e">
        <v>#N/A</v>
      </c>
      <c r="P2752" t="e">
        <v>#N/A</v>
      </c>
    </row>
    <row r="2753" spans="1:16" ht="14.4" x14ac:dyDescent="0.3">
      <c r="A2753">
        <v>180412</v>
      </c>
      <c r="B2753" t="str">
        <f t="shared" si="84"/>
        <v>SEVROLL 02806 Maxim II tor dolny 2,5m srebrny</v>
      </c>
      <c r="C2753" s="185" t="e">
        <f t="shared" si="85"/>
        <v>#N/A</v>
      </c>
      <c r="D2753" s="407" t="s">
        <v>2915</v>
      </c>
      <c r="E2753" s="407" t="s">
        <v>4406</v>
      </c>
      <c r="F2753" s="407" t="s">
        <v>1229</v>
      </c>
      <c r="G2753" s="407" t="s">
        <v>4407</v>
      </c>
      <c r="H2753" s="460" t="e">
        <v>#N/A</v>
      </c>
      <c r="I2753" s="460" t="e">
        <v>#N/A</v>
      </c>
      <c r="J2753" s="460" t="e">
        <v>#N/A</v>
      </c>
      <c r="K2753" s="460" t="e">
        <v>#N/A</v>
      </c>
      <c r="L2753" s="459" t="e">
        <v>#N/A</v>
      </c>
      <c r="O2753" t="e">
        <v>#N/A</v>
      </c>
      <c r="P2753" t="e">
        <v>#N/A</v>
      </c>
    </row>
    <row r="2754" spans="1:16" ht="14.4" x14ac:dyDescent="0.3">
      <c r="A2754">
        <v>180414</v>
      </c>
      <c r="B2754" t="str">
        <f t="shared" si="84"/>
        <v>SEVROLL Maxim II tor dolny 6m srebrny</v>
      </c>
      <c r="C2754" s="185" t="e">
        <f t="shared" si="85"/>
        <v>#N/A</v>
      </c>
      <c r="D2754" s="407" t="s">
        <v>2916</v>
      </c>
      <c r="E2754" s="407" t="s">
        <v>4908</v>
      </c>
      <c r="F2754" s="407" t="s">
        <v>4909</v>
      </c>
      <c r="G2754" s="407" t="s">
        <v>4910</v>
      </c>
      <c r="H2754" s="460" t="e">
        <v>#N/A</v>
      </c>
      <c r="I2754" s="460" t="e">
        <v>#N/A</v>
      </c>
      <c r="J2754" s="460" t="e">
        <v>#N/A</v>
      </c>
      <c r="K2754" s="460" t="e">
        <v>#N/A</v>
      </c>
      <c r="L2754" s="459" t="e">
        <v>#N/A</v>
      </c>
      <c r="O2754" t="e">
        <v>#N/A</v>
      </c>
      <c r="P2754" t="e">
        <v>#N/A</v>
      </c>
    </row>
    <row r="2755" spans="1:16" ht="14.4" x14ac:dyDescent="0.3">
      <c r="A2755">
        <v>180415</v>
      </c>
      <c r="B2755" t="str">
        <f t="shared" si="84"/>
        <v>SEVROLL Maxim II maskownica 1,8m srebrny</v>
      </c>
      <c r="C2755" s="185" t="e">
        <f t="shared" si="85"/>
        <v>#N/A</v>
      </c>
      <c r="D2755" s="407" t="s">
        <v>2917</v>
      </c>
      <c r="E2755" s="407" t="s">
        <v>3733</v>
      </c>
      <c r="F2755" s="407" t="s">
        <v>3734</v>
      </c>
      <c r="G2755" s="407" t="s">
        <v>3735</v>
      </c>
      <c r="H2755" s="460" t="e">
        <v>#N/A</v>
      </c>
      <c r="I2755" s="460" t="e">
        <v>#N/A</v>
      </c>
      <c r="J2755" s="460" t="e">
        <v>#N/A</v>
      </c>
      <c r="K2755" s="460" t="e">
        <v>#N/A</v>
      </c>
      <c r="L2755" s="459" t="e">
        <v>#N/A</v>
      </c>
      <c r="O2755" t="e">
        <v>#N/A</v>
      </c>
      <c r="P2755" t="e">
        <v>#N/A</v>
      </c>
    </row>
    <row r="2756" spans="1:16" ht="14.4" x14ac:dyDescent="0.3">
      <c r="A2756">
        <v>180416</v>
      </c>
      <c r="B2756" t="str">
        <f t="shared" ref="B2756:B2819" si="86">IF($A$2=1,D2756,IF($A$2=2,F2756,IF($A$2=3,G2756,IF($A$2=4,E2756,IF($A$2&gt;4,P2756,"zadat jazyk")))))</f>
        <v>SEVROLL Maxim II maskownica do toru 2,5m srebrna</v>
      </c>
      <c r="C2756" s="185" t="e">
        <f t="shared" ref="C2756:C2819" si="87">IF($A$2=1,H2756,IF($A$2=2,I2756,IF($A$2=3,J2756,IF($A$2=4,K2756,IF($A$2&gt;4,O2756,"zadat jazyk")))))</f>
        <v>#N/A</v>
      </c>
      <c r="D2756" s="407" t="s">
        <v>2918</v>
      </c>
      <c r="E2756" s="407" t="s">
        <v>3889</v>
      </c>
      <c r="F2756" s="407" t="s">
        <v>3890</v>
      </c>
      <c r="G2756" s="407" t="s">
        <v>3891</v>
      </c>
      <c r="H2756" s="460" t="e">
        <v>#N/A</v>
      </c>
      <c r="I2756" s="460" t="e">
        <v>#N/A</v>
      </c>
      <c r="J2756" s="460" t="e">
        <v>#N/A</v>
      </c>
      <c r="K2756" s="460" t="e">
        <v>#N/A</v>
      </c>
      <c r="L2756" s="459" t="e">
        <v>#N/A</v>
      </c>
      <c r="O2756" t="e">
        <v>#N/A</v>
      </c>
      <c r="P2756" t="e">
        <v>#N/A</v>
      </c>
    </row>
    <row r="2757" spans="1:16" ht="14.4" x14ac:dyDescent="0.3">
      <c r="A2757">
        <v>180418</v>
      </c>
      <c r="B2757" t="str">
        <f t="shared" si="86"/>
        <v>SEVROLL Maxim II maskownica 6m srebrny</v>
      </c>
      <c r="C2757" s="185" t="e">
        <f t="shared" si="87"/>
        <v>#N/A</v>
      </c>
      <c r="D2757" s="407" t="s">
        <v>2919</v>
      </c>
      <c r="E2757" s="407" t="s">
        <v>4440</v>
      </c>
      <c r="F2757" s="407" t="s">
        <v>4441</v>
      </c>
      <c r="G2757" s="407" t="s">
        <v>4442</v>
      </c>
      <c r="H2757" s="460" t="e">
        <v>#N/A</v>
      </c>
      <c r="I2757" s="460" t="e">
        <v>#N/A</v>
      </c>
      <c r="J2757" s="460" t="e">
        <v>#N/A</v>
      </c>
      <c r="K2757" s="460" t="e">
        <v>#N/A</v>
      </c>
      <c r="L2757" s="459" t="e">
        <v>#N/A</v>
      </c>
      <c r="O2757" t="e">
        <v>#N/A</v>
      </c>
      <c r="P2757" t="e">
        <v>#N/A</v>
      </c>
    </row>
    <row r="2758" spans="1:16" ht="14.4" x14ac:dyDescent="0.3">
      <c r="A2758">
        <v>180419</v>
      </c>
      <c r="B2758" t="str">
        <f t="shared" si="86"/>
        <v>SEVROLL Maxim tor 6m srebrny</v>
      </c>
      <c r="C2758" s="185" t="e">
        <f t="shared" si="87"/>
        <v>#N/A</v>
      </c>
      <c r="D2758" s="407" t="s">
        <v>2920</v>
      </c>
      <c r="E2758" s="407" t="s">
        <v>4979</v>
      </c>
      <c r="F2758" s="407" t="s">
        <v>4980</v>
      </c>
      <c r="G2758" s="407" t="s">
        <v>4981</v>
      </c>
      <c r="H2758" s="460" t="e">
        <v>#N/A</v>
      </c>
      <c r="I2758" s="460" t="e">
        <v>#N/A</v>
      </c>
      <c r="J2758" s="460" t="e">
        <v>#N/A</v>
      </c>
      <c r="K2758" s="460" t="e">
        <v>#N/A</v>
      </c>
      <c r="L2758" s="459" t="e">
        <v>#N/A</v>
      </c>
      <c r="O2758" t="e">
        <v>#N/A</v>
      </c>
      <c r="P2758" t="e">
        <v>#N/A</v>
      </c>
    </row>
    <row r="2759" spans="1:16" ht="14.4" x14ac:dyDescent="0.3">
      <c r="A2759">
        <v>180420</v>
      </c>
      <c r="B2759" t="str">
        <f t="shared" si="86"/>
        <v>SEVROLL Maxim maskownica dolna 6m 10mm srebrny</v>
      </c>
      <c r="C2759" s="185" t="e">
        <f t="shared" si="87"/>
        <v>#N/A</v>
      </c>
      <c r="D2759" s="407" t="s">
        <v>2921</v>
      </c>
      <c r="E2759" s="407" t="s">
        <v>5053</v>
      </c>
      <c r="F2759" s="407" t="s">
        <v>5054</v>
      </c>
      <c r="G2759" s="407" t="s">
        <v>5055</v>
      </c>
      <c r="H2759" s="460" t="e">
        <v>#N/A</v>
      </c>
      <c r="I2759" s="460" t="e">
        <v>#N/A</v>
      </c>
      <c r="J2759" s="460" t="e">
        <v>#N/A</v>
      </c>
      <c r="K2759" s="460" t="e">
        <v>#N/A</v>
      </c>
      <c r="L2759" s="459" t="e">
        <v>#N/A</v>
      </c>
      <c r="O2759" t="e">
        <v>#N/A</v>
      </c>
      <c r="P2759" t="e">
        <v>#N/A</v>
      </c>
    </row>
    <row r="2760" spans="1:16" ht="14.4" x14ac:dyDescent="0.3">
      <c r="A2760">
        <v>181590</v>
      </c>
      <c r="B2760" t="str">
        <f t="shared" si="86"/>
        <v>SEVROLL Everest zestaw do rączki Fox II</v>
      </c>
      <c r="C2760" s="185">
        <f t="shared" si="87"/>
        <v>185.4768</v>
      </c>
      <c r="D2760" s="407" t="s">
        <v>2922</v>
      </c>
      <c r="E2760" s="407" t="s">
        <v>5034</v>
      </c>
      <c r="F2760" s="407" t="s">
        <v>5035</v>
      </c>
      <c r="G2760" s="407" t="s">
        <v>5036</v>
      </c>
      <c r="H2760" s="460">
        <v>1478.6171099999999</v>
      </c>
      <c r="I2760" s="460">
        <v>53.164169999999999</v>
      </c>
      <c r="J2760" s="460">
        <v>185.4768</v>
      </c>
      <c r="K2760" s="460">
        <v>20462.128990000001</v>
      </c>
      <c r="L2760" s="459" t="s">
        <v>538</v>
      </c>
      <c r="O2760">
        <v>49.786000000000001</v>
      </c>
      <c r="P2760" t="s">
        <v>9304</v>
      </c>
    </row>
    <row r="2761" spans="1:16" ht="14.4" x14ac:dyDescent="0.3">
      <c r="A2761">
        <v>188680</v>
      </c>
      <c r="B2761" t="str">
        <f t="shared" si="86"/>
        <v>SEVROLL Prosper II rączka 2,7m srebrny</v>
      </c>
      <c r="C2761" s="185" t="e">
        <f t="shared" si="87"/>
        <v>#N/A</v>
      </c>
      <c r="D2761" s="407" t="s">
        <v>2923</v>
      </c>
      <c r="E2761" s="407" t="s">
        <v>4665</v>
      </c>
      <c r="F2761" s="407" t="s">
        <v>1214</v>
      </c>
      <c r="G2761" s="407" t="s">
        <v>4666</v>
      </c>
      <c r="H2761" s="460" t="e">
        <v>#N/A</v>
      </c>
      <c r="I2761" s="460" t="e">
        <v>#N/A</v>
      </c>
      <c r="J2761" s="460" t="e">
        <v>#N/A</v>
      </c>
      <c r="K2761" s="460" t="e">
        <v>#N/A</v>
      </c>
      <c r="L2761" s="459" t="e">
        <v>#N/A</v>
      </c>
      <c r="O2761" t="e">
        <v>#N/A</v>
      </c>
      <c r="P2761" t="e">
        <v>#N/A</v>
      </c>
    </row>
    <row r="2762" spans="1:16" ht="14.4" x14ac:dyDescent="0.3">
      <c r="A2762">
        <v>189177</v>
      </c>
      <c r="B2762" t="str">
        <f t="shared" si="86"/>
        <v>SEVROLL Hide N tor dolny 2,35 m srebrny</v>
      </c>
      <c r="C2762" s="185">
        <f t="shared" si="87"/>
        <v>34.00788</v>
      </c>
      <c r="D2762" s="407" t="s">
        <v>2924</v>
      </c>
      <c r="E2762" s="407" t="s">
        <v>4014</v>
      </c>
      <c r="F2762" s="407" t="s">
        <v>4015</v>
      </c>
      <c r="G2762" s="407" t="s">
        <v>4016</v>
      </c>
      <c r="H2762" s="460">
        <v>264.23309</v>
      </c>
      <c r="I2762" s="460">
        <v>9.9679599999999997</v>
      </c>
      <c r="J2762" s="460">
        <v>34.00788</v>
      </c>
      <c r="K2762" s="460">
        <v>3760.8069999999998</v>
      </c>
      <c r="L2762" s="459" t="s">
        <v>539</v>
      </c>
      <c r="O2762">
        <v>9.24</v>
      </c>
      <c r="P2762" t="s">
        <v>9004</v>
      </c>
    </row>
    <row r="2763" spans="1:16" ht="14.4" x14ac:dyDescent="0.3">
      <c r="A2763">
        <v>189591</v>
      </c>
      <c r="B2763" t="str">
        <f t="shared" si="86"/>
        <v>SEVROLL zestaw Apollo 2/756</v>
      </c>
      <c r="C2763" s="185" t="e">
        <f t="shared" si="87"/>
        <v>#N/A</v>
      </c>
      <c r="D2763" s="407" t="s">
        <v>1695</v>
      </c>
      <c r="E2763" s="407" t="s">
        <v>2127</v>
      </c>
      <c r="F2763" s="407" t="s">
        <v>1695</v>
      </c>
      <c r="G2763" s="407" t="s">
        <v>2603</v>
      </c>
      <c r="H2763" s="460" t="e">
        <v>#N/A</v>
      </c>
      <c r="I2763" s="460" t="e">
        <v>#N/A</v>
      </c>
      <c r="J2763" s="460" t="e">
        <v>#N/A</v>
      </c>
      <c r="K2763" s="460" t="e">
        <v>#N/A</v>
      </c>
      <c r="L2763" s="459" t="e">
        <v>#N/A</v>
      </c>
      <c r="O2763">
        <v>26.268000000000001</v>
      </c>
      <c r="P2763" t="s">
        <v>10235</v>
      </c>
    </row>
    <row r="2764" spans="1:16" ht="14.4" x14ac:dyDescent="0.3">
      <c r="A2764">
        <v>190488</v>
      </c>
      <c r="B2764" t="str">
        <f t="shared" si="86"/>
        <v>SEVROLL zestaw okuć ZSE-10 Plus</v>
      </c>
      <c r="C2764" s="185">
        <f t="shared" si="87"/>
        <v>232.9272</v>
      </c>
      <c r="D2764" s="407" t="s">
        <v>1696</v>
      </c>
      <c r="E2764" s="407" t="s">
        <v>2128</v>
      </c>
      <c r="F2764" s="407" t="s">
        <v>6126</v>
      </c>
      <c r="G2764" s="407" t="s">
        <v>2604</v>
      </c>
      <c r="H2764" s="460">
        <v>1856.4135799999999</v>
      </c>
      <c r="I2764" s="460">
        <v>66.747969999999995</v>
      </c>
      <c r="J2764" s="460">
        <v>232.9272</v>
      </c>
      <c r="K2764" s="460">
        <v>25690.338250000001</v>
      </c>
      <c r="L2764" s="459" t="s">
        <v>539</v>
      </c>
      <c r="O2764">
        <v>62.524000000000001</v>
      </c>
      <c r="P2764" t="s">
        <v>10236</v>
      </c>
    </row>
    <row r="2765" spans="1:16" ht="14.4" x14ac:dyDescent="0.3">
      <c r="A2765">
        <v>190515</v>
      </c>
      <c r="B2765" t="str">
        <f t="shared" si="86"/>
        <v>SEVROLL Ursus tor górny 1,2m surowy</v>
      </c>
      <c r="C2765" s="185" t="e">
        <f t="shared" si="87"/>
        <v>#N/A</v>
      </c>
      <c r="D2765" s="407" t="s">
        <v>2925</v>
      </c>
      <c r="E2765" s="407" t="s">
        <v>4185</v>
      </c>
      <c r="F2765" s="407" t="s">
        <v>4186</v>
      </c>
      <c r="G2765" s="407" t="s">
        <v>4187</v>
      </c>
      <c r="H2765" s="460" t="e">
        <v>#N/A</v>
      </c>
      <c r="I2765" s="460" t="e">
        <v>#N/A</v>
      </c>
      <c r="J2765" s="460" t="e">
        <v>#N/A</v>
      </c>
      <c r="K2765" s="460" t="e">
        <v>#N/A</v>
      </c>
      <c r="L2765" s="459" t="e">
        <v>#N/A</v>
      </c>
      <c r="O2765">
        <v>13.772</v>
      </c>
      <c r="P2765" t="s">
        <v>9057</v>
      </c>
    </row>
    <row r="2766" spans="1:16" ht="14.4" x14ac:dyDescent="0.3">
      <c r="A2766">
        <v>190752</v>
      </c>
      <c r="B2766" t="str">
        <f t="shared" si="86"/>
        <v>SEVROLL First tor górny / dolny 3 m srebrny</v>
      </c>
      <c r="C2766" s="185">
        <f t="shared" si="87"/>
        <v>49.368000000000002</v>
      </c>
      <c r="D2766" s="407" t="s">
        <v>2926</v>
      </c>
      <c r="E2766" s="407" t="s">
        <v>4163</v>
      </c>
      <c r="F2766" s="407" t="s">
        <v>4164</v>
      </c>
      <c r="G2766" s="407" t="s">
        <v>4165</v>
      </c>
      <c r="H2766" s="460">
        <v>365.49274000000003</v>
      </c>
      <c r="I2766" s="460">
        <v>13.14141</v>
      </c>
      <c r="J2766" s="460">
        <v>49.368000000000002</v>
      </c>
      <c r="K2766" s="460">
        <v>5057.9418299999998</v>
      </c>
      <c r="L2766" s="459" t="s">
        <v>539</v>
      </c>
      <c r="O2766">
        <v>12.32</v>
      </c>
      <c r="P2766" t="s">
        <v>9050</v>
      </c>
    </row>
    <row r="2767" spans="1:16" ht="14.4" x14ac:dyDescent="0.3">
      <c r="A2767">
        <v>190753</v>
      </c>
      <c r="B2767" t="str">
        <f t="shared" si="86"/>
        <v>SEVROLL First tor górny / dolny 3m jasny brąz</v>
      </c>
      <c r="C2767" s="185" t="e">
        <f t="shared" si="87"/>
        <v>#N/A</v>
      </c>
      <c r="D2767" s="407" t="s">
        <v>2927</v>
      </c>
      <c r="E2767" s="407" t="s">
        <v>4160</v>
      </c>
      <c r="F2767" s="407" t="s">
        <v>4161</v>
      </c>
      <c r="G2767" s="407" t="s">
        <v>4162</v>
      </c>
      <c r="H2767" s="460" t="e">
        <v>#N/A</v>
      </c>
      <c r="I2767" s="460" t="e">
        <v>#N/A</v>
      </c>
      <c r="J2767" s="460" t="e">
        <v>#N/A</v>
      </c>
      <c r="K2767" s="460" t="e">
        <v>#N/A</v>
      </c>
      <c r="L2767" s="459" t="e">
        <v>#N/A</v>
      </c>
      <c r="O2767">
        <v>12.32</v>
      </c>
      <c r="P2767" t="s">
        <v>9049</v>
      </c>
    </row>
    <row r="2768" spans="1:16" ht="14.4" x14ac:dyDescent="0.3">
      <c r="A2768">
        <v>190764</v>
      </c>
      <c r="B2768" t="str">
        <f t="shared" si="86"/>
        <v>SEVROLL uszczelka bezbarwna 18/4mm symetryczne</v>
      </c>
      <c r="C2768" s="185">
        <f t="shared" si="87"/>
        <v>7.6425999999999998</v>
      </c>
      <c r="D2768" s="407" t="s">
        <v>2928</v>
      </c>
      <c r="E2768" s="407" t="s">
        <v>6171</v>
      </c>
      <c r="F2768" s="407" t="s">
        <v>6172</v>
      </c>
      <c r="G2768" s="407" t="s">
        <v>6173</v>
      </c>
      <c r="H2768" s="460">
        <v>68.352530000000002</v>
      </c>
      <c r="I2768" s="460">
        <v>2.3160099999999999</v>
      </c>
      <c r="J2768" s="460">
        <v>7.6425999999999998</v>
      </c>
      <c r="K2768" s="460">
        <v>912.37392</v>
      </c>
      <c r="L2768" s="459" t="s">
        <v>539</v>
      </c>
      <c r="O2768">
        <v>2.0521600000000002</v>
      </c>
      <c r="P2768" t="s">
        <v>8852</v>
      </c>
    </row>
    <row r="2769" spans="1:16" ht="14.4" x14ac:dyDescent="0.3">
      <c r="A2769">
        <v>190765</v>
      </c>
      <c r="B2769" t="str">
        <f t="shared" si="86"/>
        <v>SEVROLL uszczelka bezbarwna 18/8mm symetryczne</v>
      </c>
      <c r="C2769" s="185">
        <f t="shared" si="87"/>
        <v>7.6425999999999998</v>
      </c>
      <c r="D2769" s="407" t="s">
        <v>2929</v>
      </c>
      <c r="E2769" s="407" t="s">
        <v>6174</v>
      </c>
      <c r="F2769" s="407" t="s">
        <v>6175</v>
      </c>
      <c r="G2769" s="407" t="s">
        <v>6176</v>
      </c>
      <c r="H2769" s="460">
        <v>68.352530000000002</v>
      </c>
      <c r="I2769" s="460">
        <v>2.3160099999999999</v>
      </c>
      <c r="J2769" s="460">
        <v>7.6425999999999998</v>
      </c>
      <c r="K2769" s="460">
        <v>912.37392</v>
      </c>
      <c r="L2769" s="459" t="s">
        <v>539</v>
      </c>
      <c r="O2769">
        <v>2.0521600000000002</v>
      </c>
      <c r="P2769" t="s">
        <v>8853</v>
      </c>
    </row>
    <row r="2770" spans="1:16" ht="14.4" x14ac:dyDescent="0.3">
      <c r="A2770">
        <v>190831</v>
      </c>
      <c r="B2770" t="str">
        <f t="shared" si="86"/>
        <v>SEVROLL zestaw okuć ZSE-18</v>
      </c>
      <c r="C2770" s="185" t="e">
        <f t="shared" si="87"/>
        <v>#N/A</v>
      </c>
      <c r="D2770" s="407" t="s">
        <v>1697</v>
      </c>
      <c r="E2770" s="407" t="s">
        <v>2129</v>
      </c>
      <c r="F2770" s="407" t="s">
        <v>6127</v>
      </c>
      <c r="G2770" s="407" t="s">
        <v>2605</v>
      </c>
      <c r="H2770" s="460" t="e">
        <v>#N/A</v>
      </c>
      <c r="I2770" s="460" t="e">
        <v>#N/A</v>
      </c>
      <c r="J2770" s="460" t="e">
        <v>#N/A</v>
      </c>
      <c r="K2770" s="460" t="e">
        <v>#N/A</v>
      </c>
      <c r="L2770" s="459" t="e">
        <v>#N/A</v>
      </c>
      <c r="O2770">
        <v>42.042000000000002</v>
      </c>
      <c r="P2770" t="s">
        <v>10237</v>
      </c>
    </row>
    <row r="2771" spans="1:16" ht="14.4" x14ac:dyDescent="0.3">
      <c r="A2771">
        <v>190832</v>
      </c>
      <c r="B2771" t="str">
        <f t="shared" si="86"/>
        <v>SEVROLL zestaw okuć ZSE-18 Plus</v>
      </c>
      <c r="C2771" s="185" t="e">
        <f t="shared" si="87"/>
        <v>#N/A</v>
      </c>
      <c r="D2771" s="407" t="s">
        <v>1698</v>
      </c>
      <c r="E2771" s="407" t="s">
        <v>2130</v>
      </c>
      <c r="F2771" s="407" t="s">
        <v>6128</v>
      </c>
      <c r="G2771" s="407" t="s">
        <v>2606</v>
      </c>
      <c r="H2771" s="460" t="e">
        <v>#N/A</v>
      </c>
      <c r="I2771" s="460" t="e">
        <v>#N/A</v>
      </c>
      <c r="J2771" s="460" t="e">
        <v>#N/A</v>
      </c>
      <c r="K2771" s="460" t="e">
        <v>#N/A</v>
      </c>
      <c r="L2771" s="459" t="e">
        <v>#N/A</v>
      </c>
      <c r="O2771">
        <v>61.6</v>
      </c>
      <c r="P2771" t="s">
        <v>10238</v>
      </c>
    </row>
    <row r="2772" spans="1:16" ht="14.4" x14ac:dyDescent="0.3">
      <c r="A2772">
        <v>190841</v>
      </c>
      <c r="B2772" t="str">
        <f t="shared" si="86"/>
        <v>SEVROLL zestaw okuć ZSE-18 U Plus</v>
      </c>
      <c r="C2772" s="185" t="e">
        <f t="shared" si="87"/>
        <v>#N/A</v>
      </c>
      <c r="D2772" s="407" t="s">
        <v>1699</v>
      </c>
      <c r="E2772" s="407" t="s">
        <v>2131</v>
      </c>
      <c r="F2772" s="407" t="s">
        <v>6129</v>
      </c>
      <c r="G2772" s="407" t="s">
        <v>2607</v>
      </c>
      <c r="H2772" s="460" t="e">
        <v>#N/A</v>
      </c>
      <c r="I2772" s="460" t="e">
        <v>#N/A</v>
      </c>
      <c r="J2772" s="460" t="e">
        <v>#N/A</v>
      </c>
      <c r="K2772" s="460" t="e">
        <v>#N/A</v>
      </c>
      <c r="L2772" s="459" t="e">
        <v>#N/A</v>
      </c>
      <c r="O2772">
        <v>61.82</v>
      </c>
      <c r="P2772" t="s">
        <v>10239</v>
      </c>
    </row>
    <row r="2773" spans="1:16" ht="14.4" x14ac:dyDescent="0.3">
      <c r="A2773">
        <v>191011</v>
      </c>
      <c r="B2773" t="str">
        <f t="shared" si="86"/>
        <v>SEVROLL Micra tor górny / dolny 1,7 m oliwka</v>
      </c>
      <c r="C2773" s="185">
        <f t="shared" si="87"/>
        <v>13.780720000000001</v>
      </c>
      <c r="D2773" s="407" t="s">
        <v>2930</v>
      </c>
      <c r="E2773" s="407" t="s">
        <v>3613</v>
      </c>
      <c r="F2773" s="407" t="s">
        <v>3614</v>
      </c>
      <c r="G2773" s="407" t="s">
        <v>3615</v>
      </c>
      <c r="H2773" s="460">
        <v>111.45717999999999</v>
      </c>
      <c r="I2773" s="460">
        <v>4.0074800000000002</v>
      </c>
      <c r="J2773" s="460">
        <v>13.780720000000001</v>
      </c>
      <c r="K2773" s="460">
        <v>1542.42202</v>
      </c>
      <c r="L2773" s="459" t="s">
        <v>539</v>
      </c>
      <c r="O2773">
        <v>3.3879999999999999</v>
      </c>
      <c r="P2773" t="s">
        <v>8868</v>
      </c>
    </row>
    <row r="2774" spans="1:16" ht="14.4" x14ac:dyDescent="0.3">
      <c r="A2774">
        <v>191013</v>
      </c>
      <c r="B2774" t="str">
        <f t="shared" si="86"/>
        <v>SEVROLL Micra tor górny / dolny 2,35 m oliwka</v>
      </c>
      <c r="C2774" s="185">
        <f t="shared" si="87"/>
        <v>19.06033</v>
      </c>
      <c r="D2774" s="407" t="s">
        <v>2931</v>
      </c>
      <c r="E2774" s="407" t="s">
        <v>3709</v>
      </c>
      <c r="F2774" s="407" t="s">
        <v>3710</v>
      </c>
      <c r="G2774" s="407" t="s">
        <v>3711</v>
      </c>
      <c r="H2774" s="460">
        <v>154.15831</v>
      </c>
      <c r="I2774" s="460">
        <v>5.5428100000000002</v>
      </c>
      <c r="J2774" s="460">
        <v>19.06033</v>
      </c>
      <c r="K2774" s="460">
        <v>2133.3496399999999</v>
      </c>
      <c r="L2774" s="459" t="s">
        <v>539</v>
      </c>
      <c r="O2774">
        <v>4.6859999999999999</v>
      </c>
      <c r="P2774" t="s">
        <v>8901</v>
      </c>
    </row>
    <row r="2775" spans="1:16" ht="14.4" x14ac:dyDescent="0.3">
      <c r="A2775">
        <v>191638</v>
      </c>
      <c r="B2775" t="str">
        <f t="shared" si="86"/>
        <v>SEVROLL Top tor górny pojedyńczy 3m srebrny</v>
      </c>
      <c r="C2775" s="185">
        <f t="shared" si="87"/>
        <v>116.4534</v>
      </c>
      <c r="D2775" s="407" t="s">
        <v>2932</v>
      </c>
      <c r="E2775" s="407" t="s">
        <v>4856</v>
      </c>
      <c r="F2775" s="407" t="s">
        <v>4857</v>
      </c>
      <c r="G2775" s="407" t="s">
        <v>4858</v>
      </c>
      <c r="H2775" s="460">
        <v>928.56865000000005</v>
      </c>
      <c r="I2775" s="460">
        <v>33.387</v>
      </c>
      <c r="J2775" s="460">
        <v>116.4534</v>
      </c>
      <c r="K2775" s="460">
        <v>12850.1769</v>
      </c>
      <c r="L2775" s="459" t="s">
        <v>539</v>
      </c>
      <c r="O2775">
        <v>31.262</v>
      </c>
      <c r="P2775" t="s">
        <v>9264</v>
      </c>
    </row>
    <row r="2776" spans="1:16" ht="14.4" x14ac:dyDescent="0.3">
      <c r="A2776">
        <v>191639</v>
      </c>
      <c r="B2776" t="str">
        <f t="shared" si="86"/>
        <v>SEVROLL Top tor górny pojedynczy 3 m oliwka</v>
      </c>
      <c r="C2776" s="185">
        <f t="shared" si="87"/>
        <v>139.59678</v>
      </c>
      <c r="D2776" s="407" t="s">
        <v>2933</v>
      </c>
      <c r="E2776" s="407" t="s">
        <v>4899</v>
      </c>
      <c r="F2776" s="407" t="s">
        <v>4900</v>
      </c>
      <c r="G2776" s="407" t="s">
        <v>4901</v>
      </c>
      <c r="H2776" s="460">
        <v>1129.0468499999999</v>
      </c>
      <c r="I2776" s="460">
        <v>40.595260000000003</v>
      </c>
      <c r="J2776" s="460">
        <v>139.59678</v>
      </c>
      <c r="K2776" s="460">
        <v>15624.533219999999</v>
      </c>
      <c r="L2776" s="459" t="s">
        <v>539</v>
      </c>
      <c r="O2776">
        <v>34.363999999999997</v>
      </c>
      <c r="P2776" t="s">
        <v>9274</v>
      </c>
    </row>
    <row r="2777" spans="1:16" ht="14.4" x14ac:dyDescent="0.3">
      <c r="A2777">
        <v>191641</v>
      </c>
      <c r="B2777" t="str">
        <f t="shared" si="86"/>
        <v>SEVROLL Top tor górny pojedynczy 6 m srebrny</v>
      </c>
      <c r="C2777" s="185">
        <f t="shared" si="87"/>
        <v>0</v>
      </c>
      <c r="D2777" s="407" t="s">
        <v>2934</v>
      </c>
      <c r="E2777" s="407" t="s">
        <v>5043</v>
      </c>
      <c r="F2777" s="407" t="s">
        <v>5044</v>
      </c>
      <c r="G2777" s="407" t="s">
        <v>5045</v>
      </c>
      <c r="H2777" s="460">
        <v>1855.6898100000001</v>
      </c>
      <c r="I2777" s="460">
        <v>66.721950000000007</v>
      </c>
      <c r="J2777" s="460">
        <v>0</v>
      </c>
      <c r="K2777" s="460">
        <v>25680.322690000001</v>
      </c>
      <c r="L2777" s="459" t="s">
        <v>539</v>
      </c>
      <c r="O2777">
        <v>62.502000000000002</v>
      </c>
      <c r="P2777" t="s">
        <v>9306</v>
      </c>
    </row>
    <row r="2778" spans="1:16" ht="14.4" x14ac:dyDescent="0.3">
      <c r="A2778">
        <v>191642</v>
      </c>
      <c r="B2778" t="str">
        <f t="shared" si="86"/>
        <v>SEVROLL Top tor górny pojedynczy 6 m oliwka</v>
      </c>
      <c r="C2778" s="185" t="e">
        <f t="shared" si="87"/>
        <v>#N/A</v>
      </c>
      <c r="D2778" s="407" t="s">
        <v>2935</v>
      </c>
      <c r="E2778" s="407" t="s">
        <v>5064</v>
      </c>
      <c r="F2778" s="407" t="s">
        <v>5065</v>
      </c>
      <c r="G2778" s="407" t="s">
        <v>5066</v>
      </c>
      <c r="H2778" s="460" t="e">
        <v>#N/A</v>
      </c>
      <c r="I2778" s="460" t="e">
        <v>#N/A</v>
      </c>
      <c r="J2778" s="460" t="e">
        <v>#N/A</v>
      </c>
      <c r="K2778" s="460" t="e">
        <v>#N/A</v>
      </c>
      <c r="L2778" s="459" t="e">
        <v>#N/A</v>
      </c>
      <c r="O2778">
        <v>68.727999999999994</v>
      </c>
      <c r="P2778" t="s">
        <v>9309</v>
      </c>
    </row>
    <row r="2779" spans="1:16" ht="14.4" x14ac:dyDescent="0.3">
      <c r="A2779">
        <v>191699</v>
      </c>
      <c r="B2779" t="str">
        <f t="shared" si="86"/>
        <v>SEVROLL Victoria II rączka 2,7m jasny brąz szczotkowany</v>
      </c>
      <c r="C2779" s="185">
        <f t="shared" si="87"/>
        <v>82.505279999999999</v>
      </c>
      <c r="D2779" s="407" t="s">
        <v>2936</v>
      </c>
      <c r="E2779" s="407" t="s">
        <v>4616</v>
      </c>
      <c r="F2779" s="407" t="s">
        <v>2936</v>
      </c>
      <c r="G2779" s="407" t="s">
        <v>4617</v>
      </c>
      <c r="H2779" s="460">
        <v>667.29562999999996</v>
      </c>
      <c r="I2779" s="460">
        <v>23.992840000000001</v>
      </c>
      <c r="J2779" s="460">
        <v>82.505279999999999</v>
      </c>
      <c r="K2779" s="460">
        <v>9234.4998200000009</v>
      </c>
      <c r="L2779" s="459" t="s">
        <v>538</v>
      </c>
      <c r="O2779">
        <v>21.34</v>
      </c>
      <c r="P2779" t="s">
        <v>9189</v>
      </c>
    </row>
    <row r="2780" spans="1:16" ht="14.4" x14ac:dyDescent="0.3">
      <c r="A2780">
        <v>191700</v>
      </c>
      <c r="B2780" t="str">
        <f t="shared" si="86"/>
        <v>SEVROLL kątownik K2 Decor 1,7 m jasny brąz szczotkowany</v>
      </c>
      <c r="C2780" s="185">
        <f t="shared" si="87"/>
        <v>16.82321</v>
      </c>
      <c r="D2780" s="407" t="s">
        <v>2937</v>
      </c>
      <c r="E2780" s="407" t="s">
        <v>3679</v>
      </c>
      <c r="F2780" s="407" t="s">
        <v>1197</v>
      </c>
      <c r="G2780" s="407" t="s">
        <v>3680</v>
      </c>
      <c r="H2780" s="460">
        <v>136.06462999999999</v>
      </c>
      <c r="I2780" s="460">
        <v>4.8922499999999998</v>
      </c>
      <c r="J2780" s="460">
        <v>16.82321</v>
      </c>
      <c r="K2780" s="460">
        <v>1882.95649</v>
      </c>
      <c r="L2780" s="459" t="s">
        <v>539</v>
      </c>
      <c r="O2780">
        <v>4.3120000000000003</v>
      </c>
      <c r="P2780" t="s">
        <v>8892</v>
      </c>
    </row>
    <row r="2781" spans="1:16" ht="14.4" x14ac:dyDescent="0.3">
      <c r="A2781">
        <v>191701</v>
      </c>
      <c r="B2781" t="str">
        <f t="shared" si="86"/>
        <v>SEVROLL kątownik K2 Decor 2,35 m jasny brąz szczotkowany</v>
      </c>
      <c r="C2781" s="185">
        <f t="shared" si="87"/>
        <v>23.26613</v>
      </c>
      <c r="D2781" s="407" t="s">
        <v>2938</v>
      </c>
      <c r="E2781" s="407" t="s">
        <v>3809</v>
      </c>
      <c r="F2781" s="407" t="s">
        <v>1196</v>
      </c>
      <c r="G2781" s="407" t="s">
        <v>3810</v>
      </c>
      <c r="H2781" s="460">
        <v>188.17447000000001</v>
      </c>
      <c r="I2781" s="460">
        <v>6.7658800000000001</v>
      </c>
      <c r="J2781" s="460">
        <v>23.26613</v>
      </c>
      <c r="K2781" s="460">
        <v>2604.08887</v>
      </c>
      <c r="L2781" s="459" t="s">
        <v>538</v>
      </c>
      <c r="O2781">
        <v>6.0279999999999996</v>
      </c>
      <c r="P2781" t="s">
        <v>8935</v>
      </c>
    </row>
    <row r="2782" spans="1:16" ht="14.4" x14ac:dyDescent="0.3">
      <c r="A2782">
        <v>191702</v>
      </c>
      <c r="B2782" t="str">
        <f t="shared" si="86"/>
        <v>SEVROLL kątownik K2 Decor 3 m jasny brąz szczotkowany</v>
      </c>
      <c r="C2782" s="185">
        <f t="shared" si="87"/>
        <v>31.558800000000002</v>
      </c>
      <c r="D2782" s="407" t="s">
        <v>2939</v>
      </c>
      <c r="E2782" s="407" t="s">
        <v>4010</v>
      </c>
      <c r="F2782" s="407" t="s">
        <v>1195</v>
      </c>
      <c r="G2782" s="407" t="s">
        <v>4011</v>
      </c>
      <c r="H2782" s="460">
        <v>240.28432000000001</v>
      </c>
      <c r="I2782" s="460">
        <v>8.6395</v>
      </c>
      <c r="J2782" s="460">
        <v>31.558800000000002</v>
      </c>
      <c r="K2782" s="460">
        <v>3325.2212399999999</v>
      </c>
      <c r="L2782" s="459" t="s">
        <v>539</v>
      </c>
      <c r="O2782">
        <v>7.968</v>
      </c>
      <c r="P2782" t="s">
        <v>9002</v>
      </c>
    </row>
    <row r="2783" spans="1:16" ht="14.4" x14ac:dyDescent="0.3">
      <c r="A2783">
        <v>191704</v>
      </c>
      <c r="B2783" t="str">
        <f t="shared" si="86"/>
        <v>SEVROLL listwa łącząca H18 3m jasny brąz szczotkowany</v>
      </c>
      <c r="C2783" s="185">
        <f t="shared" si="87"/>
        <v>67.391400000000004</v>
      </c>
      <c r="D2783" s="407" t="s">
        <v>2940</v>
      </c>
      <c r="E2783" s="407" t="s">
        <v>5584</v>
      </c>
      <c r="F2783" s="407" t="s">
        <v>1203</v>
      </c>
      <c r="G2783" s="407" t="s">
        <v>5585</v>
      </c>
      <c r="H2783" s="460">
        <v>538.46848999999997</v>
      </c>
      <c r="I2783" s="460">
        <v>19.360810000000001</v>
      </c>
      <c r="J2783" s="460">
        <v>67.391400000000004</v>
      </c>
      <c r="K2783" s="460">
        <v>7451.7006300000003</v>
      </c>
      <c r="L2783" s="459" t="s">
        <v>538</v>
      </c>
      <c r="O2783">
        <v>17.225999999999999</v>
      </c>
      <c r="P2783" t="s">
        <v>9492</v>
      </c>
    </row>
    <row r="2784" spans="1:16" ht="14.4" x14ac:dyDescent="0.3">
      <c r="A2784">
        <v>196709</v>
      </c>
      <c r="B2784" t="str">
        <f t="shared" si="86"/>
        <v>Sevroll Lux III rączka 2,7 m jasny brąz</v>
      </c>
      <c r="C2784" s="185" t="e">
        <f t="shared" si="87"/>
        <v>#N/A</v>
      </c>
      <c r="D2784" s="407" t="s">
        <v>2941</v>
      </c>
      <c r="E2784" s="407" t="s">
        <v>4702</v>
      </c>
      <c r="F2784" s="407" t="s">
        <v>2941</v>
      </c>
      <c r="G2784" s="407" t="s">
        <v>4703</v>
      </c>
      <c r="H2784" s="460" t="e">
        <v>#N/A</v>
      </c>
      <c r="I2784" s="460" t="e">
        <v>#N/A</v>
      </c>
      <c r="J2784" s="460" t="e">
        <v>#N/A</v>
      </c>
      <c r="K2784" s="460" t="e">
        <v>#N/A</v>
      </c>
      <c r="L2784" s="459" t="e">
        <v>#N/A</v>
      </c>
      <c r="O2784">
        <v>0</v>
      </c>
      <c r="P2784" t="s">
        <v>9217</v>
      </c>
    </row>
    <row r="2785" spans="1:16" ht="14.4" x14ac:dyDescent="0.3">
      <c r="A2785">
        <v>196711</v>
      </c>
      <c r="B2785" t="str">
        <f t="shared" si="86"/>
        <v>Sevroll Lux III rączka 2,7 m srebrna</v>
      </c>
      <c r="C2785" s="185">
        <f t="shared" si="87"/>
        <v>102.72564</v>
      </c>
      <c r="D2785" s="407" t="s">
        <v>2942</v>
      </c>
      <c r="E2785" s="407" t="s">
        <v>4641</v>
      </c>
      <c r="F2785" s="407" t="s">
        <v>4642</v>
      </c>
      <c r="G2785" s="407" t="s">
        <v>4643</v>
      </c>
      <c r="H2785" s="460">
        <v>688.28432999999995</v>
      </c>
      <c r="I2785" s="460">
        <v>24.747489999999999</v>
      </c>
      <c r="J2785" s="460">
        <v>102.72564</v>
      </c>
      <c r="K2785" s="460">
        <v>9524.9556599999996</v>
      </c>
      <c r="L2785" s="459" t="s">
        <v>538</v>
      </c>
      <c r="O2785">
        <v>22.021999999999998</v>
      </c>
      <c r="P2785" t="s">
        <v>9196</v>
      </c>
    </row>
    <row r="2786" spans="1:16" ht="14.4" x14ac:dyDescent="0.3">
      <c r="A2786">
        <v>196947</v>
      </c>
      <c r="B2786" t="str">
        <f t="shared" si="86"/>
        <v>SEVROLL szczotka odbojowa bez kleju 4,8x6mm</v>
      </c>
      <c r="C2786" s="185">
        <f t="shared" si="87"/>
        <v>0.54059999999999997</v>
      </c>
      <c r="D2786" s="407" t="s">
        <v>2943</v>
      </c>
      <c r="E2786" s="407" t="s">
        <v>5137</v>
      </c>
      <c r="F2786" s="407" t="s">
        <v>5138</v>
      </c>
      <c r="G2786" s="407" t="s">
        <v>5139</v>
      </c>
      <c r="H2786" s="460">
        <v>4.0809699999999998</v>
      </c>
      <c r="I2786" s="460">
        <v>0.13933000000000001</v>
      </c>
      <c r="J2786" s="460">
        <v>0.54059999999999997</v>
      </c>
      <c r="K2786" s="460">
        <v>54.202759999999998</v>
      </c>
      <c r="L2786" s="459" t="s">
        <v>538</v>
      </c>
      <c r="O2786">
        <v>0.13200000000000001</v>
      </c>
      <c r="P2786" t="s">
        <v>9335</v>
      </c>
    </row>
    <row r="2787" spans="1:16" ht="14.4" x14ac:dyDescent="0.3">
      <c r="A2787">
        <v>197377</v>
      </c>
      <c r="B2787" t="str">
        <f t="shared" si="86"/>
        <v>SEVROLL Maxim tor górny 6 m srebrny</v>
      </c>
      <c r="C2787" s="185" t="e">
        <f t="shared" si="87"/>
        <v>#N/A</v>
      </c>
      <c r="D2787" s="407" t="s">
        <v>2944</v>
      </c>
      <c r="E2787" s="407" t="s">
        <v>5046</v>
      </c>
      <c r="F2787" s="407" t="s">
        <v>5047</v>
      </c>
      <c r="G2787" s="407" t="s">
        <v>5048</v>
      </c>
      <c r="H2787" s="460" t="e">
        <v>#N/A</v>
      </c>
      <c r="I2787" s="460" t="e">
        <v>#N/A</v>
      </c>
      <c r="J2787" s="460" t="e">
        <v>#N/A</v>
      </c>
      <c r="K2787" s="460" t="e">
        <v>#N/A</v>
      </c>
      <c r="L2787" s="459" t="e">
        <v>#N/A</v>
      </c>
      <c r="O2787" t="e">
        <v>#N/A</v>
      </c>
      <c r="P2787" t="e">
        <v>#N/A</v>
      </c>
    </row>
    <row r="2788" spans="1:16" ht="14.4" x14ac:dyDescent="0.3">
      <c r="A2788">
        <v>197744</v>
      </c>
      <c r="B2788" t="str">
        <f t="shared" si="86"/>
        <v>SEVROLL Optima 18 rączka 2,4 m srebrna</v>
      </c>
      <c r="C2788" s="185">
        <f t="shared" si="87"/>
        <v>46.800719999999998</v>
      </c>
      <c r="D2788" s="407" t="s">
        <v>2945</v>
      </c>
      <c r="E2788" s="407" t="s">
        <v>4260</v>
      </c>
      <c r="F2788" s="407" t="s">
        <v>4261</v>
      </c>
      <c r="G2788" s="407" t="s">
        <v>4262</v>
      </c>
      <c r="H2788" s="460">
        <v>378.52019000000001</v>
      </c>
      <c r="I2788" s="460">
        <v>13.609819999999999</v>
      </c>
      <c r="J2788" s="460">
        <v>46.800719999999998</v>
      </c>
      <c r="K2788" s="460">
        <v>5238.2248399999999</v>
      </c>
      <c r="L2788" s="459" t="s">
        <v>539</v>
      </c>
      <c r="O2788">
        <v>12.1</v>
      </c>
      <c r="P2788" t="s">
        <v>9080</v>
      </c>
    </row>
    <row r="2789" spans="1:16" ht="14.4" x14ac:dyDescent="0.3">
      <c r="A2789">
        <v>197745</v>
      </c>
      <c r="B2789" t="str">
        <f t="shared" si="86"/>
        <v>SEVROLL Optima tor dolny 2m surowy</v>
      </c>
      <c r="C2789" s="185">
        <f t="shared" si="87"/>
        <v>28.63524</v>
      </c>
      <c r="D2789" s="407" t="s">
        <v>2946</v>
      </c>
      <c r="E2789" s="407" t="s">
        <v>3932</v>
      </c>
      <c r="F2789" s="407" t="s">
        <v>3933</v>
      </c>
      <c r="G2789" s="407" t="s">
        <v>3934</v>
      </c>
      <c r="H2789" s="460">
        <v>231.59934999999999</v>
      </c>
      <c r="I2789" s="460">
        <v>8.3272300000000001</v>
      </c>
      <c r="J2789" s="460">
        <v>28.63524</v>
      </c>
      <c r="K2789" s="460">
        <v>3205.0324500000002</v>
      </c>
      <c r="L2789" s="459" t="s">
        <v>539</v>
      </c>
      <c r="O2789">
        <v>7.4139999999999997</v>
      </c>
      <c r="P2789" t="s">
        <v>8977</v>
      </c>
    </row>
    <row r="2790" spans="1:16" ht="14.4" x14ac:dyDescent="0.3">
      <c r="A2790">
        <v>197746</v>
      </c>
      <c r="B2790" t="str">
        <f t="shared" si="86"/>
        <v>SEVROLL Optima tor dolny 2,4m surowy</v>
      </c>
      <c r="C2790" s="185" t="e">
        <f t="shared" si="87"/>
        <v>#N/A</v>
      </c>
      <c r="D2790" s="407" t="s">
        <v>2947</v>
      </c>
      <c r="E2790" s="407" t="s">
        <v>4050</v>
      </c>
      <c r="F2790" s="407" t="s">
        <v>4051</v>
      </c>
      <c r="G2790" s="407" t="s">
        <v>4052</v>
      </c>
      <c r="H2790" s="460" t="e">
        <v>#N/A</v>
      </c>
      <c r="I2790" s="460" t="e">
        <v>#N/A</v>
      </c>
      <c r="J2790" s="460" t="e">
        <v>#N/A</v>
      </c>
      <c r="K2790" s="460" t="e">
        <v>#N/A</v>
      </c>
      <c r="L2790" s="459" t="e">
        <v>#N/A</v>
      </c>
      <c r="O2790">
        <v>8.8879999999999999</v>
      </c>
      <c r="P2790" t="s">
        <v>9016</v>
      </c>
    </row>
    <row r="2791" spans="1:16" ht="14.4" x14ac:dyDescent="0.3">
      <c r="A2791">
        <v>197747</v>
      </c>
      <c r="B2791" t="str">
        <f t="shared" si="86"/>
        <v>SEVROLL Optima tor górny 2m srebrny</v>
      </c>
      <c r="C2791" s="185">
        <f t="shared" si="87"/>
        <v>85.741200000000006</v>
      </c>
      <c r="D2791" s="407" t="s">
        <v>2948</v>
      </c>
      <c r="E2791" s="407" t="s">
        <v>4687</v>
      </c>
      <c r="F2791" s="407" t="s">
        <v>4688</v>
      </c>
      <c r="G2791" s="407" t="s">
        <v>4689</v>
      </c>
      <c r="H2791" s="460">
        <v>683.21807999999999</v>
      </c>
      <c r="I2791" s="460">
        <v>24.565329999999999</v>
      </c>
      <c r="J2791" s="460">
        <v>85.741200000000006</v>
      </c>
      <c r="K2791" s="460">
        <v>9454.8458900000005</v>
      </c>
      <c r="L2791" s="459" t="s">
        <v>539</v>
      </c>
      <c r="O2791">
        <v>23.012</v>
      </c>
      <c r="P2791" t="s">
        <v>9211</v>
      </c>
    </row>
    <row r="2792" spans="1:16" ht="14.4" x14ac:dyDescent="0.3">
      <c r="A2792">
        <v>197748</v>
      </c>
      <c r="B2792" t="str">
        <f t="shared" si="86"/>
        <v>SEVROLL Optima tor górny 2,4m srebrny</v>
      </c>
      <c r="C2792" s="185">
        <f t="shared" si="87"/>
        <v>102.816</v>
      </c>
      <c r="D2792" s="407" t="s">
        <v>2949</v>
      </c>
      <c r="E2792" s="407" t="s">
        <v>4785</v>
      </c>
      <c r="F2792" s="407" t="s">
        <v>4786</v>
      </c>
      <c r="G2792" s="407" t="s">
        <v>4787</v>
      </c>
      <c r="H2792" s="460">
        <v>819.28270999999995</v>
      </c>
      <c r="I2792" s="460">
        <v>29.45758</v>
      </c>
      <c r="J2792" s="460">
        <v>102.816</v>
      </c>
      <c r="K2792" s="460">
        <v>11337.802379999999</v>
      </c>
      <c r="L2792" s="459" t="s">
        <v>539</v>
      </c>
      <c r="O2792">
        <v>27.61</v>
      </c>
      <c r="P2792" t="s">
        <v>9242</v>
      </c>
    </row>
    <row r="2793" spans="1:16" ht="14.4" x14ac:dyDescent="0.3">
      <c r="A2793">
        <v>197749</v>
      </c>
      <c r="B2793" t="str">
        <f t="shared" si="86"/>
        <v>SEVROLL Optima II zestaw okuć (dwa skrzydła drzwiowe)</v>
      </c>
      <c r="C2793" s="185">
        <f t="shared" si="87"/>
        <v>92.830200000000005</v>
      </c>
      <c r="D2793" s="407" t="s">
        <v>2950</v>
      </c>
      <c r="E2793" s="407" t="s">
        <v>4812</v>
      </c>
      <c r="F2793" s="407" t="s">
        <v>4813</v>
      </c>
      <c r="G2793" s="407" t="s">
        <v>4814</v>
      </c>
      <c r="H2793" s="460">
        <v>739.67043000000001</v>
      </c>
      <c r="I2793" s="460">
        <v>26.60031</v>
      </c>
      <c r="J2793" s="460">
        <v>92.830200000000005</v>
      </c>
      <c r="K2793" s="460">
        <v>10236.072480000001</v>
      </c>
      <c r="L2793" s="459" t="s">
        <v>539</v>
      </c>
      <c r="O2793">
        <v>24.925999999999998</v>
      </c>
      <c r="P2793" t="s">
        <v>9252</v>
      </c>
    </row>
    <row r="2794" spans="1:16" ht="14.4" x14ac:dyDescent="0.3">
      <c r="A2794">
        <v>197753</v>
      </c>
      <c r="B2794" t="str">
        <f t="shared" si="86"/>
        <v>SEVROLL Hide N tor dolny 3m srebrny</v>
      </c>
      <c r="C2794" s="185">
        <f t="shared" si="87"/>
        <v>43.414319999999996</v>
      </c>
      <c r="D2794" s="407" t="s">
        <v>2951</v>
      </c>
      <c r="E2794" s="407" t="s">
        <v>4215</v>
      </c>
      <c r="F2794" s="407" t="s">
        <v>1243</v>
      </c>
      <c r="G2794" s="407" t="s">
        <v>4216</v>
      </c>
      <c r="H2794" s="460">
        <v>337.36288999999999</v>
      </c>
      <c r="I2794" s="460">
        <v>12.72505</v>
      </c>
      <c r="J2794" s="460">
        <v>43.414319999999996</v>
      </c>
      <c r="K2794" s="460">
        <v>4801.6572299999998</v>
      </c>
      <c r="L2794" s="459" t="s">
        <v>538</v>
      </c>
      <c r="O2794">
        <v>11.88</v>
      </c>
      <c r="P2794" t="s">
        <v>9066</v>
      </c>
    </row>
    <row r="2795" spans="1:16" ht="14.4" x14ac:dyDescent="0.3">
      <c r="A2795">
        <v>197755</v>
      </c>
      <c r="B2795" t="str">
        <f t="shared" si="86"/>
        <v>SEVROLL Hide N tor dolny 3 m oliwka</v>
      </c>
      <c r="C2795" s="185">
        <f t="shared" si="87"/>
        <v>50.871980000000001</v>
      </c>
      <c r="D2795" s="407" t="s">
        <v>2952</v>
      </c>
      <c r="E2795" s="407" t="s">
        <v>4248</v>
      </c>
      <c r="F2795" s="407" t="s">
        <v>4249</v>
      </c>
      <c r="G2795" s="407" t="s">
        <v>4250</v>
      </c>
      <c r="H2795" s="460">
        <v>395.31477999999998</v>
      </c>
      <c r="I2795" s="460">
        <v>14.91095</v>
      </c>
      <c r="J2795" s="460">
        <v>50.871980000000001</v>
      </c>
      <c r="K2795" s="460">
        <v>5626.48153</v>
      </c>
      <c r="L2795" s="459" t="s">
        <v>539</v>
      </c>
      <c r="O2795">
        <v>12.694000000000001</v>
      </c>
      <c r="P2795" t="s">
        <v>9077</v>
      </c>
    </row>
    <row r="2796" spans="1:16" ht="14.4" x14ac:dyDescent="0.3">
      <c r="A2796">
        <v>203925</v>
      </c>
      <c r="B2796" t="str">
        <f t="shared" si="86"/>
        <v>SEVROLL Wilson A komplet półek</v>
      </c>
      <c r="C2796" s="185" t="e">
        <f t="shared" si="87"/>
        <v>#N/A</v>
      </c>
      <c r="D2796" s="407" t="s">
        <v>1709</v>
      </c>
      <c r="E2796" s="407" t="s">
        <v>2141</v>
      </c>
      <c r="F2796" s="407" t="s">
        <v>2304</v>
      </c>
      <c r="G2796" s="407" t="s">
        <v>2615</v>
      </c>
      <c r="H2796" s="460" t="e">
        <v>#N/A</v>
      </c>
      <c r="I2796" s="460" t="e">
        <v>#N/A</v>
      </c>
      <c r="J2796" s="460" t="e">
        <v>#N/A</v>
      </c>
      <c r="K2796" s="460" t="e">
        <v>#N/A</v>
      </c>
      <c r="L2796" s="459" t="e">
        <v>#N/A</v>
      </c>
      <c r="O2796" t="e">
        <v>#N/A</v>
      </c>
      <c r="P2796" t="e">
        <v>#N/A</v>
      </c>
    </row>
    <row r="2797" spans="1:16" ht="14.4" x14ac:dyDescent="0.3">
      <c r="A2797">
        <v>203926</v>
      </c>
      <c r="B2797" t="str">
        <f t="shared" si="86"/>
        <v>SEVROLL Wilson B komplet półek</v>
      </c>
      <c r="C2797" s="185" t="e">
        <f t="shared" si="87"/>
        <v>#N/A</v>
      </c>
      <c r="D2797" s="407" t="s">
        <v>1710</v>
      </c>
      <c r="E2797" s="407" t="s">
        <v>2142</v>
      </c>
      <c r="F2797" s="407" t="s">
        <v>2305</v>
      </c>
      <c r="G2797" s="407" t="s">
        <v>2616</v>
      </c>
      <c r="H2797" s="460" t="e">
        <v>#N/A</v>
      </c>
      <c r="I2797" s="460" t="e">
        <v>#N/A</v>
      </c>
      <c r="J2797" s="460" t="e">
        <v>#N/A</v>
      </c>
      <c r="K2797" s="460" t="e">
        <v>#N/A</v>
      </c>
      <c r="L2797" s="459" t="e">
        <v>#N/A</v>
      </c>
      <c r="O2797" t="e">
        <v>#N/A</v>
      </c>
      <c r="P2797" t="e">
        <v>#N/A</v>
      </c>
    </row>
    <row r="2798" spans="1:16" ht="14.4" x14ac:dyDescent="0.3">
      <c r="A2798">
        <v>203927</v>
      </c>
      <c r="B2798" t="str">
        <f t="shared" si="86"/>
        <v>SEVROLL Wilson C komplet półek</v>
      </c>
      <c r="C2798" s="185" t="e">
        <f t="shared" si="87"/>
        <v>#N/A</v>
      </c>
      <c r="D2798" s="407" t="s">
        <v>1711</v>
      </c>
      <c r="E2798" s="407" t="s">
        <v>2143</v>
      </c>
      <c r="F2798" s="407" t="s">
        <v>2306</v>
      </c>
      <c r="G2798" s="407" t="s">
        <v>2617</v>
      </c>
      <c r="H2798" s="460" t="e">
        <v>#N/A</v>
      </c>
      <c r="I2798" s="460" t="e">
        <v>#N/A</v>
      </c>
      <c r="J2798" s="460" t="e">
        <v>#N/A</v>
      </c>
      <c r="K2798" s="460" t="e">
        <v>#N/A</v>
      </c>
      <c r="L2798" s="459" t="e">
        <v>#N/A</v>
      </c>
      <c r="O2798" t="e">
        <v>#N/A</v>
      </c>
      <c r="P2798" t="e">
        <v>#N/A</v>
      </c>
    </row>
    <row r="2799" spans="1:16" ht="14.4" x14ac:dyDescent="0.3">
      <c r="A2799">
        <v>203928</v>
      </c>
      <c r="B2799" t="str">
        <f t="shared" si="86"/>
        <v>SEVROLL Wilson D komplet półek</v>
      </c>
      <c r="C2799" s="185" t="e">
        <f t="shared" si="87"/>
        <v>#N/A</v>
      </c>
      <c r="D2799" s="407" t="s">
        <v>1712</v>
      </c>
      <c r="E2799" s="407" t="s">
        <v>2144</v>
      </c>
      <c r="F2799" s="407" t="s">
        <v>2307</v>
      </c>
      <c r="G2799" s="407" t="s">
        <v>2618</v>
      </c>
      <c r="H2799" s="460" t="e">
        <v>#N/A</v>
      </c>
      <c r="I2799" s="460" t="e">
        <v>#N/A</v>
      </c>
      <c r="J2799" s="460" t="e">
        <v>#N/A</v>
      </c>
      <c r="K2799" s="460" t="e">
        <v>#N/A</v>
      </c>
      <c r="L2799" s="459" t="e">
        <v>#N/A</v>
      </c>
      <c r="O2799" t="e">
        <v>#N/A</v>
      </c>
      <c r="P2799" t="e">
        <v>#N/A</v>
      </c>
    </row>
    <row r="2800" spans="1:16" ht="14.4" x14ac:dyDescent="0.3">
      <c r="A2800">
        <v>203930</v>
      </c>
      <c r="B2800" t="str">
        <f t="shared" si="86"/>
        <v>SEVROLL Wilson E komplet półek</v>
      </c>
      <c r="C2800" s="185" t="e">
        <f t="shared" si="87"/>
        <v>#N/A</v>
      </c>
      <c r="D2800" s="407" t="s">
        <v>1713</v>
      </c>
      <c r="E2800" s="407" t="s">
        <v>2145</v>
      </c>
      <c r="F2800" s="407" t="s">
        <v>2308</v>
      </c>
      <c r="G2800" s="407" t="s">
        <v>2619</v>
      </c>
      <c r="H2800" s="460" t="e">
        <v>#N/A</v>
      </c>
      <c r="I2800" s="460" t="e">
        <v>#N/A</v>
      </c>
      <c r="J2800" s="460" t="e">
        <v>#N/A</v>
      </c>
      <c r="K2800" s="460" t="e">
        <v>#N/A</v>
      </c>
      <c r="L2800" s="459" t="e">
        <v>#N/A</v>
      </c>
      <c r="O2800" t="e">
        <v>#N/A</v>
      </c>
      <c r="P2800" t="e">
        <v>#N/A</v>
      </c>
    </row>
    <row r="2801" spans="1:16" ht="14.4" x14ac:dyDescent="0.3">
      <c r="A2801">
        <v>203931</v>
      </c>
      <c r="B2801" t="str">
        <f t="shared" si="86"/>
        <v>SEVROLL Wilson F komplet półek</v>
      </c>
      <c r="C2801" s="185" t="e">
        <f t="shared" si="87"/>
        <v>#N/A</v>
      </c>
      <c r="D2801" s="407" t="s">
        <v>1714</v>
      </c>
      <c r="E2801" s="407" t="s">
        <v>2146</v>
      </c>
      <c r="F2801" s="407" t="s">
        <v>2309</v>
      </c>
      <c r="G2801" s="407" t="s">
        <v>2620</v>
      </c>
      <c r="H2801" s="460" t="e">
        <v>#N/A</v>
      </c>
      <c r="I2801" s="460" t="e">
        <v>#N/A</v>
      </c>
      <c r="J2801" s="460" t="e">
        <v>#N/A</v>
      </c>
      <c r="K2801" s="460" t="e">
        <v>#N/A</v>
      </c>
      <c r="L2801" s="459" t="e">
        <v>#N/A</v>
      </c>
      <c r="O2801" t="e">
        <v>#N/A</v>
      </c>
      <c r="P2801" t="e">
        <v>#N/A</v>
      </c>
    </row>
    <row r="2802" spans="1:16" ht="14.4" x14ac:dyDescent="0.3">
      <c r="A2802">
        <v>205074</v>
      </c>
      <c r="B2802" t="str">
        <f t="shared" si="86"/>
        <v>SEVROLL Fox II rączka 2,7 m koniak szczotkowany</v>
      </c>
      <c r="C2802" s="185">
        <f t="shared" si="87"/>
        <v>90.198599999999999</v>
      </c>
      <c r="D2802" s="407" t="s">
        <v>2953</v>
      </c>
      <c r="E2802" s="407" t="s">
        <v>4658</v>
      </c>
      <c r="F2802" s="407" t="s">
        <v>2953</v>
      </c>
      <c r="G2802" s="407" t="s">
        <v>4659</v>
      </c>
      <c r="H2802" s="460">
        <v>699.86431000000005</v>
      </c>
      <c r="I2802" s="460">
        <v>25.169070000000001</v>
      </c>
      <c r="J2802" s="460">
        <v>90.198599999999999</v>
      </c>
      <c r="K2802" s="460">
        <v>9685.2075299999997</v>
      </c>
      <c r="L2802" s="459" t="s">
        <v>539</v>
      </c>
      <c r="O2802">
        <v>23.122</v>
      </c>
      <c r="P2802" t="s">
        <v>9201</v>
      </c>
    </row>
    <row r="2803" spans="1:16" ht="14.4" x14ac:dyDescent="0.3">
      <c r="A2803">
        <v>205077</v>
      </c>
      <c r="B2803" t="str">
        <f t="shared" si="86"/>
        <v>SEVROLL Fox II rączka 2,7m czarny szczotkowany</v>
      </c>
      <c r="C2803" s="185">
        <f t="shared" si="87"/>
        <v>90.198599999999999</v>
      </c>
      <c r="D2803" s="407" t="s">
        <v>2954</v>
      </c>
      <c r="E2803" s="407" t="s">
        <v>5242</v>
      </c>
      <c r="F2803" s="407" t="s">
        <v>5243</v>
      </c>
      <c r="G2803" s="407" t="s">
        <v>5244</v>
      </c>
      <c r="H2803" s="460">
        <v>699.86431000000005</v>
      </c>
      <c r="I2803" s="460">
        <v>25.169070000000001</v>
      </c>
      <c r="J2803" s="460">
        <v>90.198599999999999</v>
      </c>
      <c r="K2803" s="460">
        <v>9685.2075299999997</v>
      </c>
      <c r="L2803" s="459" t="s">
        <v>538</v>
      </c>
      <c r="O2803">
        <v>23.122</v>
      </c>
      <c r="P2803" t="s">
        <v>9372</v>
      </c>
    </row>
    <row r="2804" spans="1:16" ht="14.4" x14ac:dyDescent="0.3">
      <c r="A2804">
        <v>205078</v>
      </c>
      <c r="B2804" t="str">
        <f t="shared" si="86"/>
        <v>SEVROLL Elegant II tor dolny 2,35m koniak szczotkowany</v>
      </c>
      <c r="C2804" s="185">
        <f t="shared" si="87"/>
        <v>76.367400000000004</v>
      </c>
      <c r="D2804" s="407" t="s">
        <v>2955</v>
      </c>
      <c r="E2804" s="407" t="s">
        <v>5174</v>
      </c>
      <c r="F2804" s="407" t="s">
        <v>5175</v>
      </c>
      <c r="G2804" s="407" t="s">
        <v>5176</v>
      </c>
      <c r="H2804" s="460">
        <v>597.09209999999996</v>
      </c>
      <c r="I2804" s="460">
        <v>21.464729999999999</v>
      </c>
      <c r="J2804" s="460">
        <v>76.367400000000004</v>
      </c>
      <c r="K2804" s="460">
        <v>8262.9742999999999</v>
      </c>
      <c r="L2804" s="459" t="s">
        <v>539</v>
      </c>
      <c r="O2804">
        <v>19.14</v>
      </c>
      <c r="P2804" t="s">
        <v>9348</v>
      </c>
    </row>
    <row r="2805" spans="1:16" ht="14.4" x14ac:dyDescent="0.3">
      <c r="A2805">
        <v>205079</v>
      </c>
      <c r="B2805" t="str">
        <f t="shared" si="86"/>
        <v>SEVROLL Elegant II tor dolny 2,35 m czarny szczotkowany</v>
      </c>
      <c r="C2805" s="185">
        <f t="shared" si="87"/>
        <v>76.367400000000004</v>
      </c>
      <c r="D2805" s="407" t="s">
        <v>2956</v>
      </c>
      <c r="E2805" s="407" t="s">
        <v>5168</v>
      </c>
      <c r="F2805" s="407" t="s">
        <v>5169</v>
      </c>
      <c r="G2805" s="407" t="s">
        <v>5170</v>
      </c>
      <c r="H2805" s="460">
        <v>597.09209999999996</v>
      </c>
      <c r="I2805" s="460">
        <v>21.464729999999999</v>
      </c>
      <c r="J2805" s="460">
        <v>76.367400000000004</v>
      </c>
      <c r="K2805" s="460">
        <v>8262.9742999999999</v>
      </c>
      <c r="L2805" s="459" t="s">
        <v>538</v>
      </c>
      <c r="O2805">
        <v>19.14</v>
      </c>
      <c r="P2805" t="s">
        <v>9346</v>
      </c>
    </row>
    <row r="2806" spans="1:16" ht="14.4" x14ac:dyDescent="0.3">
      <c r="A2806">
        <v>205087</v>
      </c>
      <c r="B2806" t="str">
        <f t="shared" si="86"/>
        <v>SEVROLL Elegant II tor dolny 4,05m koniak szczotkowany</v>
      </c>
      <c r="C2806" s="185">
        <f t="shared" si="87"/>
        <v>131.8554</v>
      </c>
      <c r="D2806" s="407" t="s">
        <v>2957</v>
      </c>
      <c r="E2806" s="407" t="s">
        <v>5207</v>
      </c>
      <c r="F2806" s="407" t="s">
        <v>5208</v>
      </c>
      <c r="G2806" s="407" t="s">
        <v>5209</v>
      </c>
      <c r="H2806" s="460">
        <v>1029.1696199999999</v>
      </c>
      <c r="I2806" s="460">
        <v>37.00414</v>
      </c>
      <c r="J2806" s="460">
        <v>131.8554</v>
      </c>
      <c r="K2806" s="460">
        <v>14242.36305</v>
      </c>
      <c r="L2806" s="459" t="s">
        <v>539</v>
      </c>
      <c r="O2806">
        <v>32.933999999999997</v>
      </c>
      <c r="P2806" t="s">
        <v>9359</v>
      </c>
    </row>
    <row r="2807" spans="1:16" ht="14.4" x14ac:dyDescent="0.3">
      <c r="A2807">
        <v>205088</v>
      </c>
      <c r="B2807" t="str">
        <f t="shared" si="86"/>
        <v>SEVROLL Elegant II tor dolny 4,05 m czarny szczotkowany</v>
      </c>
      <c r="C2807" s="185">
        <f t="shared" si="87"/>
        <v>131.8554</v>
      </c>
      <c r="D2807" s="407" t="s">
        <v>2958</v>
      </c>
      <c r="E2807" s="407" t="s">
        <v>5201</v>
      </c>
      <c r="F2807" s="407" t="s">
        <v>5202</v>
      </c>
      <c r="G2807" s="407" t="s">
        <v>5203</v>
      </c>
      <c r="H2807" s="460">
        <v>1029.1696199999999</v>
      </c>
      <c r="I2807" s="460">
        <v>37.00414</v>
      </c>
      <c r="J2807" s="460">
        <v>131.8554</v>
      </c>
      <c r="K2807" s="460">
        <v>14242.36305</v>
      </c>
      <c r="L2807" s="459" t="s">
        <v>538</v>
      </c>
      <c r="O2807">
        <v>32.933999999999997</v>
      </c>
      <c r="P2807" t="s">
        <v>9357</v>
      </c>
    </row>
    <row r="2808" spans="1:16" ht="14.4" x14ac:dyDescent="0.3">
      <c r="A2808">
        <v>205089</v>
      </c>
      <c r="B2808" t="str">
        <f t="shared" si="86"/>
        <v>SEVROLL Elegant II tor dolny 1,7m koniak szczotkowany</v>
      </c>
      <c r="C2808" s="185">
        <f t="shared" si="87"/>
        <v>55.386000000000003</v>
      </c>
      <c r="D2808" s="407" t="s">
        <v>2959</v>
      </c>
      <c r="E2808" s="407" t="s">
        <v>5157</v>
      </c>
      <c r="F2808" s="407" t="s">
        <v>5158</v>
      </c>
      <c r="G2808" s="407" t="s">
        <v>5159</v>
      </c>
      <c r="H2808" s="460">
        <v>432.07754999999997</v>
      </c>
      <c r="I2808" s="460">
        <v>15.535489999999999</v>
      </c>
      <c r="J2808" s="460">
        <v>55.386000000000003</v>
      </c>
      <c r="K2808" s="460">
        <v>5979.3887400000003</v>
      </c>
      <c r="L2808" s="459" t="s">
        <v>539</v>
      </c>
      <c r="O2808">
        <v>13.816000000000001</v>
      </c>
      <c r="P2808" t="s">
        <v>9342</v>
      </c>
    </row>
    <row r="2809" spans="1:16" ht="14.4" x14ac:dyDescent="0.3">
      <c r="A2809">
        <v>205090</v>
      </c>
      <c r="B2809" t="str">
        <f t="shared" si="86"/>
        <v>SEVROLL Elegant II tor dolny 1,7 m czarny szczotkowany</v>
      </c>
      <c r="C2809" s="185">
        <f t="shared" si="87"/>
        <v>55.386000000000003</v>
      </c>
      <c r="D2809" s="407" t="s">
        <v>2960</v>
      </c>
      <c r="E2809" s="407" t="s">
        <v>5148</v>
      </c>
      <c r="F2809" s="407" t="s">
        <v>5149</v>
      </c>
      <c r="G2809" s="407" t="s">
        <v>5150</v>
      </c>
      <c r="H2809" s="460">
        <v>432.07754999999997</v>
      </c>
      <c r="I2809" s="460">
        <v>15.535489999999999</v>
      </c>
      <c r="J2809" s="460">
        <v>55.386000000000003</v>
      </c>
      <c r="K2809" s="460">
        <v>5979.3887400000003</v>
      </c>
      <c r="L2809" s="459" t="s">
        <v>538</v>
      </c>
      <c r="O2809">
        <v>13.816000000000001</v>
      </c>
      <c r="P2809" t="s">
        <v>9339</v>
      </c>
    </row>
    <row r="2810" spans="1:16" ht="14.4" x14ac:dyDescent="0.3">
      <c r="A2810">
        <v>205098</v>
      </c>
      <c r="B2810" t="str">
        <f t="shared" si="86"/>
        <v>SEVROLL Elegant II tor dolny 3m koniak szczotkowany</v>
      </c>
      <c r="C2810" s="185">
        <f t="shared" si="87"/>
        <v>97.675200000000004</v>
      </c>
      <c r="D2810" s="407" t="s">
        <v>2961</v>
      </c>
      <c r="E2810" s="407" t="s">
        <v>5192</v>
      </c>
      <c r="F2810" s="407" t="s">
        <v>5193</v>
      </c>
      <c r="G2810" s="407" t="s">
        <v>5194</v>
      </c>
      <c r="H2810" s="460">
        <v>762.10661000000005</v>
      </c>
      <c r="I2810" s="460">
        <v>27.401800000000001</v>
      </c>
      <c r="J2810" s="460">
        <v>97.675200000000004</v>
      </c>
      <c r="K2810" s="460">
        <v>10546.55984</v>
      </c>
      <c r="L2810" s="459" t="s">
        <v>539</v>
      </c>
      <c r="O2810">
        <v>24.42</v>
      </c>
      <c r="P2810" t="s">
        <v>9354</v>
      </c>
    </row>
    <row r="2811" spans="1:16" ht="14.4" x14ac:dyDescent="0.3">
      <c r="A2811">
        <v>205103</v>
      </c>
      <c r="B2811" t="str">
        <f t="shared" si="86"/>
        <v>SEVROLL listwa pozioma górna 1,7 m oliwka ciemna szczotkowana</v>
      </c>
      <c r="C2811" s="185">
        <f t="shared" si="87"/>
        <v>63.382800000000003</v>
      </c>
      <c r="D2811" s="407" t="s">
        <v>2962</v>
      </c>
      <c r="E2811" s="407" t="s">
        <v>5313</v>
      </c>
      <c r="F2811" s="407" t="s">
        <v>5314</v>
      </c>
      <c r="G2811" s="407" t="s">
        <v>5315</v>
      </c>
      <c r="H2811" s="460">
        <v>364.76897000000002</v>
      </c>
      <c r="I2811" s="460">
        <v>13.11539</v>
      </c>
      <c r="J2811" s="460">
        <v>63.382800000000003</v>
      </c>
      <c r="K2811" s="460">
        <v>5047.9262699999999</v>
      </c>
      <c r="L2811" s="459" t="s">
        <v>539</v>
      </c>
      <c r="O2811">
        <v>11.682</v>
      </c>
      <c r="P2811" t="s">
        <v>9399</v>
      </c>
    </row>
    <row r="2812" spans="1:16" ht="14.4" x14ac:dyDescent="0.3">
      <c r="A2812">
        <v>205105</v>
      </c>
      <c r="B2812" t="str">
        <f t="shared" si="86"/>
        <v>SEVROLL listwa pozioma górna 1,7 m czarny szczotkowany</v>
      </c>
      <c r="C2812" s="185">
        <f t="shared" si="87"/>
        <v>63.382800000000003</v>
      </c>
      <c r="D2812" s="407" t="s">
        <v>2963</v>
      </c>
      <c r="E2812" s="407" t="s">
        <v>5305</v>
      </c>
      <c r="F2812" s="407" t="s">
        <v>5306</v>
      </c>
      <c r="G2812" s="407" t="s">
        <v>5307</v>
      </c>
      <c r="H2812" s="460">
        <v>364.76897000000002</v>
      </c>
      <c r="I2812" s="460">
        <v>13.11539</v>
      </c>
      <c r="J2812" s="460">
        <v>63.382800000000003</v>
      </c>
      <c r="K2812" s="460">
        <v>5047.9262699999999</v>
      </c>
      <c r="L2812" s="459" t="s">
        <v>538</v>
      </c>
      <c r="O2812">
        <v>11.682</v>
      </c>
      <c r="P2812" t="s">
        <v>9396</v>
      </c>
    </row>
    <row r="2813" spans="1:16" ht="14.4" x14ac:dyDescent="0.3">
      <c r="A2813">
        <v>205156</v>
      </c>
      <c r="B2813" t="str">
        <f t="shared" si="86"/>
        <v>SEVROLL listwa pozioma górna 2,35 m oliwka ciemna szczotkowana</v>
      </c>
      <c r="C2813" s="185">
        <f t="shared" si="87"/>
        <v>87.638400000000004</v>
      </c>
      <c r="D2813" s="407" t="s">
        <v>2964</v>
      </c>
      <c r="E2813" s="407" t="s">
        <v>5329</v>
      </c>
      <c r="F2813" s="407" t="s">
        <v>5330</v>
      </c>
      <c r="G2813" s="407" t="s">
        <v>5331</v>
      </c>
      <c r="H2813" s="460">
        <v>505.89983999999998</v>
      </c>
      <c r="I2813" s="460">
        <v>18.189800000000002</v>
      </c>
      <c r="J2813" s="460">
        <v>87.638400000000004</v>
      </c>
      <c r="K2813" s="460">
        <v>7000.9929199999997</v>
      </c>
      <c r="L2813" s="459" t="s">
        <v>539</v>
      </c>
      <c r="O2813">
        <v>16.192</v>
      </c>
      <c r="P2813" t="s">
        <v>9405</v>
      </c>
    </row>
    <row r="2814" spans="1:16" ht="14.4" x14ac:dyDescent="0.3">
      <c r="A2814">
        <v>205157</v>
      </c>
      <c r="B2814" t="str">
        <f t="shared" si="86"/>
        <v>SEVROLL listwa pozioma górna 2,35m czarny szczotkowany</v>
      </c>
      <c r="C2814" s="185">
        <f t="shared" si="87"/>
        <v>87.638400000000004</v>
      </c>
      <c r="D2814" s="407" t="s">
        <v>2965</v>
      </c>
      <c r="E2814" s="407" t="s">
        <v>5322</v>
      </c>
      <c r="F2814" s="407" t="s">
        <v>1241</v>
      </c>
      <c r="G2814" s="407" t="s">
        <v>5323</v>
      </c>
      <c r="H2814" s="460">
        <v>505.89983999999998</v>
      </c>
      <c r="I2814" s="460">
        <v>18.189800000000002</v>
      </c>
      <c r="J2814" s="460">
        <v>87.638400000000004</v>
      </c>
      <c r="K2814" s="460">
        <v>7000.9929199999997</v>
      </c>
      <c r="L2814" s="459" t="s">
        <v>538</v>
      </c>
      <c r="O2814">
        <v>16.192</v>
      </c>
      <c r="P2814" t="s">
        <v>9402</v>
      </c>
    </row>
    <row r="2815" spans="1:16" ht="14.4" x14ac:dyDescent="0.3">
      <c r="A2815">
        <v>205158</v>
      </c>
      <c r="B2815" t="str">
        <f t="shared" si="86"/>
        <v>SEVROLL listwa pozioma górna 3 m oliwka ciemna szczotkowana</v>
      </c>
      <c r="C2815" s="185">
        <f t="shared" si="87"/>
        <v>111.41459999999999</v>
      </c>
      <c r="D2815" s="407" t="s">
        <v>2966</v>
      </c>
      <c r="E2815" s="407" t="s">
        <v>5348</v>
      </c>
      <c r="F2815" s="407" t="s">
        <v>5349</v>
      </c>
      <c r="G2815" s="407" t="s">
        <v>5350</v>
      </c>
      <c r="H2815" s="460">
        <v>644.85945000000004</v>
      </c>
      <c r="I2815" s="460">
        <v>23.186140000000002</v>
      </c>
      <c r="J2815" s="460">
        <v>111.41459999999999</v>
      </c>
      <c r="K2815" s="460">
        <v>8924.0120800000004</v>
      </c>
      <c r="L2815" s="459" t="s">
        <v>539</v>
      </c>
      <c r="O2815">
        <v>20.635999999999999</v>
      </c>
      <c r="P2815" t="s">
        <v>9412</v>
      </c>
    </row>
    <row r="2816" spans="1:16" ht="14.4" x14ac:dyDescent="0.3">
      <c r="A2816">
        <v>205159</v>
      </c>
      <c r="B2816" t="str">
        <f t="shared" si="86"/>
        <v>SEVROLL listwa pozioma górna 3m czarny szczotkowany</v>
      </c>
      <c r="C2816" s="185">
        <f t="shared" si="87"/>
        <v>111.41459999999999</v>
      </c>
      <c r="D2816" s="407" t="s">
        <v>2967</v>
      </c>
      <c r="E2816" s="407" t="s">
        <v>5341</v>
      </c>
      <c r="F2816" s="407" t="s">
        <v>1239</v>
      </c>
      <c r="G2816" s="407" t="s">
        <v>5342</v>
      </c>
      <c r="H2816" s="460">
        <v>644.85945000000004</v>
      </c>
      <c r="I2816" s="460">
        <v>23.186140000000002</v>
      </c>
      <c r="J2816" s="460">
        <v>111.41459999999999</v>
      </c>
      <c r="K2816" s="460">
        <v>8924.0120800000004</v>
      </c>
      <c r="L2816" s="459" t="s">
        <v>538</v>
      </c>
      <c r="O2816">
        <v>20.635999999999999</v>
      </c>
      <c r="P2816" t="s">
        <v>9409</v>
      </c>
    </row>
    <row r="2817" spans="1:16" ht="14.4" x14ac:dyDescent="0.3">
      <c r="A2817">
        <v>205160</v>
      </c>
      <c r="B2817" t="str">
        <f t="shared" si="86"/>
        <v>SEVROLL listwa łącząca H10 3 m oliwka ciemna szczotkowana</v>
      </c>
      <c r="C2817" s="185" t="e">
        <f t="shared" si="87"/>
        <v>#N/A</v>
      </c>
      <c r="D2817" s="407" t="s">
        <v>2968</v>
      </c>
      <c r="E2817" s="407" t="s">
        <v>4505</v>
      </c>
      <c r="F2817" s="407" t="s">
        <v>4506</v>
      </c>
      <c r="G2817" s="407" t="s">
        <v>4507</v>
      </c>
      <c r="H2817" s="460" t="e">
        <v>#N/A</v>
      </c>
      <c r="I2817" s="460" t="e">
        <v>#N/A</v>
      </c>
      <c r="J2817" s="460" t="e">
        <v>#N/A</v>
      </c>
      <c r="K2817" s="460" t="e">
        <v>#N/A</v>
      </c>
      <c r="L2817" s="459" t="e">
        <v>#N/A</v>
      </c>
      <c r="O2817">
        <v>19.25</v>
      </c>
      <c r="P2817" t="s">
        <v>9156</v>
      </c>
    </row>
    <row r="2818" spans="1:16" ht="14.4" x14ac:dyDescent="0.3">
      <c r="A2818">
        <v>205161</v>
      </c>
      <c r="B2818" t="str">
        <f t="shared" si="86"/>
        <v>SEVROLL listwa łącząca H10 3m czarna szczotkowana</v>
      </c>
      <c r="C2818" s="185">
        <f t="shared" si="87"/>
        <v>74.362139999999997</v>
      </c>
      <c r="D2818" s="407" t="s">
        <v>2969</v>
      </c>
      <c r="E2818" s="407" t="s">
        <v>4543</v>
      </c>
      <c r="F2818" s="407" t="s">
        <v>1207</v>
      </c>
      <c r="G2818" s="407" t="s">
        <v>4544</v>
      </c>
      <c r="H2818" s="460">
        <v>601.43457000000001</v>
      </c>
      <c r="I2818" s="460">
        <v>21.624780000000001</v>
      </c>
      <c r="J2818" s="460">
        <v>74.362139999999997</v>
      </c>
      <c r="K2818" s="460">
        <v>8323.0684999999994</v>
      </c>
      <c r="L2818" s="459" t="s">
        <v>538</v>
      </c>
      <c r="O2818">
        <v>19.25</v>
      </c>
      <c r="P2818" t="s">
        <v>9169</v>
      </c>
    </row>
    <row r="2819" spans="1:16" ht="14.4" x14ac:dyDescent="0.3">
      <c r="A2819">
        <v>205162</v>
      </c>
      <c r="B2819" t="str">
        <f t="shared" si="86"/>
        <v>SEVROLL Gemini tor górny 1,7m koniak szczotkowany</v>
      </c>
      <c r="C2819" s="185">
        <f t="shared" si="87"/>
        <v>84.170400000000001</v>
      </c>
      <c r="D2819" s="407" t="s">
        <v>2970</v>
      </c>
      <c r="E2819" s="407" t="s">
        <v>5255</v>
      </c>
      <c r="F2819" s="407" t="s">
        <v>5256</v>
      </c>
      <c r="G2819" s="407" t="s">
        <v>5257</v>
      </c>
      <c r="H2819" s="460">
        <v>676.70438000000001</v>
      </c>
      <c r="I2819" s="460">
        <v>24.331130000000002</v>
      </c>
      <c r="J2819" s="460">
        <v>84.170400000000001</v>
      </c>
      <c r="K2819" s="460">
        <v>9364.7042000000001</v>
      </c>
      <c r="L2819" s="459" t="s">
        <v>539</v>
      </c>
      <c r="O2819">
        <v>22.594000000000001</v>
      </c>
      <c r="P2819" t="s">
        <v>9377</v>
      </c>
    </row>
    <row r="2820" spans="1:16" ht="14.4" x14ac:dyDescent="0.3">
      <c r="A2820">
        <v>205163</v>
      </c>
      <c r="B2820" t="str">
        <f t="shared" ref="B2820:B2883" si="88">IF($A$2=1,D2820,IF($A$2=2,F2820,IF($A$2=3,G2820,IF($A$2=4,E2820,IF($A$2&gt;4,P2820,"zadat jazyk")))))</f>
        <v>SEVROLL Gemini tor górny 1,7 m czarny szczotkowany</v>
      </c>
      <c r="C2820" s="185">
        <f t="shared" ref="C2820:C2883" si="89">IF($A$2=1,H2820,IF($A$2=2,I2820,IF($A$2=3,J2820,IF($A$2=4,K2820,IF($A$2&gt;4,O2820,"zadat jazyk")))))</f>
        <v>84.170400000000001</v>
      </c>
      <c r="D2820" s="407" t="s">
        <v>2971</v>
      </c>
      <c r="E2820" s="407" t="s">
        <v>5250</v>
      </c>
      <c r="F2820" s="407" t="s">
        <v>1166</v>
      </c>
      <c r="G2820" s="407" t="s">
        <v>5251</v>
      </c>
      <c r="H2820" s="460">
        <v>676.70438000000001</v>
      </c>
      <c r="I2820" s="460">
        <v>24.331130000000002</v>
      </c>
      <c r="J2820" s="460">
        <v>84.170400000000001</v>
      </c>
      <c r="K2820" s="460">
        <v>9364.7042000000001</v>
      </c>
      <c r="L2820" s="459" t="s">
        <v>538</v>
      </c>
      <c r="O2820">
        <v>22.594000000000001</v>
      </c>
      <c r="P2820" t="s">
        <v>9375</v>
      </c>
    </row>
    <row r="2821" spans="1:16" ht="14.4" x14ac:dyDescent="0.3">
      <c r="A2821">
        <v>205164</v>
      </c>
      <c r="B2821" t="str">
        <f t="shared" si="88"/>
        <v>SEVROLL Gemini tor górny 2,35m koniak szczotkowany</v>
      </c>
      <c r="C2821" s="185">
        <f t="shared" si="89"/>
        <v>116.5962</v>
      </c>
      <c r="D2821" s="407" t="s">
        <v>2972</v>
      </c>
      <c r="E2821" s="407" t="s">
        <v>5266</v>
      </c>
      <c r="F2821" s="407" t="s">
        <v>5267</v>
      </c>
      <c r="G2821" s="407" t="s">
        <v>5268</v>
      </c>
      <c r="H2821" s="460">
        <v>935.08237999999994</v>
      </c>
      <c r="I2821" s="460">
        <v>33.621200000000002</v>
      </c>
      <c r="J2821" s="460">
        <v>116.5962</v>
      </c>
      <c r="K2821" s="460">
        <v>12940.31861</v>
      </c>
      <c r="L2821" s="459" t="s">
        <v>539</v>
      </c>
      <c r="O2821">
        <v>31.306000000000001</v>
      </c>
      <c r="P2821" t="s">
        <v>9381</v>
      </c>
    </row>
    <row r="2822" spans="1:16" ht="14.4" x14ac:dyDescent="0.3">
      <c r="A2822">
        <v>205165</v>
      </c>
      <c r="B2822" t="str">
        <f t="shared" si="88"/>
        <v>SEVROLL Gemini tor górny 2,35 m czarny szczotkowany</v>
      </c>
      <c r="C2822" s="185">
        <f t="shared" si="89"/>
        <v>116.5962</v>
      </c>
      <c r="D2822" s="407" t="s">
        <v>2973</v>
      </c>
      <c r="E2822" s="407" t="s">
        <v>5261</v>
      </c>
      <c r="F2822" s="407" t="s">
        <v>1250</v>
      </c>
      <c r="G2822" s="407" t="s">
        <v>5262</v>
      </c>
      <c r="H2822" s="460">
        <v>935.08237999999994</v>
      </c>
      <c r="I2822" s="460">
        <v>33.621200000000002</v>
      </c>
      <c r="J2822" s="460">
        <v>116.5962</v>
      </c>
      <c r="K2822" s="460">
        <v>12940.31861</v>
      </c>
      <c r="L2822" s="459" t="s">
        <v>538</v>
      </c>
      <c r="O2822">
        <v>31.306000000000001</v>
      </c>
      <c r="P2822" t="s">
        <v>9379</v>
      </c>
    </row>
    <row r="2823" spans="1:16" ht="14.4" x14ac:dyDescent="0.3">
      <c r="A2823">
        <v>205166</v>
      </c>
      <c r="B2823" t="str">
        <f t="shared" si="88"/>
        <v>SEVROLL Gemini tor górny 3m koniak szczotkowany</v>
      </c>
      <c r="C2823" s="185">
        <f t="shared" si="89"/>
        <v>148.83840000000001</v>
      </c>
      <c r="D2823" s="407" t="s">
        <v>2974</v>
      </c>
      <c r="E2823" s="407" t="s">
        <v>5277</v>
      </c>
      <c r="F2823" s="407" t="s">
        <v>5278</v>
      </c>
      <c r="G2823" s="407" t="s">
        <v>5279</v>
      </c>
      <c r="H2823" s="460">
        <v>1193.4604200000001</v>
      </c>
      <c r="I2823" s="460">
        <v>42.911270000000002</v>
      </c>
      <c r="J2823" s="460">
        <v>148.83840000000001</v>
      </c>
      <c r="K2823" s="460">
        <v>16515.93302</v>
      </c>
      <c r="L2823" s="459" t="s">
        <v>539</v>
      </c>
      <c r="O2823">
        <v>39.951999999999998</v>
      </c>
      <c r="P2823" t="s">
        <v>9385</v>
      </c>
    </row>
    <row r="2824" spans="1:16" ht="14.4" x14ac:dyDescent="0.3">
      <c r="A2824">
        <v>205167</v>
      </c>
      <c r="B2824" t="str">
        <f t="shared" si="88"/>
        <v>SEVROLL Gemini tor górny 3 m czarny szczotkowany</v>
      </c>
      <c r="C2824" s="185">
        <f t="shared" si="89"/>
        <v>148.83840000000001</v>
      </c>
      <c r="D2824" s="407" t="s">
        <v>2975</v>
      </c>
      <c r="E2824" s="407" t="s">
        <v>5272</v>
      </c>
      <c r="F2824" s="407" t="s">
        <v>1249</v>
      </c>
      <c r="G2824" s="407" t="s">
        <v>5273</v>
      </c>
      <c r="H2824" s="460">
        <v>1193.4604200000001</v>
      </c>
      <c r="I2824" s="460">
        <v>42.911270000000002</v>
      </c>
      <c r="J2824" s="460">
        <v>148.83840000000001</v>
      </c>
      <c r="K2824" s="460">
        <v>16515.93302</v>
      </c>
      <c r="L2824" s="459" t="s">
        <v>538</v>
      </c>
      <c r="O2824">
        <v>39.951999999999998</v>
      </c>
      <c r="P2824" t="s">
        <v>9383</v>
      </c>
    </row>
    <row r="2825" spans="1:16" ht="14.4" x14ac:dyDescent="0.3">
      <c r="A2825">
        <v>205168</v>
      </c>
      <c r="B2825" t="str">
        <f t="shared" si="88"/>
        <v>SEVROLL Gemini tor górny 4,05m koniak szczotkowany</v>
      </c>
      <c r="C2825" s="185">
        <f t="shared" si="89"/>
        <v>200.9196</v>
      </c>
      <c r="D2825" s="407" t="s">
        <v>2976</v>
      </c>
      <c r="E2825" s="407" t="s">
        <v>5288</v>
      </c>
      <c r="F2825" s="407" t="s">
        <v>5289</v>
      </c>
      <c r="G2825" s="407" t="s">
        <v>5290</v>
      </c>
      <c r="H2825" s="460">
        <v>1611.0630100000001</v>
      </c>
      <c r="I2825" s="460">
        <v>57.926310000000001</v>
      </c>
      <c r="J2825" s="460">
        <v>200.9196</v>
      </c>
      <c r="K2825" s="460">
        <v>22295.006850000002</v>
      </c>
      <c r="L2825" s="459" t="s">
        <v>539</v>
      </c>
      <c r="O2825">
        <v>53.944000000000003</v>
      </c>
      <c r="P2825" t="s">
        <v>9389</v>
      </c>
    </row>
    <row r="2826" spans="1:16" ht="14.4" x14ac:dyDescent="0.3">
      <c r="A2826">
        <v>205169</v>
      </c>
      <c r="B2826" t="str">
        <f t="shared" si="88"/>
        <v>SEVROLL Gemini tor górny 4,05 m czarny szczotkowany</v>
      </c>
      <c r="C2826" s="185">
        <f t="shared" si="89"/>
        <v>200.9196</v>
      </c>
      <c r="D2826" s="407" t="s">
        <v>2977</v>
      </c>
      <c r="E2826" s="407" t="s">
        <v>5283</v>
      </c>
      <c r="F2826" s="407" t="s">
        <v>1248</v>
      </c>
      <c r="G2826" s="407" t="s">
        <v>5284</v>
      </c>
      <c r="H2826" s="460">
        <v>1611.0630100000001</v>
      </c>
      <c r="I2826" s="460">
        <v>57.926310000000001</v>
      </c>
      <c r="J2826" s="460">
        <v>200.9196</v>
      </c>
      <c r="K2826" s="460">
        <v>22295.006850000002</v>
      </c>
      <c r="L2826" s="459" t="s">
        <v>538</v>
      </c>
      <c r="O2826">
        <v>53.944000000000003</v>
      </c>
      <c r="P2826" t="s">
        <v>9387</v>
      </c>
    </row>
    <row r="2827" spans="1:16" ht="14.4" x14ac:dyDescent="0.3">
      <c r="A2827">
        <v>205170</v>
      </c>
      <c r="B2827" t="str">
        <f t="shared" si="88"/>
        <v>SEVROLL listwa pozioma dolna 1,7 m 10mm oliwka ciemna szczotkowana</v>
      </c>
      <c r="C2827" s="185">
        <f t="shared" si="89"/>
        <v>76.599260000000001</v>
      </c>
      <c r="D2827" s="407" t="s">
        <v>2978</v>
      </c>
      <c r="E2827" s="407" t="s">
        <v>4531</v>
      </c>
      <c r="F2827" s="407" t="s">
        <v>4532</v>
      </c>
      <c r="G2827" s="407" t="s">
        <v>4533</v>
      </c>
      <c r="H2827" s="460">
        <v>619.52828</v>
      </c>
      <c r="I2827" s="460">
        <v>22.27535</v>
      </c>
      <c r="J2827" s="460">
        <v>76.599260000000001</v>
      </c>
      <c r="K2827" s="460">
        <v>8573.4616399999995</v>
      </c>
      <c r="L2827" s="459" t="s">
        <v>539</v>
      </c>
      <c r="O2827">
        <v>18.832000000000001</v>
      </c>
      <c r="P2827" t="s">
        <v>9164</v>
      </c>
    </row>
    <row r="2828" spans="1:16" ht="14.4" x14ac:dyDescent="0.3">
      <c r="A2828">
        <v>205171</v>
      </c>
      <c r="B2828" t="str">
        <f t="shared" si="88"/>
        <v>SEVROLL listwa pozioma dolna 1,7 m 10 mm czarna szczotkowana</v>
      </c>
      <c r="C2828" s="185">
        <f t="shared" si="89"/>
        <v>76.599260000000001</v>
      </c>
      <c r="D2828" s="407" t="s">
        <v>2979</v>
      </c>
      <c r="E2828" s="407" t="s">
        <v>5491</v>
      </c>
      <c r="F2828" s="407" t="s">
        <v>5492</v>
      </c>
      <c r="G2828" s="407" t="s">
        <v>5493</v>
      </c>
      <c r="H2828" s="460">
        <v>619.52828</v>
      </c>
      <c r="I2828" s="460">
        <v>22.27535</v>
      </c>
      <c r="J2828" s="460">
        <v>76.599260000000001</v>
      </c>
      <c r="K2828" s="460">
        <v>8573.4616399999995</v>
      </c>
      <c r="L2828" s="459" t="s">
        <v>538</v>
      </c>
      <c r="O2828">
        <v>18.832000000000001</v>
      </c>
      <c r="P2828" t="s">
        <v>9459</v>
      </c>
    </row>
    <row r="2829" spans="1:16" ht="14.4" x14ac:dyDescent="0.3">
      <c r="A2829">
        <v>205172</v>
      </c>
      <c r="B2829" t="str">
        <f t="shared" si="88"/>
        <v>SEVROLL listwa pozioma dolna 2,35 m oliwka ciemna szczotkowana</v>
      </c>
      <c r="C2829" s="185">
        <f t="shared" si="89"/>
        <v>106.03986999999999</v>
      </c>
      <c r="D2829" s="407" t="s">
        <v>2980</v>
      </c>
      <c r="E2829" s="407" t="s">
        <v>5574</v>
      </c>
      <c r="F2829" s="407" t="s">
        <v>1102</v>
      </c>
      <c r="G2829" s="407" t="s">
        <v>5575</v>
      </c>
      <c r="H2829" s="460">
        <v>857.64137000000005</v>
      </c>
      <c r="I2829" s="460">
        <v>30.836780000000001</v>
      </c>
      <c r="J2829" s="460">
        <v>106.03986999999999</v>
      </c>
      <c r="K2829" s="460">
        <v>11868.6358</v>
      </c>
      <c r="L2829" s="459" t="s">
        <v>539</v>
      </c>
      <c r="O2829">
        <v>26.07</v>
      </c>
      <c r="P2829" t="s">
        <v>9487</v>
      </c>
    </row>
    <row r="2830" spans="1:16" ht="14.4" x14ac:dyDescent="0.3">
      <c r="A2830">
        <v>205173</v>
      </c>
      <c r="B2830" t="str">
        <f t="shared" si="88"/>
        <v>SEVROLL listwa pozioma dolna 2,35 m 10 mm czarna szczotkowana</v>
      </c>
      <c r="C2830" s="185">
        <f t="shared" si="89"/>
        <v>106.03986999999999</v>
      </c>
      <c r="D2830" s="407" t="s">
        <v>2981</v>
      </c>
      <c r="E2830" s="407" t="s">
        <v>5518</v>
      </c>
      <c r="F2830" s="407" t="s">
        <v>5519</v>
      </c>
      <c r="G2830" s="407" t="s">
        <v>5520</v>
      </c>
      <c r="H2830" s="460">
        <v>857.64137000000005</v>
      </c>
      <c r="I2830" s="460">
        <v>30.836780000000001</v>
      </c>
      <c r="J2830" s="460">
        <v>106.03986999999999</v>
      </c>
      <c r="K2830" s="460">
        <v>11868.6358</v>
      </c>
      <c r="L2830" s="459" t="s">
        <v>538</v>
      </c>
      <c r="O2830">
        <v>26.07</v>
      </c>
      <c r="P2830" t="s">
        <v>9468</v>
      </c>
    </row>
    <row r="2831" spans="1:16" ht="14.4" x14ac:dyDescent="0.3">
      <c r="A2831">
        <v>205174</v>
      </c>
      <c r="B2831" t="str">
        <f t="shared" si="88"/>
        <v>SEVROLL listwa pozioma dolna 3 m 10mm oliwka ciemna szczotkowana</v>
      </c>
      <c r="C2831" s="185">
        <f t="shared" si="89"/>
        <v>135.48047</v>
      </c>
      <c r="D2831" s="407" t="s">
        <v>2982</v>
      </c>
      <c r="E2831" s="407" t="s">
        <v>4868</v>
      </c>
      <c r="F2831" s="407" t="s">
        <v>4869</v>
      </c>
      <c r="G2831" s="407" t="s">
        <v>4870</v>
      </c>
      <c r="H2831" s="460">
        <v>1095.75443</v>
      </c>
      <c r="I2831" s="460">
        <v>39.398220000000002</v>
      </c>
      <c r="J2831" s="460">
        <v>135.48047</v>
      </c>
      <c r="K2831" s="460">
        <v>15163.809960000001</v>
      </c>
      <c r="L2831" s="459" t="s">
        <v>539</v>
      </c>
      <c r="O2831">
        <v>33.308</v>
      </c>
      <c r="P2831" t="s">
        <v>9266</v>
      </c>
    </row>
    <row r="2832" spans="1:16" ht="14.4" x14ac:dyDescent="0.3">
      <c r="A2832">
        <v>205175</v>
      </c>
      <c r="B2832" t="str">
        <f t="shared" si="88"/>
        <v>SEVROLL listwa pozioma dolna 3 m 10 mm czarna szczotkowana</v>
      </c>
      <c r="C2832" s="185">
        <f t="shared" si="89"/>
        <v>135.48047</v>
      </c>
      <c r="D2832" s="407" t="s">
        <v>2983</v>
      </c>
      <c r="E2832" s="407" t="s">
        <v>5524</v>
      </c>
      <c r="F2832" s="407" t="s">
        <v>5525</v>
      </c>
      <c r="G2832" s="407" t="s">
        <v>5526</v>
      </c>
      <c r="H2832" s="460">
        <v>1095.75443</v>
      </c>
      <c r="I2832" s="460">
        <v>39.398220000000002</v>
      </c>
      <c r="J2832" s="460">
        <v>135.48047</v>
      </c>
      <c r="K2832" s="460">
        <v>15163.809960000001</v>
      </c>
      <c r="L2832" s="459" t="s">
        <v>538</v>
      </c>
      <c r="O2832">
        <v>33.308</v>
      </c>
      <c r="P2832" t="s">
        <v>9470</v>
      </c>
    </row>
    <row r="2833" spans="1:16" ht="14.4" x14ac:dyDescent="0.3">
      <c r="A2833">
        <v>205186</v>
      </c>
      <c r="B2833" t="str">
        <f t="shared" si="88"/>
        <v>SEVROLL Elegant II tor dolny 3 m czarny szczotkowany</v>
      </c>
      <c r="C2833" s="185">
        <f t="shared" si="89"/>
        <v>97.675200000000004</v>
      </c>
      <c r="D2833" s="407" t="s">
        <v>2984</v>
      </c>
      <c r="E2833" s="407" t="s">
        <v>5186</v>
      </c>
      <c r="F2833" s="407" t="s">
        <v>5187</v>
      </c>
      <c r="G2833" s="407" t="s">
        <v>5188</v>
      </c>
      <c r="H2833" s="460">
        <v>762.10661000000005</v>
      </c>
      <c r="I2833" s="460">
        <v>27.401800000000001</v>
      </c>
      <c r="J2833" s="460">
        <v>97.675200000000004</v>
      </c>
      <c r="K2833" s="460">
        <v>10546.55984</v>
      </c>
      <c r="L2833" s="459" t="s">
        <v>538</v>
      </c>
      <c r="O2833">
        <v>24.42</v>
      </c>
      <c r="P2833" t="s">
        <v>9352</v>
      </c>
    </row>
    <row r="2834" spans="1:16" ht="14.4" x14ac:dyDescent="0.3">
      <c r="A2834">
        <v>211069</v>
      </c>
      <c r="B2834" t="str">
        <f t="shared" si="88"/>
        <v>SEVROLL Exclusive tor górny 1,2m jasny brąz</v>
      </c>
      <c r="C2834" s="185" t="e">
        <f t="shared" si="89"/>
        <v>#N/A</v>
      </c>
      <c r="D2834" s="407" t="s">
        <v>2985</v>
      </c>
      <c r="E2834" s="407" t="s">
        <v>4277</v>
      </c>
      <c r="F2834" s="407" t="s">
        <v>1175</v>
      </c>
      <c r="G2834" s="407" t="s">
        <v>4278</v>
      </c>
      <c r="H2834" s="460" t="e">
        <v>#N/A</v>
      </c>
      <c r="I2834" s="460" t="e">
        <v>#N/A</v>
      </c>
      <c r="J2834" s="460" t="e">
        <v>#N/A</v>
      </c>
      <c r="K2834" s="460" t="e">
        <v>#N/A</v>
      </c>
      <c r="L2834" s="459" t="e">
        <v>#N/A</v>
      </c>
      <c r="O2834">
        <v>13.353999999999999</v>
      </c>
      <c r="P2834" t="s">
        <v>9086</v>
      </c>
    </row>
    <row r="2835" spans="1:16" ht="14.4" x14ac:dyDescent="0.3">
      <c r="A2835">
        <v>212542</v>
      </c>
      <c r="B2835" t="str">
        <f t="shared" si="88"/>
        <v>SEVROLL Star rączka 2,7 m srebrna</v>
      </c>
      <c r="C2835" s="185" t="e">
        <f t="shared" si="89"/>
        <v>#N/A</v>
      </c>
      <c r="D2835" s="407" t="s">
        <v>2986</v>
      </c>
      <c r="E2835" s="407" t="s">
        <v>4739</v>
      </c>
      <c r="F2835" s="407" t="s">
        <v>1098</v>
      </c>
      <c r="G2835" s="407" t="s">
        <v>4740</v>
      </c>
      <c r="H2835" s="460" t="e">
        <v>#N/A</v>
      </c>
      <c r="I2835" s="460" t="e">
        <v>#N/A</v>
      </c>
      <c r="J2835" s="460" t="e">
        <v>#N/A</v>
      </c>
      <c r="K2835" s="460" t="e">
        <v>#N/A</v>
      </c>
      <c r="L2835" s="459" t="e">
        <v>#N/A</v>
      </c>
      <c r="O2835">
        <v>25.85</v>
      </c>
      <c r="P2835" t="s">
        <v>9229</v>
      </c>
    </row>
    <row r="2836" spans="1:16" ht="14.4" x14ac:dyDescent="0.3">
      <c r="A2836">
        <v>212543</v>
      </c>
      <c r="B2836" t="str">
        <f t="shared" si="88"/>
        <v>SEVROLL Star rączka 2,7 m oliwka</v>
      </c>
      <c r="C2836" s="185" t="e">
        <f t="shared" si="89"/>
        <v>#N/A</v>
      </c>
      <c r="D2836" s="407" t="s">
        <v>2987</v>
      </c>
      <c r="E2836" s="407" t="s">
        <v>4799</v>
      </c>
      <c r="F2836" s="407" t="s">
        <v>1099</v>
      </c>
      <c r="G2836" s="407" t="s">
        <v>4800</v>
      </c>
      <c r="H2836" s="460" t="e">
        <v>#N/A</v>
      </c>
      <c r="I2836" s="460" t="e">
        <v>#N/A</v>
      </c>
      <c r="J2836" s="460" t="e">
        <v>#N/A</v>
      </c>
      <c r="K2836" s="460" t="e">
        <v>#N/A</v>
      </c>
      <c r="L2836" s="459" t="e">
        <v>#N/A</v>
      </c>
      <c r="O2836">
        <v>28.027999999999999</v>
      </c>
      <c r="P2836" t="s">
        <v>9248</v>
      </c>
    </row>
    <row r="2837" spans="1:16" ht="14.4" x14ac:dyDescent="0.3">
      <c r="A2837">
        <v>212607</v>
      </c>
      <c r="B2837" t="str">
        <f t="shared" si="88"/>
        <v>SEVROLL uszczelka bezbarwna 10/6,4mm</v>
      </c>
      <c r="C2837" s="185">
        <f t="shared" si="89"/>
        <v>2.7501000000000002</v>
      </c>
      <c r="D2837" s="407" t="s">
        <v>2988</v>
      </c>
      <c r="E2837" s="407" t="s">
        <v>6177</v>
      </c>
      <c r="F2837" s="407" t="s">
        <v>1095</v>
      </c>
      <c r="G2837" s="407" t="s">
        <v>6178</v>
      </c>
      <c r="H2837" s="460">
        <v>23.80818</v>
      </c>
      <c r="I2837" s="460">
        <v>0.80669999999999997</v>
      </c>
      <c r="J2837" s="460">
        <v>2.7501000000000002</v>
      </c>
      <c r="K2837" s="460">
        <v>317.79295000000002</v>
      </c>
      <c r="L2837" s="459" t="s">
        <v>538</v>
      </c>
      <c r="O2837">
        <v>0.72599999999999998</v>
      </c>
      <c r="P2837" t="s">
        <v>8842</v>
      </c>
    </row>
    <row r="2838" spans="1:16" ht="14.4" x14ac:dyDescent="0.3">
      <c r="A2838">
        <v>212613</v>
      </c>
      <c r="B2838" t="str">
        <f t="shared" si="88"/>
        <v>SEVROLL zaślepka do toru Hide N srebrna</v>
      </c>
      <c r="C2838" s="185">
        <f t="shared" si="89"/>
        <v>18.523420000000002</v>
      </c>
      <c r="D2838" s="407" t="s">
        <v>2989</v>
      </c>
      <c r="E2838" s="407" t="s">
        <v>3770</v>
      </c>
      <c r="F2838" s="407" t="s">
        <v>3771</v>
      </c>
      <c r="G2838" s="407" t="s">
        <v>3772</v>
      </c>
      <c r="H2838" s="460">
        <v>149.81584000000001</v>
      </c>
      <c r="I2838" s="460">
        <v>5.3866800000000001</v>
      </c>
      <c r="J2838" s="460">
        <v>18.523420000000002</v>
      </c>
      <c r="K2838" s="460">
        <v>2073.2554399999999</v>
      </c>
      <c r="L2838" s="459" t="s">
        <v>538</v>
      </c>
      <c r="O2838">
        <v>4.7960000000000003</v>
      </c>
      <c r="P2838" t="s">
        <v>8922</v>
      </c>
    </row>
    <row r="2839" spans="1:16" ht="14.4" x14ac:dyDescent="0.3">
      <c r="A2839">
        <v>212616</v>
      </c>
      <c r="B2839" t="str">
        <f t="shared" si="88"/>
        <v>SEVROLL stoper do torów Hide N i M</v>
      </c>
      <c r="C2839" s="185">
        <f t="shared" si="89"/>
        <v>12.1584</v>
      </c>
      <c r="D2839" s="407" t="s">
        <v>2990</v>
      </c>
      <c r="E2839" s="407" t="s">
        <v>6179</v>
      </c>
      <c r="F2839" s="407" t="s">
        <v>6180</v>
      </c>
      <c r="G2839" s="407" t="s">
        <v>6181</v>
      </c>
      <c r="H2839" s="460">
        <v>75.269779999999997</v>
      </c>
      <c r="I2839" s="460">
        <v>2.70635</v>
      </c>
      <c r="J2839" s="460">
        <v>12.1584</v>
      </c>
      <c r="K2839" s="460">
        <v>1041.6357</v>
      </c>
      <c r="L2839" s="459" t="s">
        <v>538</v>
      </c>
      <c r="O2839">
        <v>2.3980000000000001</v>
      </c>
      <c r="P2839" t="s">
        <v>8839</v>
      </c>
    </row>
    <row r="2840" spans="1:16" ht="14.4" x14ac:dyDescent="0.3">
      <c r="A2840">
        <v>212759</v>
      </c>
      <c r="B2840" t="str">
        <f t="shared" si="88"/>
        <v>SEVROLL Secret Line II profil ramkowy 2,7 m srebrny</v>
      </c>
      <c r="C2840" s="185">
        <f t="shared" si="89"/>
        <v>26.948399999999999</v>
      </c>
      <c r="D2840" s="407" t="s">
        <v>2991</v>
      </c>
      <c r="E2840" s="407" t="s">
        <v>3896</v>
      </c>
      <c r="F2840" s="407" t="s">
        <v>3897</v>
      </c>
      <c r="G2840" s="407" t="s">
        <v>3898</v>
      </c>
      <c r="H2840" s="460">
        <v>214.95316</v>
      </c>
      <c r="I2840" s="460">
        <v>7.7287100000000004</v>
      </c>
      <c r="J2840" s="460">
        <v>26.948399999999999</v>
      </c>
      <c r="K2840" s="460">
        <v>2974.67083</v>
      </c>
      <c r="L2840" s="459" t="s">
        <v>539</v>
      </c>
      <c r="O2840">
        <v>7.2380000000000004</v>
      </c>
      <c r="P2840" t="s">
        <v>8966</v>
      </c>
    </row>
    <row r="2841" spans="1:16" ht="14.4" x14ac:dyDescent="0.3">
      <c r="A2841">
        <v>212760</v>
      </c>
      <c r="B2841" t="str">
        <f t="shared" si="88"/>
        <v>SEVROLL Slim Line II profil ramowy 2,7 m srebrny</v>
      </c>
      <c r="C2841" s="185">
        <f t="shared" si="89"/>
        <v>30.498000000000001</v>
      </c>
      <c r="D2841" s="407" t="s">
        <v>2992</v>
      </c>
      <c r="E2841" s="407" t="s">
        <v>3970</v>
      </c>
      <c r="F2841" s="407" t="s">
        <v>3971</v>
      </c>
      <c r="G2841" s="407" t="s">
        <v>3972</v>
      </c>
      <c r="H2841" s="460">
        <v>242.45559</v>
      </c>
      <c r="I2841" s="460">
        <v>8.7175700000000003</v>
      </c>
      <c r="J2841" s="460">
        <v>30.498000000000001</v>
      </c>
      <c r="K2841" s="460">
        <v>3355.2683499999998</v>
      </c>
      <c r="L2841" s="459" t="s">
        <v>539</v>
      </c>
      <c r="O2841">
        <v>8.1839999999999993</v>
      </c>
      <c r="P2841" t="s">
        <v>8988</v>
      </c>
    </row>
    <row r="2842" spans="1:16" ht="14.4" x14ac:dyDescent="0.3">
      <c r="A2842">
        <v>212761</v>
      </c>
      <c r="B2842" t="str">
        <f t="shared" si="88"/>
        <v>SEVROLL Line tor górny 2m alu surowy</v>
      </c>
      <c r="C2842" s="185" t="e">
        <f t="shared" si="89"/>
        <v>#N/A</v>
      </c>
      <c r="D2842" s="407" t="s">
        <v>2993</v>
      </c>
      <c r="E2842" s="407" t="s">
        <v>5059</v>
      </c>
      <c r="F2842" s="407" t="s">
        <v>1141</v>
      </c>
      <c r="G2842" s="407" t="s">
        <v>5060</v>
      </c>
      <c r="H2842" s="460" t="e">
        <v>#N/A</v>
      </c>
      <c r="I2842" s="460" t="e">
        <v>#N/A</v>
      </c>
      <c r="J2842" s="460" t="e">
        <v>#N/A</v>
      </c>
      <c r="K2842" s="460" t="e">
        <v>#N/A</v>
      </c>
      <c r="L2842" s="459" t="e">
        <v>#N/A</v>
      </c>
      <c r="O2842">
        <v>66.043999999999997</v>
      </c>
      <c r="P2842" t="s">
        <v>9308</v>
      </c>
    </row>
    <row r="2843" spans="1:16" ht="14.4" x14ac:dyDescent="0.3">
      <c r="A2843">
        <v>212762</v>
      </c>
      <c r="B2843" t="str">
        <f t="shared" si="88"/>
        <v>SEVROLL Line tor dolny 2m aluminium surowe</v>
      </c>
      <c r="C2843" s="185" t="e">
        <f t="shared" si="89"/>
        <v>#N/A</v>
      </c>
      <c r="D2843" s="407" t="s">
        <v>2994</v>
      </c>
      <c r="E2843" s="407" t="s">
        <v>4477</v>
      </c>
      <c r="F2843" s="407" t="s">
        <v>1138</v>
      </c>
      <c r="G2843" s="407" t="s">
        <v>4478</v>
      </c>
      <c r="H2843" s="460" t="e">
        <v>#N/A</v>
      </c>
      <c r="I2843" s="460" t="e">
        <v>#N/A</v>
      </c>
      <c r="J2843" s="460" t="e">
        <v>#N/A</v>
      </c>
      <c r="K2843" s="460" t="e">
        <v>#N/A</v>
      </c>
      <c r="L2843" s="459" t="e">
        <v>#N/A</v>
      </c>
      <c r="O2843">
        <v>16.763999999999999</v>
      </c>
      <c r="P2843" t="s">
        <v>9147</v>
      </c>
    </row>
    <row r="2844" spans="1:16" ht="14.4" x14ac:dyDescent="0.3">
      <c r="A2844">
        <v>212763</v>
      </c>
      <c r="B2844" t="str">
        <f t="shared" si="88"/>
        <v>SEVROLL Line zestaw okuć do 2 skrzydeł lewy</v>
      </c>
      <c r="C2844" s="185" t="e">
        <f t="shared" si="89"/>
        <v>#N/A</v>
      </c>
      <c r="D2844" s="407" t="s">
        <v>2995</v>
      </c>
      <c r="E2844" s="407" t="s">
        <v>5083</v>
      </c>
      <c r="F2844" s="407" t="s">
        <v>1140</v>
      </c>
      <c r="G2844" s="407" t="s">
        <v>5084</v>
      </c>
      <c r="H2844" s="460" t="e">
        <v>#N/A</v>
      </c>
      <c r="I2844" s="460" t="e">
        <v>#N/A</v>
      </c>
      <c r="J2844" s="460" t="e">
        <v>#N/A</v>
      </c>
      <c r="K2844" s="460" t="e">
        <v>#N/A</v>
      </c>
      <c r="L2844" s="459" t="e">
        <v>#N/A</v>
      </c>
      <c r="O2844">
        <v>97.174000000000007</v>
      </c>
      <c r="P2844" t="s">
        <v>9313</v>
      </c>
    </row>
    <row r="2845" spans="1:16" ht="14.4" x14ac:dyDescent="0.3">
      <c r="A2845">
        <v>212764</v>
      </c>
      <c r="B2845" t="str">
        <f t="shared" si="88"/>
        <v>SEVROLL Line zestaw okuć do dwóch skrzydeł prawy</v>
      </c>
      <c r="C2845" s="185">
        <f t="shared" si="89"/>
        <v>368.93400000000003</v>
      </c>
      <c r="D2845" s="407" t="s">
        <v>2996</v>
      </c>
      <c r="E2845" s="407" t="s">
        <v>5085</v>
      </c>
      <c r="F2845" s="407" t="s">
        <v>1139</v>
      </c>
      <c r="G2845" s="407" t="s">
        <v>5086</v>
      </c>
      <c r="H2845" s="460">
        <v>1590.7980700000001</v>
      </c>
      <c r="I2845" s="460">
        <v>57.197670000000002</v>
      </c>
      <c r="J2845" s="460">
        <v>368.93400000000003</v>
      </c>
      <c r="K2845" s="460">
        <v>22014.566589999999</v>
      </c>
      <c r="L2845" s="459" t="s">
        <v>539</v>
      </c>
      <c r="O2845">
        <v>97.174000000000007</v>
      </c>
      <c r="P2845" t="s">
        <v>9314</v>
      </c>
    </row>
    <row r="2846" spans="1:16" ht="14.4" x14ac:dyDescent="0.3">
      <c r="A2846">
        <v>213167</v>
      </c>
      <c r="B2846" t="str">
        <f t="shared" si="88"/>
        <v>SEVROLL taśma klejąca dwustronna 50mm 10m</v>
      </c>
      <c r="C2846" s="185">
        <f t="shared" si="89"/>
        <v>16.541799999999999</v>
      </c>
      <c r="D2846" s="407" t="s">
        <v>2997</v>
      </c>
      <c r="E2846" s="407" t="s">
        <v>3738</v>
      </c>
      <c r="F2846" s="407" t="s">
        <v>1121</v>
      </c>
      <c r="G2846" s="407" t="s">
        <v>3739</v>
      </c>
      <c r="H2846" s="460">
        <v>145.92113000000001</v>
      </c>
      <c r="I2846" s="460">
        <v>4.9442899999999996</v>
      </c>
      <c r="J2846" s="460">
        <v>16.541799999999999</v>
      </c>
      <c r="K2846" s="460">
        <v>1947.7642000000001</v>
      </c>
      <c r="L2846" s="459" t="s">
        <v>539</v>
      </c>
      <c r="O2846">
        <v>4.4000000000000004</v>
      </c>
      <c r="P2846" t="s">
        <v>8910</v>
      </c>
    </row>
    <row r="2847" spans="1:16" ht="14.4" x14ac:dyDescent="0.3">
      <c r="A2847">
        <v>213362</v>
      </c>
      <c r="B2847" t="str">
        <f t="shared" si="88"/>
        <v>SEVROLL Herkules Glass zestaw okuć 100kg + 2m</v>
      </c>
      <c r="C2847" s="185" t="e">
        <f t="shared" si="89"/>
        <v>#N/A</v>
      </c>
      <c r="D2847" s="407" t="s">
        <v>2998</v>
      </c>
      <c r="E2847" s="407" t="s">
        <v>5089</v>
      </c>
      <c r="F2847" s="407" t="s">
        <v>1161</v>
      </c>
      <c r="G2847" s="407" t="s">
        <v>5090</v>
      </c>
      <c r="H2847" s="460" t="e">
        <v>#N/A</v>
      </c>
      <c r="I2847" s="460" t="e">
        <v>#N/A</v>
      </c>
      <c r="J2847" s="460" t="e">
        <v>#N/A</v>
      </c>
      <c r="K2847" s="460" t="e">
        <v>#N/A</v>
      </c>
      <c r="L2847" s="459" t="e">
        <v>#N/A</v>
      </c>
      <c r="O2847" t="e">
        <v>#N/A</v>
      </c>
      <c r="P2847" t="e">
        <v>#N/A</v>
      </c>
    </row>
    <row r="2848" spans="1:16" ht="14.4" x14ac:dyDescent="0.3">
      <c r="A2848">
        <v>213363</v>
      </c>
      <c r="B2848" t="str">
        <f t="shared" si="88"/>
        <v>SEVROLL Herkules tłumienie 40 - 80kg</v>
      </c>
      <c r="C2848" s="185" t="e">
        <f t="shared" si="89"/>
        <v>#N/A</v>
      </c>
      <c r="D2848" s="407" t="s">
        <v>2999</v>
      </c>
      <c r="E2848" s="407" t="s">
        <v>5021</v>
      </c>
      <c r="F2848" s="407" t="s">
        <v>1146</v>
      </c>
      <c r="G2848" s="407" t="s">
        <v>5022</v>
      </c>
      <c r="H2848" s="460" t="e">
        <v>#N/A</v>
      </c>
      <c r="I2848" s="460" t="e">
        <v>#N/A</v>
      </c>
      <c r="J2848" s="460" t="e">
        <v>#N/A</v>
      </c>
      <c r="K2848" s="460" t="e">
        <v>#N/A</v>
      </c>
      <c r="L2848" s="459" t="e">
        <v>#N/A</v>
      </c>
      <c r="O2848" t="e">
        <v>#N/A</v>
      </c>
      <c r="P2848" t="e">
        <v>#N/A</v>
      </c>
    </row>
    <row r="2849" spans="1:16" ht="14.4" x14ac:dyDescent="0.3">
      <c r="A2849">
        <v>213609</v>
      </c>
      <c r="B2849" t="str">
        <f t="shared" si="88"/>
        <v>SEVROLL Hide M tor dolny 3m srebrny</v>
      </c>
      <c r="C2849" s="185">
        <f t="shared" si="89"/>
        <v>29.8307</v>
      </c>
      <c r="D2849" s="407" t="s">
        <v>3000</v>
      </c>
      <c r="E2849" s="407" t="s">
        <v>4012</v>
      </c>
      <c r="F2849" s="407" t="s">
        <v>1244</v>
      </c>
      <c r="G2849" s="407" t="s">
        <v>4013</v>
      </c>
      <c r="H2849" s="460">
        <v>231.80763999999999</v>
      </c>
      <c r="I2849" s="460">
        <v>8.7435899999999993</v>
      </c>
      <c r="J2849" s="460">
        <v>29.8307</v>
      </c>
      <c r="K2849" s="460">
        <v>3299.2979500000001</v>
      </c>
      <c r="L2849" s="459" t="s">
        <v>538</v>
      </c>
      <c r="O2849">
        <v>8.2059999999999995</v>
      </c>
      <c r="P2849" t="s">
        <v>9003</v>
      </c>
    </row>
    <row r="2850" spans="1:16" ht="14.4" x14ac:dyDescent="0.3">
      <c r="A2850">
        <v>213721</v>
      </c>
      <c r="B2850" t="str">
        <f t="shared" si="88"/>
        <v>SEVROLL Profil "U" mini do płyty laminowanej 18 mm, 3 m, srebrny</v>
      </c>
      <c r="C2850" s="185">
        <f t="shared" si="89"/>
        <v>12.79637</v>
      </c>
      <c r="D2850" s="407" t="s">
        <v>3001</v>
      </c>
      <c r="E2850" s="407" t="s">
        <v>3604</v>
      </c>
      <c r="F2850" s="407" t="s">
        <v>3605</v>
      </c>
      <c r="G2850" s="407" t="s">
        <v>3606</v>
      </c>
      <c r="H2850" s="460">
        <v>103.49594999999999</v>
      </c>
      <c r="I2850" s="460">
        <v>3.7212299999999998</v>
      </c>
      <c r="J2850" s="460">
        <v>12.79637</v>
      </c>
      <c r="K2850" s="460">
        <v>1432.24881</v>
      </c>
      <c r="L2850" s="459" t="s">
        <v>539</v>
      </c>
      <c r="O2850">
        <v>3.3</v>
      </c>
      <c r="P2850" t="s">
        <v>8865</v>
      </c>
    </row>
    <row r="2851" spans="1:16" ht="14.4" x14ac:dyDescent="0.3">
      <c r="A2851">
        <v>213767</v>
      </c>
      <c r="B2851" t="str">
        <f t="shared" si="88"/>
        <v>SEVROLL szczotka odbojowa z klejem 6,7x4 mm szara</v>
      </c>
      <c r="C2851" s="185">
        <f t="shared" si="89"/>
        <v>1.1577</v>
      </c>
      <c r="D2851" s="407" t="s">
        <v>3002</v>
      </c>
      <c r="E2851" s="407" t="s">
        <v>5119</v>
      </c>
      <c r="F2851" s="407" t="s">
        <v>6182</v>
      </c>
      <c r="G2851" s="407" t="s">
        <v>6183</v>
      </c>
      <c r="H2851" s="460">
        <v>7.8468499999999999</v>
      </c>
      <c r="I2851" s="460">
        <v>0.26933000000000001</v>
      </c>
      <c r="J2851" s="460">
        <v>1.1577</v>
      </c>
      <c r="K2851" s="460">
        <v>102.51391</v>
      </c>
      <c r="L2851" s="459" t="s">
        <v>539</v>
      </c>
      <c r="O2851">
        <v>0.26619999999999999</v>
      </c>
      <c r="P2851" t="s">
        <v>8834</v>
      </c>
    </row>
    <row r="2852" spans="1:16" ht="14.4" x14ac:dyDescent="0.3">
      <c r="A2852">
        <v>213977</v>
      </c>
      <c r="B2852" t="str">
        <f t="shared" si="88"/>
        <v>SEVROLL Beta 18 rączka 2,70m srebrny</v>
      </c>
      <c r="C2852" s="185">
        <f t="shared" si="89"/>
        <v>29.4984</v>
      </c>
      <c r="D2852" s="407" t="s">
        <v>3003</v>
      </c>
      <c r="E2852" s="407" t="s">
        <v>3817</v>
      </c>
      <c r="F2852" s="407" t="s">
        <v>3818</v>
      </c>
      <c r="G2852" s="407" t="s">
        <v>3819</v>
      </c>
      <c r="H2852" s="460">
        <v>212.78190000000001</v>
      </c>
      <c r="I2852" s="460">
        <v>7.6506400000000001</v>
      </c>
      <c r="J2852" s="460">
        <v>29.4984</v>
      </c>
      <c r="K2852" s="460">
        <v>2944.62372</v>
      </c>
      <c r="L2852" s="459" t="s">
        <v>538</v>
      </c>
      <c r="O2852">
        <v>6.9960000000000004</v>
      </c>
      <c r="P2852" t="s">
        <v>8938</v>
      </c>
    </row>
    <row r="2853" spans="1:16" ht="14.4" x14ac:dyDescent="0.3">
      <c r="A2853">
        <v>213978</v>
      </c>
      <c r="B2853" t="str">
        <f t="shared" si="88"/>
        <v>SEVROLL Beta 18 rączka 2,70 m oliwka</v>
      </c>
      <c r="C2853" s="185">
        <f t="shared" si="89"/>
        <v>32.986800000000002</v>
      </c>
      <c r="D2853" s="407" t="s">
        <v>3004</v>
      </c>
      <c r="E2853" s="407" t="s">
        <v>3887</v>
      </c>
      <c r="F2853" s="407" t="s">
        <v>1188</v>
      </c>
      <c r="G2853" s="407" t="s">
        <v>3888</v>
      </c>
      <c r="H2853" s="460">
        <v>266.33926000000002</v>
      </c>
      <c r="I2853" s="460">
        <v>9.5763200000000008</v>
      </c>
      <c r="J2853" s="460">
        <v>32.986800000000002</v>
      </c>
      <c r="K2853" s="460">
        <v>3685.7872400000001</v>
      </c>
      <c r="L2853" s="459" t="s">
        <v>539</v>
      </c>
      <c r="O2853">
        <v>8.0960000000000001</v>
      </c>
      <c r="P2853" t="s">
        <v>8963</v>
      </c>
    </row>
    <row r="2854" spans="1:16" ht="14.4" x14ac:dyDescent="0.3">
      <c r="A2854">
        <v>214745</v>
      </c>
      <c r="B2854" t="str">
        <f t="shared" si="88"/>
        <v>SEVROLL listwa łącząca H10 Decor 3m, srebrna</v>
      </c>
      <c r="C2854" s="185">
        <f t="shared" si="89"/>
        <v>48.042000000000002</v>
      </c>
      <c r="D2854" s="407" t="s">
        <v>3005</v>
      </c>
      <c r="E2854" s="407" t="s">
        <v>5576</v>
      </c>
      <c r="F2854" s="407" t="s">
        <v>1206</v>
      </c>
      <c r="G2854" s="407" t="s">
        <v>5577</v>
      </c>
      <c r="H2854" s="460">
        <v>370.55896000000001</v>
      </c>
      <c r="I2854" s="460">
        <v>13.32357</v>
      </c>
      <c r="J2854" s="460">
        <v>48.042000000000002</v>
      </c>
      <c r="K2854" s="460">
        <v>5128.0520100000003</v>
      </c>
      <c r="L2854" s="459" t="s">
        <v>538</v>
      </c>
      <c r="O2854">
        <v>12.891999999999999</v>
      </c>
      <c r="P2854" t="s">
        <v>9488</v>
      </c>
    </row>
    <row r="2855" spans="1:16" ht="14.4" x14ac:dyDescent="0.3">
      <c r="A2855">
        <v>214825</v>
      </c>
      <c r="B2855" t="str">
        <f t="shared" si="88"/>
        <v>SEVROLL Exclusive zestaw okuć ZPE-18</v>
      </c>
      <c r="C2855" s="185">
        <f t="shared" si="89"/>
        <v>134.14932999999999</v>
      </c>
      <c r="D2855" s="407" t="s">
        <v>3006</v>
      </c>
      <c r="E2855" s="407" t="s">
        <v>4918</v>
      </c>
      <c r="F2855" s="407" t="s">
        <v>1170</v>
      </c>
      <c r="G2855" s="407" t="s">
        <v>4919</v>
      </c>
      <c r="H2855" s="460">
        <v>1042.4444100000001</v>
      </c>
      <c r="I2855" s="460">
        <v>39.320149999999998</v>
      </c>
      <c r="J2855" s="460">
        <v>134.14932999999999</v>
      </c>
      <c r="K2855" s="460">
        <v>14837.02203</v>
      </c>
      <c r="L2855" s="459" t="s">
        <v>539</v>
      </c>
      <c r="O2855">
        <v>34.979999999999997</v>
      </c>
      <c r="P2855" t="s">
        <v>9278</v>
      </c>
    </row>
    <row r="2856" spans="1:16" ht="14.4" x14ac:dyDescent="0.3">
      <c r="A2856">
        <v>215232</v>
      </c>
      <c r="B2856" t="str">
        <f t="shared" si="88"/>
        <v>SEVROLL Libra rączka 18 mm 2,70 m srebrna</v>
      </c>
      <c r="C2856" s="185">
        <f t="shared" si="89"/>
        <v>45.355609999999999</v>
      </c>
      <c r="D2856" s="407" t="s">
        <v>3007</v>
      </c>
      <c r="E2856" s="407" t="s">
        <v>4157</v>
      </c>
      <c r="F2856" s="407" t="s">
        <v>4158</v>
      </c>
      <c r="G2856" s="407" t="s">
        <v>4159</v>
      </c>
      <c r="H2856" s="460">
        <v>351.52542999999997</v>
      </c>
      <c r="I2856" s="460">
        <v>12.777100000000001</v>
      </c>
      <c r="J2856" s="460">
        <v>45.355609999999999</v>
      </c>
      <c r="K2856" s="460">
        <v>4994.8622400000004</v>
      </c>
      <c r="L2856" s="459" t="s">
        <v>539</v>
      </c>
      <c r="O2856">
        <v>12.65</v>
      </c>
      <c r="P2856" t="s">
        <v>9048</v>
      </c>
    </row>
    <row r="2857" spans="1:16" ht="14.4" x14ac:dyDescent="0.3">
      <c r="A2857">
        <v>215233</v>
      </c>
      <c r="B2857" t="str">
        <f t="shared" si="88"/>
        <v>SEVROLL Fala rączka 10mm 2,70m srebrny</v>
      </c>
      <c r="C2857" s="185">
        <f t="shared" si="89"/>
        <v>45.41854</v>
      </c>
      <c r="D2857" s="407" t="s">
        <v>3008</v>
      </c>
      <c r="E2857" s="407" t="s">
        <v>5227</v>
      </c>
      <c r="F2857" s="407" t="s">
        <v>1253</v>
      </c>
      <c r="G2857" s="407" t="s">
        <v>5228</v>
      </c>
      <c r="H2857" s="460">
        <v>328.61543</v>
      </c>
      <c r="I2857" s="460">
        <v>11.944369999999999</v>
      </c>
      <c r="J2857" s="460">
        <v>45.41854</v>
      </c>
      <c r="K2857" s="460">
        <v>4669.3318200000003</v>
      </c>
      <c r="L2857" s="459" t="s">
        <v>538</v>
      </c>
      <c r="O2857">
        <v>10.625999999999999</v>
      </c>
      <c r="P2857" t="s">
        <v>9366</v>
      </c>
    </row>
    <row r="2858" spans="1:16" ht="14.4" x14ac:dyDescent="0.3">
      <c r="A2858">
        <v>215234</v>
      </c>
      <c r="B2858" t="str">
        <f t="shared" si="88"/>
        <v>SEVROLL Polo rączka 10mm 2,70m srebrny</v>
      </c>
      <c r="C2858" s="185">
        <f t="shared" si="89"/>
        <v>45.41854</v>
      </c>
      <c r="D2858" s="407" t="s">
        <v>3009</v>
      </c>
      <c r="E2858" s="407" t="s">
        <v>4137</v>
      </c>
      <c r="F2858" s="407" t="s">
        <v>1216</v>
      </c>
      <c r="G2858" s="407" t="s">
        <v>4138</v>
      </c>
      <c r="H2858" s="460">
        <v>358.68481000000003</v>
      </c>
      <c r="I2858" s="460">
        <v>13.037319999999999</v>
      </c>
      <c r="J2858" s="460">
        <v>45.41854</v>
      </c>
      <c r="K2858" s="460">
        <v>5096.5906000000004</v>
      </c>
      <c r="L2858" s="459" t="s">
        <v>538</v>
      </c>
      <c r="O2858">
        <v>11.593999999999999</v>
      </c>
      <c r="P2858" t="s">
        <v>9043</v>
      </c>
    </row>
    <row r="2859" spans="1:16" ht="14.4" x14ac:dyDescent="0.3">
      <c r="A2859">
        <v>216338</v>
      </c>
      <c r="B2859" t="str">
        <f t="shared" si="88"/>
        <v>SEVROLL Simple tor górny 6 m srebrny</v>
      </c>
      <c r="C2859" s="185">
        <f t="shared" si="89"/>
        <v>0</v>
      </c>
      <c r="D2859" s="407" t="s">
        <v>3010</v>
      </c>
      <c r="E2859" s="407" t="s">
        <v>4913</v>
      </c>
      <c r="F2859" s="407" t="s">
        <v>1048</v>
      </c>
      <c r="G2859" s="407" t="s">
        <v>4914</v>
      </c>
      <c r="H2859" s="460">
        <v>1181.29729</v>
      </c>
      <c r="I2859" s="460">
        <v>42.937289999999997</v>
      </c>
      <c r="J2859" s="460">
        <v>0</v>
      </c>
      <c r="K2859" s="460">
        <v>16785.17915</v>
      </c>
      <c r="L2859" s="459" t="s">
        <v>539</v>
      </c>
      <c r="O2859">
        <v>42.283999999999999</v>
      </c>
      <c r="P2859" t="s">
        <v>9277</v>
      </c>
    </row>
    <row r="2860" spans="1:16" ht="14.4" x14ac:dyDescent="0.3">
      <c r="A2860">
        <v>216341</v>
      </c>
      <c r="B2860" t="str">
        <f t="shared" si="88"/>
        <v>SEVROLL Simple tor dolny 6 m srebrny</v>
      </c>
      <c r="C2860" s="185">
        <f t="shared" si="89"/>
        <v>0</v>
      </c>
      <c r="D2860" s="407" t="s">
        <v>3011</v>
      </c>
      <c r="E2860" s="407" t="s">
        <v>4560</v>
      </c>
      <c r="F2860" s="407" t="s">
        <v>1046</v>
      </c>
      <c r="G2860" s="407" t="s">
        <v>4561</v>
      </c>
      <c r="H2860" s="460">
        <v>621.43397000000004</v>
      </c>
      <c r="I2860" s="460">
        <v>22.587620000000001</v>
      </c>
      <c r="J2860" s="460">
        <v>0</v>
      </c>
      <c r="K2860" s="460">
        <v>8830.0214500000002</v>
      </c>
      <c r="L2860" s="459" t="s">
        <v>539</v>
      </c>
      <c r="O2860">
        <v>21.846</v>
      </c>
      <c r="P2860" t="s">
        <v>9174</v>
      </c>
    </row>
    <row r="2861" spans="1:16" ht="14.4" x14ac:dyDescent="0.3">
      <c r="A2861">
        <v>216354</v>
      </c>
      <c r="B2861" t="str">
        <f t="shared" si="88"/>
        <v>SEVROLL wózek górny Simple (10 mm Fala) asymetryczny L+P</v>
      </c>
      <c r="C2861" s="185">
        <f t="shared" si="89"/>
        <v>8.4953299999999992</v>
      </c>
      <c r="D2861" s="407" t="s">
        <v>3012</v>
      </c>
      <c r="E2861" s="407" t="s">
        <v>5400</v>
      </c>
      <c r="F2861" s="407" t="s">
        <v>1058</v>
      </c>
      <c r="G2861" s="407" t="s">
        <v>5401</v>
      </c>
      <c r="H2861" s="460">
        <v>63.744489999999999</v>
      </c>
      <c r="I2861" s="460">
        <v>2.1598799999999998</v>
      </c>
      <c r="J2861" s="460">
        <v>8.4953299999999992</v>
      </c>
      <c r="K2861" s="460">
        <v>850.86532</v>
      </c>
      <c r="L2861" s="459" t="s">
        <v>539</v>
      </c>
      <c r="O2861">
        <v>1.8260000000000001</v>
      </c>
      <c r="P2861" t="s">
        <v>9427</v>
      </c>
    </row>
    <row r="2862" spans="1:16" ht="14.4" x14ac:dyDescent="0.3">
      <c r="A2862">
        <v>216355</v>
      </c>
      <c r="B2862" t="str">
        <f t="shared" si="88"/>
        <v>SEVROLL wózek górny Simple (10 mm Polo) symetryczny L+P</v>
      </c>
      <c r="C2862" s="185">
        <f t="shared" si="89"/>
        <v>8.4953299999999992</v>
      </c>
      <c r="D2862" s="407" t="s">
        <v>3013</v>
      </c>
      <c r="E2862" s="407" t="s">
        <v>5402</v>
      </c>
      <c r="F2862" s="407" t="s">
        <v>1057</v>
      </c>
      <c r="G2862" s="407" t="s">
        <v>5403</v>
      </c>
      <c r="H2862" s="460">
        <v>63.744489999999999</v>
      </c>
      <c r="I2862" s="460">
        <v>2.1598799999999998</v>
      </c>
      <c r="J2862" s="460">
        <v>8.4953299999999992</v>
      </c>
      <c r="K2862" s="460">
        <v>850.86532</v>
      </c>
      <c r="L2862" s="459" t="s">
        <v>539</v>
      </c>
      <c r="O2862">
        <v>1.8260000000000001</v>
      </c>
      <c r="P2862" t="s">
        <v>9428</v>
      </c>
    </row>
    <row r="2863" spans="1:16" ht="14.4" x14ac:dyDescent="0.3">
      <c r="A2863">
        <v>216356</v>
      </c>
      <c r="B2863" t="str">
        <f t="shared" si="88"/>
        <v>SEVROLL wózek górny Simple (do płyty laminowanej 18 mm) ramowy L+P</v>
      </c>
      <c r="C2863" s="185">
        <f t="shared" si="89"/>
        <v>8.4953299999999992</v>
      </c>
      <c r="D2863" s="407" t="s">
        <v>3014</v>
      </c>
      <c r="E2863" s="407" t="s">
        <v>5407</v>
      </c>
      <c r="F2863" s="407" t="s">
        <v>1056</v>
      </c>
      <c r="G2863" s="407" t="s">
        <v>5408</v>
      </c>
      <c r="H2863" s="460">
        <v>63.744489999999999</v>
      </c>
      <c r="I2863" s="460">
        <v>2.1598799999999998</v>
      </c>
      <c r="J2863" s="460">
        <v>8.4953299999999992</v>
      </c>
      <c r="K2863" s="460">
        <v>850.86532</v>
      </c>
      <c r="L2863" s="459" t="s">
        <v>539</v>
      </c>
      <c r="O2863">
        <v>1.8260000000000001</v>
      </c>
      <c r="P2863" t="s">
        <v>9430</v>
      </c>
    </row>
    <row r="2864" spans="1:16" ht="14.4" x14ac:dyDescent="0.3">
      <c r="A2864">
        <v>216357</v>
      </c>
      <c r="B2864" t="str">
        <f t="shared" si="88"/>
        <v>SEVROLL wózek górny Simple (do płyty laminowanej 18mm) bezramowy L+P</v>
      </c>
      <c r="C2864" s="185">
        <f t="shared" si="89"/>
        <v>7.5828699999999998</v>
      </c>
      <c r="D2864" s="407" t="s">
        <v>3015</v>
      </c>
      <c r="E2864" s="407" t="s">
        <v>5404</v>
      </c>
      <c r="F2864" s="407" t="s">
        <v>5405</v>
      </c>
      <c r="G2864" s="407" t="s">
        <v>5406</v>
      </c>
      <c r="H2864" s="460">
        <v>65.280519999999996</v>
      </c>
      <c r="I2864" s="460">
        <v>2.2119200000000001</v>
      </c>
      <c r="J2864" s="460">
        <v>7.5828699999999998</v>
      </c>
      <c r="K2864" s="460">
        <v>871.36820999999998</v>
      </c>
      <c r="L2864" s="459" t="s">
        <v>539</v>
      </c>
      <c r="O2864">
        <v>1.87</v>
      </c>
      <c r="P2864" t="s">
        <v>9429</v>
      </c>
    </row>
    <row r="2865" spans="1:16" ht="14.4" x14ac:dyDescent="0.3">
      <c r="A2865">
        <v>216358</v>
      </c>
      <c r="B2865" t="str">
        <f t="shared" si="88"/>
        <v>SEVROLL klin mocujący Simple 40 szt. (szkło 4 mm)</v>
      </c>
      <c r="C2865" s="185" t="e">
        <f t="shared" si="89"/>
        <v>#N/A</v>
      </c>
      <c r="D2865" s="407" t="s">
        <v>3016</v>
      </c>
      <c r="E2865" s="407" t="s">
        <v>4172</v>
      </c>
      <c r="F2865" s="407" t="s">
        <v>1045</v>
      </c>
      <c r="G2865" s="407" t="s">
        <v>4173</v>
      </c>
      <c r="H2865" s="460" t="e">
        <v>#N/A</v>
      </c>
      <c r="I2865" s="460" t="e">
        <v>#N/A</v>
      </c>
      <c r="J2865" s="460" t="e">
        <v>#N/A</v>
      </c>
      <c r="K2865" s="460" t="e">
        <v>#N/A</v>
      </c>
      <c r="L2865" s="459" t="e">
        <v>#N/A</v>
      </c>
      <c r="O2865" t="e">
        <v>#N/A</v>
      </c>
      <c r="P2865" t="e">
        <v>#N/A</v>
      </c>
    </row>
    <row r="2866" spans="1:16" ht="14.4" x14ac:dyDescent="0.3">
      <c r="A2866">
        <v>216362</v>
      </c>
      <c r="B2866" t="str">
        <f t="shared" si="88"/>
        <v>SEVROLL zaślepka gumowa do toru Simple/Blue przeźroczysta</v>
      </c>
      <c r="C2866" s="185">
        <f t="shared" si="89"/>
        <v>3.4045299999999998</v>
      </c>
      <c r="D2866" s="407" t="s">
        <v>3017</v>
      </c>
      <c r="E2866" s="407" t="s">
        <v>6184</v>
      </c>
      <c r="F2866" s="407" t="s">
        <v>6185</v>
      </c>
      <c r="G2866" s="407" t="s">
        <v>6186</v>
      </c>
      <c r="H2866" s="460">
        <v>29.95224</v>
      </c>
      <c r="I2866" s="460">
        <v>1.01488</v>
      </c>
      <c r="J2866" s="460">
        <v>3.4045299999999998</v>
      </c>
      <c r="K2866" s="460">
        <v>399.80439000000001</v>
      </c>
      <c r="L2866" s="459" t="s">
        <v>538</v>
      </c>
      <c r="O2866">
        <v>0.90200000000000002</v>
      </c>
      <c r="P2866" t="s">
        <v>8845</v>
      </c>
    </row>
    <row r="2867" spans="1:16" ht="14.4" x14ac:dyDescent="0.3">
      <c r="A2867">
        <v>216363</v>
      </c>
      <c r="B2867" t="str">
        <f t="shared" si="88"/>
        <v>SEVROLL zamek do drzwi przesuwnych 10/18mm</v>
      </c>
      <c r="C2867" s="185">
        <f t="shared" si="89"/>
        <v>66.840599999999995</v>
      </c>
      <c r="D2867" s="407" t="s">
        <v>3018</v>
      </c>
      <c r="E2867" s="407" t="s">
        <v>4437</v>
      </c>
      <c r="F2867" s="407" t="s">
        <v>4438</v>
      </c>
      <c r="G2867" s="407" t="s">
        <v>4439</v>
      </c>
      <c r="H2867" s="460">
        <v>467.71562999999998</v>
      </c>
      <c r="I2867" s="460">
        <v>15.855560000000001</v>
      </c>
      <c r="J2867" s="460">
        <v>66.840599999999995</v>
      </c>
      <c r="K2867" s="460">
        <v>6243.0970299999999</v>
      </c>
      <c r="L2867" s="459" t="s">
        <v>538</v>
      </c>
      <c r="O2867">
        <v>15.686</v>
      </c>
      <c r="P2867" t="s">
        <v>9138</v>
      </c>
    </row>
    <row r="2868" spans="1:16" ht="14.4" x14ac:dyDescent="0.3">
      <c r="A2868">
        <v>216620</v>
      </c>
      <c r="B2868" t="str">
        <f t="shared" si="88"/>
        <v>SEVROLL Victoria II 2,7 m oliwka ciemna szczotkowana</v>
      </c>
      <c r="C2868" s="185">
        <f t="shared" si="89"/>
        <v>82.505279999999999</v>
      </c>
      <c r="D2868" s="407" t="s">
        <v>3019</v>
      </c>
      <c r="E2868" s="407" t="s">
        <v>4566</v>
      </c>
      <c r="F2868" s="407" t="s">
        <v>4567</v>
      </c>
      <c r="G2868" s="407" t="s">
        <v>4568</v>
      </c>
      <c r="H2868" s="460">
        <v>667.29562999999996</v>
      </c>
      <c r="I2868" s="460">
        <v>23.992840000000001</v>
      </c>
      <c r="J2868" s="460">
        <v>82.505279999999999</v>
      </c>
      <c r="K2868" s="460">
        <v>9234.4998200000009</v>
      </c>
      <c r="L2868" s="459" t="s">
        <v>539</v>
      </c>
      <c r="O2868">
        <v>21.34</v>
      </c>
      <c r="P2868" t="s">
        <v>9177</v>
      </c>
    </row>
    <row r="2869" spans="1:16" ht="14.4" x14ac:dyDescent="0.3">
      <c r="A2869">
        <v>216621</v>
      </c>
      <c r="B2869" t="str">
        <f t="shared" si="88"/>
        <v>SEVROLL Victoria II 2,7m czarny szczotkowany</v>
      </c>
      <c r="C2869" s="185">
        <f t="shared" si="89"/>
        <v>82.505279999999999</v>
      </c>
      <c r="D2869" s="407" t="s">
        <v>3020</v>
      </c>
      <c r="E2869" s="407" t="s">
        <v>4613</v>
      </c>
      <c r="F2869" s="407" t="s">
        <v>4614</v>
      </c>
      <c r="G2869" s="407" t="s">
        <v>4615</v>
      </c>
      <c r="H2869" s="460">
        <v>667.29562999999996</v>
      </c>
      <c r="I2869" s="460">
        <v>23.992840000000001</v>
      </c>
      <c r="J2869" s="460">
        <v>82.505279999999999</v>
      </c>
      <c r="K2869" s="460">
        <v>9234.4998200000009</v>
      </c>
      <c r="L2869" s="459" t="s">
        <v>538</v>
      </c>
      <c r="O2869">
        <v>21.34</v>
      </c>
      <c r="P2869" t="s">
        <v>9188</v>
      </c>
    </row>
    <row r="2870" spans="1:16" ht="14.4" x14ac:dyDescent="0.3">
      <c r="A2870">
        <v>216744</v>
      </c>
      <c r="B2870" t="str">
        <f t="shared" si="88"/>
        <v>SEVROLL Comfort tor dolny 1,7m jasny brąz</v>
      </c>
      <c r="C2870" s="185">
        <f t="shared" si="89"/>
        <v>62.933999999999997</v>
      </c>
      <c r="D2870" s="407" t="s">
        <v>3021</v>
      </c>
      <c r="E2870" s="407" t="s">
        <v>4279</v>
      </c>
      <c r="F2870" s="407" t="s">
        <v>1183</v>
      </c>
      <c r="G2870" s="407" t="s">
        <v>4280</v>
      </c>
      <c r="H2870" s="460">
        <v>471.15992999999997</v>
      </c>
      <c r="I2870" s="460">
        <v>16.940709999999999</v>
      </c>
      <c r="J2870" s="460">
        <v>62.933999999999997</v>
      </c>
      <c r="K2870" s="460">
        <v>6520.2377500000002</v>
      </c>
      <c r="L2870" s="459" t="s">
        <v>539</v>
      </c>
      <c r="O2870">
        <v>14.321999999999999</v>
      </c>
      <c r="P2870" t="s">
        <v>9087</v>
      </c>
    </row>
    <row r="2871" spans="1:16" ht="14.4" x14ac:dyDescent="0.3">
      <c r="A2871">
        <v>220613</v>
      </c>
      <c r="B2871" t="str">
        <f t="shared" si="88"/>
        <v>SEVROLL U profil stalowy 2m srebrny</v>
      </c>
      <c r="C2871" s="185" t="e">
        <f t="shared" si="89"/>
        <v>#N/A</v>
      </c>
      <c r="D2871" s="407" t="s">
        <v>3022</v>
      </c>
      <c r="E2871" s="407" t="s">
        <v>2122</v>
      </c>
      <c r="F2871" s="407" t="s">
        <v>2298</v>
      </c>
      <c r="G2871" s="407" t="s">
        <v>2598</v>
      </c>
      <c r="H2871" s="460" t="e">
        <v>#N/A</v>
      </c>
      <c r="I2871" s="460" t="e">
        <v>#N/A</v>
      </c>
      <c r="J2871" s="460" t="e">
        <v>#N/A</v>
      </c>
      <c r="K2871" s="460" t="e">
        <v>#N/A</v>
      </c>
      <c r="L2871" s="459" t="e">
        <v>#N/A</v>
      </c>
      <c r="O2871">
        <v>14.3</v>
      </c>
      <c r="P2871" t="s">
        <v>10203</v>
      </c>
    </row>
    <row r="2872" spans="1:16" ht="14.4" x14ac:dyDescent="0.3">
      <c r="A2872">
        <v>220614</v>
      </c>
      <c r="B2872" t="str">
        <f t="shared" si="88"/>
        <v>SEVROLL zestaw Herkules plus 40kg do 2 skrzydeł</v>
      </c>
      <c r="C2872" s="185" t="e">
        <f t="shared" si="89"/>
        <v>#N/A</v>
      </c>
      <c r="D2872" s="407" t="s">
        <v>3023</v>
      </c>
      <c r="E2872" s="407" t="s">
        <v>2123</v>
      </c>
      <c r="F2872" s="407" t="s">
        <v>2299</v>
      </c>
      <c r="G2872" s="407" t="s">
        <v>2599</v>
      </c>
      <c r="H2872" s="460" t="e">
        <v>#N/A</v>
      </c>
      <c r="I2872" s="460" t="e">
        <v>#N/A</v>
      </c>
      <c r="J2872" s="460" t="e">
        <v>#N/A</v>
      </c>
      <c r="K2872" s="460" t="e">
        <v>#N/A</v>
      </c>
      <c r="L2872" s="459" t="e">
        <v>#N/A</v>
      </c>
      <c r="O2872" t="e">
        <v>#N/A</v>
      </c>
      <c r="P2872" t="e">
        <v>#N/A</v>
      </c>
    </row>
    <row r="2873" spans="1:16" ht="14.4" x14ac:dyDescent="0.3">
      <c r="A2873">
        <v>220615</v>
      </c>
      <c r="B2873" t="str">
        <f t="shared" si="88"/>
        <v>SEVROLL prowadnik z tuleją do drzwi składanych Herkules</v>
      </c>
      <c r="C2873" s="185" t="e">
        <f t="shared" si="89"/>
        <v>#N/A</v>
      </c>
      <c r="D2873" s="407" t="s">
        <v>3024</v>
      </c>
      <c r="E2873" s="407" t="s">
        <v>2124</v>
      </c>
      <c r="F2873" s="407" t="s">
        <v>2300</v>
      </c>
      <c r="G2873" s="407" t="s">
        <v>2600</v>
      </c>
      <c r="H2873" s="460" t="e">
        <v>#N/A</v>
      </c>
      <c r="I2873" s="460" t="e">
        <v>#N/A</v>
      </c>
      <c r="J2873" s="460" t="e">
        <v>#N/A</v>
      </c>
      <c r="K2873" s="460" t="e">
        <v>#N/A</v>
      </c>
      <c r="L2873" s="459" t="e">
        <v>#N/A</v>
      </c>
      <c r="O2873" t="e">
        <v>#N/A</v>
      </c>
      <c r="P2873" t="e">
        <v>#N/A</v>
      </c>
    </row>
    <row r="2874" spans="1:16" ht="14.4" x14ac:dyDescent="0.3">
      <c r="A2874">
        <v>220616</v>
      </c>
      <c r="B2874" t="str">
        <f t="shared" si="88"/>
        <v>SEVROLL środkowy zawias sprężynowy srebrny</v>
      </c>
      <c r="C2874" s="185">
        <f t="shared" si="89"/>
        <v>11.45285</v>
      </c>
      <c r="D2874" s="407" t="s">
        <v>3025</v>
      </c>
      <c r="E2874" s="407" t="s">
        <v>2125</v>
      </c>
      <c r="F2874" s="407" t="s">
        <v>2301</v>
      </c>
      <c r="G2874" s="407" t="s">
        <v>2601</v>
      </c>
      <c r="H2874" s="460">
        <v>88.997569999999996</v>
      </c>
      <c r="I2874" s="460">
        <v>3.3569200000000001</v>
      </c>
      <c r="J2874" s="460">
        <v>11.45285</v>
      </c>
      <c r="K2874" s="460">
        <v>1266.69498</v>
      </c>
      <c r="L2874" s="459" t="s">
        <v>539</v>
      </c>
      <c r="O2874">
        <v>2.992</v>
      </c>
      <c r="P2874" t="s">
        <v>10204</v>
      </c>
    </row>
    <row r="2875" spans="1:16" ht="14.4" x14ac:dyDescent="0.3">
      <c r="A2875">
        <v>220617</v>
      </c>
      <c r="B2875" t="str">
        <f t="shared" si="88"/>
        <v>SEVROLL Herkules plus tor górny 1,5 m</v>
      </c>
      <c r="C2875" s="185" t="e">
        <f t="shared" si="89"/>
        <v>#N/A</v>
      </c>
      <c r="D2875" s="407" t="s">
        <v>3026</v>
      </c>
      <c r="E2875" s="407" t="s">
        <v>2126</v>
      </c>
      <c r="F2875" s="407" t="s">
        <v>2302</v>
      </c>
      <c r="G2875" s="407" t="s">
        <v>2602</v>
      </c>
      <c r="H2875" s="460" t="e">
        <v>#N/A</v>
      </c>
      <c r="I2875" s="460" t="e">
        <v>#N/A</v>
      </c>
      <c r="J2875" s="460" t="e">
        <v>#N/A</v>
      </c>
      <c r="K2875" s="460" t="e">
        <v>#N/A</v>
      </c>
      <c r="L2875" s="459" t="e">
        <v>#N/A</v>
      </c>
      <c r="O2875" t="e">
        <v>#N/A</v>
      </c>
      <c r="P2875" t="e">
        <v>#N/A</v>
      </c>
    </row>
    <row r="2876" spans="1:16" ht="14.4" x14ac:dyDescent="0.3">
      <c r="A2876">
        <v>221063</v>
      </c>
      <c r="B2876" t="str">
        <f t="shared" si="88"/>
        <v>SEVROLL prowadnik 102 N</v>
      </c>
      <c r="C2876" s="185">
        <f t="shared" si="89"/>
        <v>2.5746799999999999</v>
      </c>
      <c r="D2876" s="407" t="s">
        <v>3027</v>
      </c>
      <c r="E2876" s="407" t="s">
        <v>6187</v>
      </c>
      <c r="F2876" s="407" t="s">
        <v>1077</v>
      </c>
      <c r="G2876" s="407" t="s">
        <v>6188</v>
      </c>
      <c r="H2876" s="460">
        <v>20.007210000000001</v>
      </c>
      <c r="I2876" s="460">
        <v>0.75466</v>
      </c>
      <c r="J2876" s="460">
        <v>2.5746799999999999</v>
      </c>
      <c r="K2876" s="460">
        <v>284.76100000000002</v>
      </c>
      <c r="L2876" s="459" t="s">
        <v>539</v>
      </c>
      <c r="O2876">
        <v>0.66</v>
      </c>
      <c r="P2876" t="s">
        <v>8840</v>
      </c>
    </row>
    <row r="2877" spans="1:16" ht="14.4" x14ac:dyDescent="0.3">
      <c r="A2877">
        <v>221220</v>
      </c>
      <c r="B2877" t="str">
        <f t="shared" si="88"/>
        <v>SEVROLL Comfort tor dolny 3m jasny brąz</v>
      </c>
      <c r="C2877" s="185" t="e">
        <f t="shared" si="89"/>
        <v>#N/A</v>
      </c>
      <c r="D2877" s="407" t="s">
        <v>3028</v>
      </c>
      <c r="E2877" s="407" t="s">
        <v>4644</v>
      </c>
      <c r="F2877" s="407" t="s">
        <v>1182</v>
      </c>
      <c r="G2877" s="407" t="s">
        <v>4645</v>
      </c>
      <c r="H2877" s="460" t="e">
        <v>#N/A</v>
      </c>
      <c r="I2877" s="460" t="e">
        <v>#N/A</v>
      </c>
      <c r="J2877" s="460" t="e">
        <v>#N/A</v>
      </c>
      <c r="K2877" s="460" t="e">
        <v>#N/A</v>
      </c>
      <c r="L2877" s="459" t="e">
        <v>#N/A</v>
      </c>
      <c r="O2877">
        <v>25.212</v>
      </c>
      <c r="P2877" t="s">
        <v>9197</v>
      </c>
    </row>
    <row r="2878" spans="1:16" ht="14.4" x14ac:dyDescent="0.3">
      <c r="A2878">
        <v>222571</v>
      </c>
      <c r="B2878" t="str">
        <f t="shared" si="88"/>
        <v>SEVROLL tor dolny Simple/Blue 3m (do płyty laminowanej 18mm) srebrny</v>
      </c>
      <c r="C2878" s="185">
        <f t="shared" si="89"/>
        <v>50.028039999999997</v>
      </c>
      <c r="D2878" s="407" t="s">
        <v>3029</v>
      </c>
      <c r="E2878" s="407" t="s">
        <v>5389</v>
      </c>
      <c r="F2878" s="407" t="s">
        <v>5390</v>
      </c>
      <c r="G2878" s="407" t="s">
        <v>2381</v>
      </c>
      <c r="H2878" s="460">
        <v>285.65917000000002</v>
      </c>
      <c r="I2878" s="460">
        <v>10.38302</v>
      </c>
      <c r="J2878" s="460">
        <v>50.028039999999997</v>
      </c>
      <c r="K2878" s="460">
        <v>4058.9616799999999</v>
      </c>
      <c r="L2878" s="459" t="s">
        <v>538</v>
      </c>
      <c r="O2878">
        <v>9.5920000000000005</v>
      </c>
      <c r="P2878" t="s">
        <v>9423</v>
      </c>
    </row>
    <row r="2879" spans="1:16" ht="14.4" x14ac:dyDescent="0.3">
      <c r="A2879">
        <v>222572</v>
      </c>
      <c r="B2879" t="str">
        <f t="shared" si="88"/>
        <v>SEVROLL maskownica dolna Simple/Blue 3m (do płyty laminowanej 18mm) srebrny</v>
      </c>
      <c r="C2879" s="185">
        <f t="shared" si="89"/>
        <v>96.374769999999998</v>
      </c>
      <c r="D2879" s="407" t="s">
        <v>3030</v>
      </c>
      <c r="E2879" s="407" t="s">
        <v>5563</v>
      </c>
      <c r="F2879" s="407" t="s">
        <v>5564</v>
      </c>
      <c r="G2879" s="407" t="s">
        <v>2382</v>
      </c>
      <c r="H2879" s="460">
        <v>556.28363999999999</v>
      </c>
      <c r="I2879" s="460">
        <v>20.219560000000001</v>
      </c>
      <c r="J2879" s="460">
        <v>96.374769999999998</v>
      </c>
      <c r="K2879" s="460">
        <v>7904.2935500000003</v>
      </c>
      <c r="L2879" s="459" t="s">
        <v>538</v>
      </c>
      <c r="O2879">
        <v>18.788</v>
      </c>
      <c r="P2879" t="s">
        <v>9483</v>
      </c>
    </row>
    <row r="2880" spans="1:16" ht="14.4" x14ac:dyDescent="0.3">
      <c r="A2880">
        <v>222573</v>
      </c>
      <c r="B2880" t="str">
        <f t="shared" si="88"/>
        <v>SEVROLL tor dolny Simple/Blue 3m (do płyty laminowanej 10mm) srebrny</v>
      </c>
      <c r="C2880" s="185">
        <f t="shared" si="89"/>
        <v>45.607320000000001</v>
      </c>
      <c r="D2880" s="407" t="s">
        <v>3031</v>
      </c>
      <c r="E2880" s="407" t="s">
        <v>5369</v>
      </c>
      <c r="F2880" s="407" t="s">
        <v>5370</v>
      </c>
      <c r="G2880" s="407" t="s">
        <v>5371</v>
      </c>
      <c r="H2880" s="460">
        <v>330.76324</v>
      </c>
      <c r="I2880" s="460">
        <v>12.02244</v>
      </c>
      <c r="J2880" s="460">
        <v>45.607320000000001</v>
      </c>
      <c r="K2880" s="460">
        <v>4699.85023</v>
      </c>
      <c r="L2880" s="459" t="s">
        <v>538</v>
      </c>
      <c r="O2880">
        <v>11.176</v>
      </c>
      <c r="P2880" t="s">
        <v>9416</v>
      </c>
    </row>
    <row r="2881" spans="1:16" ht="14.4" x14ac:dyDescent="0.3">
      <c r="A2881">
        <v>222574</v>
      </c>
      <c r="B2881" t="str">
        <f t="shared" si="88"/>
        <v>SEVROLL maskownica dolna Simple/Blue 3m (do płyty laminowanej 10mm) srebrny</v>
      </c>
      <c r="C2881" s="185">
        <f t="shared" si="89"/>
        <v>68.544700000000006</v>
      </c>
      <c r="D2881" s="407" t="s">
        <v>3032</v>
      </c>
      <c r="E2881" s="407" t="s">
        <v>5542</v>
      </c>
      <c r="F2881" s="407" t="s">
        <v>5543</v>
      </c>
      <c r="G2881" s="407" t="s">
        <v>5544</v>
      </c>
      <c r="H2881" s="460">
        <v>538.38517999999999</v>
      </c>
      <c r="I2881" s="460">
        <v>19.568999999999999</v>
      </c>
      <c r="J2881" s="460">
        <v>68.544700000000006</v>
      </c>
      <c r="K2881" s="460">
        <v>7649.97264</v>
      </c>
      <c r="L2881" s="459" t="s">
        <v>538</v>
      </c>
      <c r="O2881">
        <v>17.423999999999999</v>
      </c>
      <c r="P2881" t="s">
        <v>9476</v>
      </c>
    </row>
    <row r="2882" spans="1:16" ht="14.4" x14ac:dyDescent="0.3">
      <c r="A2882">
        <v>222761</v>
      </c>
      <c r="B2882" t="str">
        <f t="shared" si="88"/>
        <v>SEVROLL szablon do wózków do płyty laminowanej 18mm</v>
      </c>
      <c r="C2882" s="185">
        <f t="shared" si="89"/>
        <v>17.821909999999999</v>
      </c>
      <c r="D2882" s="407" t="s">
        <v>3033</v>
      </c>
      <c r="E2882" s="407" t="s">
        <v>5707</v>
      </c>
      <c r="F2882" s="407" t="s">
        <v>1071</v>
      </c>
      <c r="G2882" s="407" t="s">
        <v>5708</v>
      </c>
      <c r="H2882" s="460">
        <v>102.443</v>
      </c>
      <c r="I2882" s="460">
        <v>4.0829800000000001</v>
      </c>
      <c r="J2882" s="460">
        <v>17.821909999999999</v>
      </c>
      <c r="K2882" s="460">
        <v>1662.2421200000001</v>
      </c>
      <c r="L2882" s="459" t="s">
        <v>538</v>
      </c>
      <c r="O2882">
        <v>3.6850000000000001</v>
      </c>
      <c r="P2882" t="s">
        <v>9533</v>
      </c>
    </row>
    <row r="2883" spans="1:16" ht="14.4" x14ac:dyDescent="0.3">
      <c r="A2883">
        <v>222787</v>
      </c>
      <c r="B2883" t="str">
        <f t="shared" si="88"/>
        <v>SEVROLL Alfa II rączka 18 mm 2,70 m złota</v>
      </c>
      <c r="C2883" s="185" t="e">
        <f t="shared" si="89"/>
        <v>#N/A</v>
      </c>
      <c r="D2883" s="407" t="s">
        <v>1190</v>
      </c>
      <c r="E2883" s="407" t="s">
        <v>4304</v>
      </c>
      <c r="F2883" s="407" t="s">
        <v>4305</v>
      </c>
      <c r="G2883" s="407" t="s">
        <v>4306</v>
      </c>
      <c r="H2883" s="460" t="e">
        <v>#N/A</v>
      </c>
      <c r="I2883" s="460" t="e">
        <v>#N/A</v>
      </c>
      <c r="J2883" s="460" t="e">
        <v>#N/A</v>
      </c>
      <c r="K2883" s="460" t="e">
        <v>#N/A</v>
      </c>
      <c r="L2883" s="459" t="e">
        <v>#N/A</v>
      </c>
      <c r="O2883">
        <v>13.464</v>
      </c>
      <c r="P2883" t="s">
        <v>9095</v>
      </c>
    </row>
    <row r="2884" spans="1:16" ht="14.4" x14ac:dyDescent="0.3">
      <c r="A2884">
        <v>222788</v>
      </c>
      <c r="B2884" t="str">
        <f t="shared" ref="B2884:B2947" si="90">IF($A$2=1,D2884,IF($A$2=2,F2884,IF($A$2=3,G2884,IF($A$2=4,E2884,IF($A$2&gt;4,P2884,"zadat jazyk")))))</f>
        <v>SEVROLL Alfa II rączka 18mm 2,70m srebrny</v>
      </c>
      <c r="C2884" s="185">
        <f t="shared" ref="C2884:C2947" si="91">IF($A$2=1,H2884,IF($A$2=2,I2884,IF($A$2=3,J2884,IF($A$2=4,K2884,IF($A$2&gt;4,O2884,"zadat jazyk")))))</f>
        <v>45.701709999999999</v>
      </c>
      <c r="D2884" s="407" t="s">
        <v>3034</v>
      </c>
      <c r="E2884" s="407" t="s">
        <v>4207</v>
      </c>
      <c r="F2884" s="407" t="s">
        <v>4208</v>
      </c>
      <c r="G2884" s="407" t="s">
        <v>4209</v>
      </c>
      <c r="H2884" s="460">
        <v>351.74153000000001</v>
      </c>
      <c r="I2884" s="460">
        <v>12.646979999999999</v>
      </c>
      <c r="J2884" s="460">
        <v>45.701709999999999</v>
      </c>
      <c r="K2884" s="460">
        <v>4867.6428800000003</v>
      </c>
      <c r="L2884" s="459" t="s">
        <v>538</v>
      </c>
      <c r="O2884">
        <v>12.231999999999999</v>
      </c>
      <c r="P2884" t="s">
        <v>9064</v>
      </c>
    </row>
    <row r="2885" spans="1:16" ht="14.4" x14ac:dyDescent="0.3">
      <c r="A2885">
        <v>222789</v>
      </c>
      <c r="B2885" t="str">
        <f t="shared" si="90"/>
        <v>SEVROLL Alfa II rączka 18mm 2,70m jasny brąz</v>
      </c>
      <c r="C2885" s="185">
        <f t="shared" si="91"/>
        <v>54.764899999999997</v>
      </c>
      <c r="D2885" s="407" t="s">
        <v>3035</v>
      </c>
      <c r="E2885" s="407" t="s">
        <v>4284</v>
      </c>
      <c r="F2885" s="407" t="s">
        <v>3035</v>
      </c>
      <c r="G2885" s="407" t="s">
        <v>4285</v>
      </c>
      <c r="H2885" s="460">
        <v>442.93376000000001</v>
      </c>
      <c r="I2885" s="460">
        <v>15.925829999999999</v>
      </c>
      <c r="J2885" s="460">
        <v>54.764899999999997</v>
      </c>
      <c r="K2885" s="460">
        <v>6129.62464</v>
      </c>
      <c r="L2885" s="459" t="s">
        <v>538</v>
      </c>
      <c r="O2885">
        <v>13.464</v>
      </c>
      <c r="P2885" t="s">
        <v>9089</v>
      </c>
    </row>
    <row r="2886" spans="1:16" ht="14.4" x14ac:dyDescent="0.3">
      <c r="A2886">
        <v>222922</v>
      </c>
      <c r="B2886" t="str">
        <f t="shared" si="90"/>
        <v>SEVROLL ZR-18 Unicomfort zestaw do drzwi rozwieranych</v>
      </c>
      <c r="C2886" s="185">
        <f t="shared" si="91"/>
        <v>106.2534</v>
      </c>
      <c r="D2886" s="407" t="s">
        <v>3036</v>
      </c>
      <c r="E2886" s="407" t="s">
        <v>1861</v>
      </c>
      <c r="F2886" s="407" t="s">
        <v>2174</v>
      </c>
      <c r="G2886" s="407" t="s">
        <v>2406</v>
      </c>
      <c r="H2886" s="460">
        <v>846.78513999999996</v>
      </c>
      <c r="I2886" s="460">
        <v>30.446439999999999</v>
      </c>
      <c r="J2886" s="460">
        <v>106.2534</v>
      </c>
      <c r="K2886" s="460">
        <v>11718.3999</v>
      </c>
      <c r="L2886" s="459" t="s">
        <v>539</v>
      </c>
      <c r="O2886">
        <v>28.533999999999999</v>
      </c>
      <c r="P2886" t="s">
        <v>9894</v>
      </c>
    </row>
    <row r="2887" spans="1:16" ht="14.4" x14ac:dyDescent="0.3">
      <c r="A2887">
        <v>223326</v>
      </c>
      <c r="B2887" t="str">
        <f t="shared" si="90"/>
        <v>SEVROLL kątownik K2 1,7 m  oliwka ciemna szczotkowana</v>
      </c>
      <c r="C2887" s="185">
        <f t="shared" si="91"/>
        <v>16.82321</v>
      </c>
      <c r="D2887" s="407" t="s">
        <v>3037</v>
      </c>
      <c r="E2887" s="407" t="s">
        <v>3676</v>
      </c>
      <c r="F2887" s="407" t="s">
        <v>3677</v>
      </c>
      <c r="G2887" s="407" t="s">
        <v>3678</v>
      </c>
      <c r="H2887" s="460">
        <v>136.06462999999999</v>
      </c>
      <c r="I2887" s="460">
        <v>4.8922499999999998</v>
      </c>
      <c r="J2887" s="460">
        <v>16.82321</v>
      </c>
      <c r="K2887" s="460">
        <v>1882.95649</v>
      </c>
      <c r="L2887" s="459" t="s">
        <v>539</v>
      </c>
      <c r="O2887">
        <v>4.3120000000000003</v>
      </c>
      <c r="P2887" t="s">
        <v>8891</v>
      </c>
    </row>
    <row r="2888" spans="1:16" ht="14.4" x14ac:dyDescent="0.3">
      <c r="A2888">
        <v>223330</v>
      </c>
      <c r="B2888" t="str">
        <f t="shared" si="90"/>
        <v>SEVROLL kątownik K2 2,35 m  oliwka ciemna szczotkowana</v>
      </c>
      <c r="C2888" s="185">
        <f t="shared" si="91"/>
        <v>23.26613</v>
      </c>
      <c r="D2888" s="407" t="s">
        <v>3038</v>
      </c>
      <c r="E2888" s="407" t="s">
        <v>3793</v>
      </c>
      <c r="F2888" s="407" t="s">
        <v>3794</v>
      </c>
      <c r="G2888" s="407" t="s">
        <v>3795</v>
      </c>
      <c r="H2888" s="460">
        <v>188.17447000000001</v>
      </c>
      <c r="I2888" s="460">
        <v>6.7658800000000001</v>
      </c>
      <c r="J2888" s="460">
        <v>23.26613</v>
      </c>
      <c r="K2888" s="460">
        <v>2604.08887</v>
      </c>
      <c r="L2888" s="459" t="s">
        <v>539</v>
      </c>
      <c r="O2888">
        <v>6.0279999999999996</v>
      </c>
      <c r="P2888" t="s">
        <v>8929</v>
      </c>
    </row>
    <row r="2889" spans="1:16" ht="14.4" x14ac:dyDescent="0.3">
      <c r="A2889">
        <v>223331</v>
      </c>
      <c r="B2889" t="str">
        <f t="shared" si="90"/>
        <v>SEVROLL kątownik K2 3 m  oliwka ciemna szczotkowana</v>
      </c>
      <c r="C2889" s="185">
        <f t="shared" si="91"/>
        <v>31.558800000000002</v>
      </c>
      <c r="D2889" s="407" t="s">
        <v>3039</v>
      </c>
      <c r="E2889" s="407" t="s">
        <v>3968</v>
      </c>
      <c r="F2889" s="407" t="s">
        <v>1092</v>
      </c>
      <c r="G2889" s="407" t="s">
        <v>3969</v>
      </c>
      <c r="H2889" s="460">
        <v>240.28432000000001</v>
      </c>
      <c r="I2889" s="460">
        <v>8.6395</v>
      </c>
      <c r="J2889" s="460">
        <v>31.558800000000002</v>
      </c>
      <c r="K2889" s="460">
        <v>3325.2212399999999</v>
      </c>
      <c r="L2889" s="459" t="s">
        <v>539</v>
      </c>
      <c r="O2889">
        <v>7.968</v>
      </c>
      <c r="P2889" t="s">
        <v>8987</v>
      </c>
    </row>
    <row r="2890" spans="1:16" ht="14.4" x14ac:dyDescent="0.3">
      <c r="A2890">
        <v>223332</v>
      </c>
      <c r="B2890" t="str">
        <f t="shared" si="90"/>
        <v>SEVROLL listwa łącząca H18 3 m  oliwka ciemna szczotkowana</v>
      </c>
      <c r="C2890" s="185">
        <f t="shared" si="91"/>
        <v>67.391400000000004</v>
      </c>
      <c r="D2890" s="407" t="s">
        <v>3040</v>
      </c>
      <c r="E2890" s="407" t="s">
        <v>5586</v>
      </c>
      <c r="F2890" s="407" t="s">
        <v>1100</v>
      </c>
      <c r="G2890" s="407" t="s">
        <v>5587</v>
      </c>
      <c r="H2890" s="460">
        <v>538.46848999999997</v>
      </c>
      <c r="I2890" s="460">
        <v>19.360810000000001</v>
      </c>
      <c r="J2890" s="460">
        <v>67.391400000000004</v>
      </c>
      <c r="K2890" s="460">
        <v>7451.7006300000003</v>
      </c>
      <c r="L2890" s="459" t="s">
        <v>539</v>
      </c>
      <c r="O2890">
        <v>17.225999999999999</v>
      </c>
      <c r="P2890" t="s">
        <v>9493</v>
      </c>
    </row>
    <row r="2891" spans="1:16" ht="14.4" x14ac:dyDescent="0.3">
      <c r="A2891">
        <v>223341</v>
      </c>
      <c r="B2891" t="str">
        <f t="shared" si="90"/>
        <v>SEVROLL profil "U" 18 mm 3 m oliwka szczotkowana</v>
      </c>
      <c r="C2891" s="185">
        <f t="shared" si="91"/>
        <v>36.934199999999997</v>
      </c>
      <c r="D2891" s="407" t="s">
        <v>3041</v>
      </c>
      <c r="E2891" s="407" t="s">
        <v>4121</v>
      </c>
      <c r="F2891" s="407" t="s">
        <v>1112</v>
      </c>
      <c r="G2891" s="407" t="s">
        <v>4122</v>
      </c>
      <c r="H2891" s="460">
        <v>238.11309</v>
      </c>
      <c r="I2891" s="460">
        <v>8.5614399999999993</v>
      </c>
      <c r="J2891" s="460">
        <v>36.934199999999997</v>
      </c>
      <c r="K2891" s="460">
        <v>3295.17416</v>
      </c>
      <c r="L2891" s="459" t="s">
        <v>539</v>
      </c>
      <c r="O2891">
        <v>9.9220000000000006</v>
      </c>
      <c r="P2891" t="s">
        <v>9038</v>
      </c>
    </row>
    <row r="2892" spans="1:16" ht="14.4" x14ac:dyDescent="0.3">
      <c r="A2892">
        <v>223342</v>
      </c>
      <c r="B2892" t="str">
        <f t="shared" si="90"/>
        <v>SEVROLL profil "U" 18 mm 3 m  oliwka ciemna szczotkowana</v>
      </c>
      <c r="C2892" s="185">
        <f t="shared" si="91"/>
        <v>36.934199999999997</v>
      </c>
      <c r="D2892" s="407" t="s">
        <v>3042</v>
      </c>
      <c r="E2892" s="407" t="s">
        <v>4123</v>
      </c>
      <c r="F2892" s="407" t="s">
        <v>1111</v>
      </c>
      <c r="G2892" s="407" t="s">
        <v>4124</v>
      </c>
      <c r="H2892" s="460">
        <v>238.11309</v>
      </c>
      <c r="I2892" s="460">
        <v>8.5614399999999993</v>
      </c>
      <c r="J2892" s="460">
        <v>36.934199999999997</v>
      </c>
      <c r="K2892" s="460">
        <v>3295.17416</v>
      </c>
      <c r="L2892" s="459" t="s">
        <v>539</v>
      </c>
      <c r="O2892">
        <v>9.9220000000000006</v>
      </c>
      <c r="P2892" t="s">
        <v>9039</v>
      </c>
    </row>
    <row r="2893" spans="1:16" ht="14.4" x14ac:dyDescent="0.3">
      <c r="A2893">
        <v>223343</v>
      </c>
      <c r="B2893" t="str">
        <f t="shared" si="90"/>
        <v>SEVROLL profil "U" 18 mm 3 m czarny szczotkowany</v>
      </c>
      <c r="C2893" s="185">
        <f t="shared" si="91"/>
        <v>36.934199999999997</v>
      </c>
      <c r="D2893" s="407" t="s">
        <v>3043</v>
      </c>
      <c r="E2893" s="407" t="s">
        <v>4128</v>
      </c>
      <c r="F2893" s="407" t="s">
        <v>4129</v>
      </c>
      <c r="G2893" s="407" t="s">
        <v>4130</v>
      </c>
      <c r="H2893" s="460">
        <v>238.11309</v>
      </c>
      <c r="I2893" s="460">
        <v>8.5614399999999993</v>
      </c>
      <c r="J2893" s="460">
        <v>36.934199999999997</v>
      </c>
      <c r="K2893" s="460">
        <v>3295.17416</v>
      </c>
      <c r="L2893" s="459" t="s">
        <v>538</v>
      </c>
      <c r="O2893">
        <v>9.9220000000000006</v>
      </c>
      <c r="P2893" t="s">
        <v>9040</v>
      </c>
    </row>
    <row r="2894" spans="1:16" ht="14.4" x14ac:dyDescent="0.3">
      <c r="A2894">
        <v>223391</v>
      </c>
      <c r="B2894" t="str">
        <f t="shared" si="90"/>
        <v>SEVROLL listwa łącząca H18 3m czarny szczotkowany</v>
      </c>
      <c r="C2894" s="185">
        <f t="shared" si="91"/>
        <v>67.391400000000004</v>
      </c>
      <c r="D2894" s="407" t="s">
        <v>3044</v>
      </c>
      <c r="E2894" s="407" t="s">
        <v>5581</v>
      </c>
      <c r="F2894" s="407" t="s">
        <v>1205</v>
      </c>
      <c r="G2894" s="407" t="s">
        <v>5582</v>
      </c>
      <c r="H2894" s="460">
        <v>538.46848999999997</v>
      </c>
      <c r="I2894" s="460">
        <v>19.360810000000001</v>
      </c>
      <c r="J2894" s="460">
        <v>67.391400000000004</v>
      </c>
      <c r="K2894" s="460">
        <v>7451.7006300000003</v>
      </c>
      <c r="L2894" s="459" t="s">
        <v>538</v>
      </c>
      <c r="O2894">
        <v>17.225999999999999</v>
      </c>
      <c r="P2894" t="s">
        <v>9490</v>
      </c>
    </row>
    <row r="2895" spans="1:16" ht="14.4" x14ac:dyDescent="0.3">
      <c r="A2895">
        <v>223392</v>
      </c>
      <c r="B2895" t="str">
        <f t="shared" si="90"/>
        <v>SEVROLL kątownik K2 1,7 m czarny szczotkowany</v>
      </c>
      <c r="C2895" s="185">
        <f t="shared" si="91"/>
        <v>16.82321</v>
      </c>
      <c r="D2895" s="407" t="s">
        <v>3045</v>
      </c>
      <c r="E2895" s="407" t="s">
        <v>3653</v>
      </c>
      <c r="F2895" s="407" t="s">
        <v>3654</v>
      </c>
      <c r="G2895" s="407" t="s">
        <v>3655</v>
      </c>
      <c r="H2895" s="460">
        <v>136.06462999999999</v>
      </c>
      <c r="I2895" s="460">
        <v>4.8922499999999998</v>
      </c>
      <c r="J2895" s="460">
        <v>16.82321</v>
      </c>
      <c r="K2895" s="460">
        <v>1882.95649</v>
      </c>
      <c r="L2895" s="459" t="s">
        <v>539</v>
      </c>
      <c r="O2895">
        <v>4.3120000000000003</v>
      </c>
      <c r="P2895" t="s">
        <v>8883</v>
      </c>
    </row>
    <row r="2896" spans="1:16" ht="14.4" x14ac:dyDescent="0.3">
      <c r="A2896">
        <v>223393</v>
      </c>
      <c r="B2896" t="str">
        <f t="shared" si="90"/>
        <v>SEVROLL kątownik K2 2,35 m czarny szczotkowany</v>
      </c>
      <c r="C2896" s="185">
        <f t="shared" si="91"/>
        <v>23.26613</v>
      </c>
      <c r="D2896" s="407" t="s">
        <v>3046</v>
      </c>
      <c r="E2896" s="407" t="s">
        <v>3790</v>
      </c>
      <c r="F2896" s="407" t="s">
        <v>3791</v>
      </c>
      <c r="G2896" s="407" t="s">
        <v>3792</v>
      </c>
      <c r="H2896" s="460">
        <v>188.17447000000001</v>
      </c>
      <c r="I2896" s="460">
        <v>6.7658800000000001</v>
      </c>
      <c r="J2896" s="460">
        <v>23.26613</v>
      </c>
      <c r="K2896" s="460">
        <v>2604.08887</v>
      </c>
      <c r="L2896" s="459" t="s">
        <v>538</v>
      </c>
      <c r="O2896">
        <v>6.0279999999999996</v>
      </c>
      <c r="P2896" t="s">
        <v>8928</v>
      </c>
    </row>
    <row r="2897" spans="1:16" ht="14.4" x14ac:dyDescent="0.3">
      <c r="A2897">
        <v>223394</v>
      </c>
      <c r="B2897" t="str">
        <f t="shared" si="90"/>
        <v>SEVROLL kątownik K2 3 m czarny szczotkowany</v>
      </c>
      <c r="C2897" s="185">
        <f t="shared" si="91"/>
        <v>31.558800000000002</v>
      </c>
      <c r="D2897" s="407" t="s">
        <v>3047</v>
      </c>
      <c r="E2897" s="407" t="s">
        <v>4008</v>
      </c>
      <c r="F2897" s="407" t="s">
        <v>1198</v>
      </c>
      <c r="G2897" s="407" t="s">
        <v>4009</v>
      </c>
      <c r="H2897" s="460">
        <v>240.28432000000001</v>
      </c>
      <c r="I2897" s="460">
        <v>8.6395</v>
      </c>
      <c r="J2897" s="460">
        <v>31.558800000000002</v>
      </c>
      <c r="K2897" s="460">
        <v>3325.2212399999999</v>
      </c>
      <c r="L2897" s="459" t="s">
        <v>538</v>
      </c>
      <c r="O2897">
        <v>7.968</v>
      </c>
      <c r="P2897" t="s">
        <v>9001</v>
      </c>
    </row>
    <row r="2898" spans="1:16" ht="14.4" x14ac:dyDescent="0.3">
      <c r="A2898">
        <v>223405</v>
      </c>
      <c r="B2898" t="str">
        <f t="shared" si="90"/>
        <v>SEVROLL Hide M tor dolny 3 m oliwka</v>
      </c>
      <c r="C2898" s="185">
        <f t="shared" si="91"/>
        <v>36.22298</v>
      </c>
      <c r="D2898" s="407" t="s">
        <v>3048</v>
      </c>
      <c r="E2898" s="407" t="s">
        <v>4034</v>
      </c>
      <c r="F2898" s="407" t="s">
        <v>4035</v>
      </c>
      <c r="G2898" s="407" t="s">
        <v>4036</v>
      </c>
      <c r="H2898" s="460">
        <v>281.48068999999998</v>
      </c>
      <c r="I2898" s="460">
        <v>10.61722</v>
      </c>
      <c r="J2898" s="460">
        <v>36.22298</v>
      </c>
      <c r="K2898" s="460">
        <v>4006.2905000000001</v>
      </c>
      <c r="L2898" s="459" t="s">
        <v>539</v>
      </c>
      <c r="O2898">
        <v>9.0419999999999998</v>
      </c>
      <c r="P2898" t="s">
        <v>9010</v>
      </c>
    </row>
    <row r="2899" spans="1:16" ht="14.4" x14ac:dyDescent="0.3">
      <c r="A2899">
        <v>223506</v>
      </c>
      <c r="B2899" t="str">
        <f t="shared" si="90"/>
        <v>SEVROLL Herkules 2 tor górny 1,2 m alu</v>
      </c>
      <c r="C2899" s="185" t="e">
        <f t="shared" si="91"/>
        <v>#N/A</v>
      </c>
      <c r="D2899" s="407" t="s">
        <v>3049</v>
      </c>
      <c r="E2899" s="407" t="s">
        <v>4348</v>
      </c>
      <c r="F2899" s="407" t="s">
        <v>4349</v>
      </c>
      <c r="G2899" s="407" t="s">
        <v>4350</v>
      </c>
      <c r="H2899" s="460" t="e">
        <v>#N/A</v>
      </c>
      <c r="I2899" s="460" t="e">
        <v>#N/A</v>
      </c>
      <c r="J2899" s="460" t="e">
        <v>#N/A</v>
      </c>
      <c r="K2899" s="460" t="e">
        <v>#N/A</v>
      </c>
      <c r="L2899" s="459" t="e">
        <v>#N/A</v>
      </c>
      <c r="O2899" t="e">
        <v>#N/A</v>
      </c>
      <c r="P2899" t="e">
        <v>#N/A</v>
      </c>
    </row>
    <row r="2900" spans="1:16" ht="14.4" x14ac:dyDescent="0.3">
      <c r="A2900">
        <v>223507</v>
      </c>
      <c r="B2900" t="str">
        <f t="shared" si="90"/>
        <v>SEVROLL Herkules 2 tor górny 1,5 m alu</v>
      </c>
      <c r="C2900" s="185" t="e">
        <f t="shared" si="91"/>
        <v>#N/A</v>
      </c>
      <c r="D2900" s="407" t="s">
        <v>3050</v>
      </c>
      <c r="E2900" s="407" t="s">
        <v>4492</v>
      </c>
      <c r="F2900" s="407" t="s">
        <v>4493</v>
      </c>
      <c r="G2900" s="407" t="s">
        <v>4494</v>
      </c>
      <c r="H2900" s="460" t="e">
        <v>#N/A</v>
      </c>
      <c r="I2900" s="460" t="e">
        <v>#N/A</v>
      </c>
      <c r="J2900" s="460" t="e">
        <v>#N/A</v>
      </c>
      <c r="K2900" s="460" t="e">
        <v>#N/A</v>
      </c>
      <c r="L2900" s="459" t="e">
        <v>#N/A</v>
      </c>
      <c r="O2900" t="e">
        <v>#N/A</v>
      </c>
      <c r="P2900" t="e">
        <v>#N/A</v>
      </c>
    </row>
    <row r="2901" spans="1:16" ht="14.4" x14ac:dyDescent="0.3">
      <c r="A2901">
        <v>223508</v>
      </c>
      <c r="B2901" t="str">
        <f t="shared" si="90"/>
        <v>SEVROLL Herkules 2 tor górny 1,8 m alu</v>
      </c>
      <c r="C2901" s="185" t="e">
        <f t="shared" si="91"/>
        <v>#N/A</v>
      </c>
      <c r="D2901" s="407" t="s">
        <v>3051</v>
      </c>
      <c r="E2901" s="407" t="s">
        <v>4604</v>
      </c>
      <c r="F2901" s="407" t="s">
        <v>4605</v>
      </c>
      <c r="G2901" s="407" t="s">
        <v>4606</v>
      </c>
      <c r="H2901" s="460" t="e">
        <v>#N/A</v>
      </c>
      <c r="I2901" s="460" t="e">
        <v>#N/A</v>
      </c>
      <c r="J2901" s="460" t="e">
        <v>#N/A</v>
      </c>
      <c r="K2901" s="460" t="e">
        <v>#N/A</v>
      </c>
      <c r="L2901" s="459" t="e">
        <v>#N/A</v>
      </c>
      <c r="O2901" t="e">
        <v>#N/A</v>
      </c>
      <c r="P2901" t="e">
        <v>#N/A</v>
      </c>
    </row>
    <row r="2902" spans="1:16" ht="14.4" x14ac:dyDescent="0.3">
      <c r="A2902">
        <v>223509</v>
      </c>
      <c r="B2902" t="str">
        <f t="shared" si="90"/>
        <v>SEVROLL Herkules 2 tor górny 2 m alu</v>
      </c>
      <c r="C2902" s="185" t="e">
        <f t="shared" si="91"/>
        <v>#N/A</v>
      </c>
      <c r="D2902" s="407" t="s">
        <v>3052</v>
      </c>
      <c r="E2902" s="407" t="s">
        <v>4678</v>
      </c>
      <c r="F2902" s="407" t="s">
        <v>4679</v>
      </c>
      <c r="G2902" s="407" t="s">
        <v>4680</v>
      </c>
      <c r="H2902" s="460" t="e">
        <v>#N/A</v>
      </c>
      <c r="I2902" s="460" t="e">
        <v>#N/A</v>
      </c>
      <c r="J2902" s="460" t="e">
        <v>#N/A</v>
      </c>
      <c r="K2902" s="460" t="e">
        <v>#N/A</v>
      </c>
      <c r="L2902" s="459" t="e">
        <v>#N/A</v>
      </c>
      <c r="O2902" t="e">
        <v>#N/A</v>
      </c>
      <c r="P2902" t="e">
        <v>#N/A</v>
      </c>
    </row>
    <row r="2903" spans="1:16" ht="14.4" x14ac:dyDescent="0.3">
      <c r="A2903">
        <v>223510</v>
      </c>
      <c r="B2903" t="str">
        <f t="shared" si="90"/>
        <v>SEVROLL Herkules 2 tor górny 3 m alu</v>
      </c>
      <c r="C2903" s="185" t="e">
        <f t="shared" si="91"/>
        <v>#N/A</v>
      </c>
      <c r="D2903" s="407" t="s">
        <v>2723</v>
      </c>
      <c r="E2903" s="407" t="s">
        <v>4891</v>
      </c>
      <c r="F2903" s="407" t="s">
        <v>4892</v>
      </c>
      <c r="G2903" s="407" t="s">
        <v>4893</v>
      </c>
      <c r="H2903" s="460" t="e">
        <v>#N/A</v>
      </c>
      <c r="I2903" s="460" t="e">
        <v>#N/A</v>
      </c>
      <c r="J2903" s="460" t="e">
        <v>#N/A</v>
      </c>
      <c r="K2903" s="460" t="e">
        <v>#N/A</v>
      </c>
      <c r="L2903" s="459" t="e">
        <v>#N/A</v>
      </c>
      <c r="O2903" t="e">
        <v>#N/A</v>
      </c>
      <c r="P2903" t="e">
        <v>#N/A</v>
      </c>
    </row>
    <row r="2904" spans="1:16" ht="14.4" x14ac:dyDescent="0.3">
      <c r="A2904">
        <v>223511</v>
      </c>
      <c r="B2904" t="str">
        <f t="shared" si="90"/>
        <v>SEVROLL Herkules 2 tor górny 4 m alu</v>
      </c>
      <c r="C2904" s="185" t="e">
        <f t="shared" si="91"/>
        <v>#N/A</v>
      </c>
      <c r="D2904" s="407" t="s">
        <v>3053</v>
      </c>
      <c r="E2904" s="407" t="s">
        <v>4976</v>
      </c>
      <c r="F2904" s="407" t="s">
        <v>4977</v>
      </c>
      <c r="G2904" s="407" t="s">
        <v>4978</v>
      </c>
      <c r="H2904" s="460" t="e">
        <v>#N/A</v>
      </c>
      <c r="I2904" s="460" t="e">
        <v>#N/A</v>
      </c>
      <c r="J2904" s="460" t="e">
        <v>#N/A</v>
      </c>
      <c r="K2904" s="460" t="e">
        <v>#N/A</v>
      </c>
      <c r="L2904" s="459" t="e">
        <v>#N/A</v>
      </c>
      <c r="O2904" t="e">
        <v>#N/A</v>
      </c>
      <c r="P2904" t="e">
        <v>#N/A</v>
      </c>
    </row>
    <row r="2905" spans="1:16" ht="14.4" x14ac:dyDescent="0.3">
      <c r="A2905">
        <v>223512</v>
      </c>
      <c r="B2905" t="str">
        <f t="shared" si="90"/>
        <v>SEVROLL Herkules 2 tor górny 6 m alu</v>
      </c>
      <c r="C2905" s="185" t="e">
        <f t="shared" si="91"/>
        <v>#N/A</v>
      </c>
      <c r="D2905" s="407" t="s">
        <v>3054</v>
      </c>
      <c r="E2905" s="407" t="s">
        <v>5061</v>
      </c>
      <c r="F2905" s="407" t="s">
        <v>5062</v>
      </c>
      <c r="G2905" s="407" t="s">
        <v>5063</v>
      </c>
      <c r="H2905" s="460" t="e">
        <v>#N/A</v>
      </c>
      <c r="I2905" s="460" t="e">
        <v>#N/A</v>
      </c>
      <c r="J2905" s="460" t="e">
        <v>#N/A</v>
      </c>
      <c r="K2905" s="460" t="e">
        <v>#N/A</v>
      </c>
      <c r="L2905" s="459" t="e">
        <v>#N/A</v>
      </c>
      <c r="O2905" t="e">
        <v>#N/A</v>
      </c>
      <c r="P2905" t="e">
        <v>#N/A</v>
      </c>
    </row>
    <row r="2906" spans="1:16" ht="14.4" x14ac:dyDescent="0.3">
      <c r="A2906">
        <v>223514</v>
      </c>
      <c r="B2906" t="str">
        <f t="shared" si="90"/>
        <v>SEVROLL Herkules zestaw okuć 60kg 1,2m</v>
      </c>
      <c r="C2906" s="185" t="e">
        <f t="shared" si="91"/>
        <v>#N/A</v>
      </c>
      <c r="D2906" s="407" t="s">
        <v>3055</v>
      </c>
      <c r="E2906" s="407" t="s">
        <v>4958</v>
      </c>
      <c r="F2906" s="407" t="s">
        <v>1152</v>
      </c>
      <c r="G2906" s="407" t="s">
        <v>4959</v>
      </c>
      <c r="H2906" s="460" t="e">
        <v>#N/A</v>
      </c>
      <c r="I2906" s="460" t="e">
        <v>#N/A</v>
      </c>
      <c r="J2906" s="460" t="e">
        <v>#N/A</v>
      </c>
      <c r="K2906" s="460" t="e">
        <v>#N/A</v>
      </c>
      <c r="L2906" s="459" t="e">
        <v>#N/A</v>
      </c>
      <c r="O2906" t="e">
        <v>#N/A</v>
      </c>
      <c r="P2906" t="e">
        <v>#N/A</v>
      </c>
    </row>
    <row r="2907" spans="1:16" ht="14.4" x14ac:dyDescent="0.3">
      <c r="A2907">
        <v>223515</v>
      </c>
      <c r="B2907" t="str">
        <f t="shared" si="90"/>
        <v>SEVROLL Herkules zestaw okuć 120kg 1,2m</v>
      </c>
      <c r="C2907" s="185" t="e">
        <f t="shared" si="91"/>
        <v>#N/A</v>
      </c>
      <c r="D2907" s="407" t="s">
        <v>3056</v>
      </c>
      <c r="E2907" s="407" t="s">
        <v>4998</v>
      </c>
      <c r="F2907" s="407" t="s">
        <v>1159</v>
      </c>
      <c r="G2907" s="407" t="s">
        <v>4999</v>
      </c>
      <c r="H2907" s="460" t="e">
        <v>#N/A</v>
      </c>
      <c r="I2907" s="460" t="e">
        <v>#N/A</v>
      </c>
      <c r="J2907" s="460" t="e">
        <v>#N/A</v>
      </c>
      <c r="K2907" s="460" t="e">
        <v>#N/A</v>
      </c>
      <c r="L2907" s="459" t="e">
        <v>#N/A</v>
      </c>
      <c r="O2907" t="e">
        <v>#N/A</v>
      </c>
      <c r="P2907" t="e">
        <v>#N/A</v>
      </c>
    </row>
    <row r="2908" spans="1:16" ht="14.4" x14ac:dyDescent="0.3">
      <c r="A2908">
        <v>223516</v>
      </c>
      <c r="B2908" t="str">
        <f t="shared" si="90"/>
        <v>SEVROLL Herkules zestaw okuć 60kg 1,5m</v>
      </c>
      <c r="C2908" s="185" t="e">
        <f t="shared" si="91"/>
        <v>#N/A</v>
      </c>
      <c r="D2908" s="407" t="s">
        <v>3057</v>
      </c>
      <c r="E2908" s="407" t="s">
        <v>4982</v>
      </c>
      <c r="F2908" s="407" t="s">
        <v>1151</v>
      </c>
      <c r="G2908" s="407" t="s">
        <v>4983</v>
      </c>
      <c r="H2908" s="460" t="e">
        <v>#N/A</v>
      </c>
      <c r="I2908" s="460" t="e">
        <v>#N/A</v>
      </c>
      <c r="J2908" s="460" t="e">
        <v>#N/A</v>
      </c>
      <c r="K2908" s="460" t="e">
        <v>#N/A</v>
      </c>
      <c r="L2908" s="459" t="e">
        <v>#N/A</v>
      </c>
      <c r="O2908" t="e">
        <v>#N/A</v>
      </c>
      <c r="P2908" t="e">
        <v>#N/A</v>
      </c>
    </row>
    <row r="2909" spans="1:16" ht="14.4" x14ac:dyDescent="0.3">
      <c r="A2909">
        <v>223517</v>
      </c>
      <c r="B2909" t="str">
        <f t="shared" si="90"/>
        <v>SEVROLL Herkules zestaw okuć 120kg 1,5m</v>
      </c>
      <c r="C2909" s="185" t="e">
        <f t="shared" si="91"/>
        <v>#N/A</v>
      </c>
      <c r="D2909" s="407" t="s">
        <v>3058</v>
      </c>
      <c r="E2909" s="407" t="s">
        <v>5032</v>
      </c>
      <c r="F2909" s="407" t="s">
        <v>1158</v>
      </c>
      <c r="G2909" s="407" t="s">
        <v>5033</v>
      </c>
      <c r="H2909" s="460" t="e">
        <v>#N/A</v>
      </c>
      <c r="I2909" s="460" t="e">
        <v>#N/A</v>
      </c>
      <c r="J2909" s="460" t="e">
        <v>#N/A</v>
      </c>
      <c r="K2909" s="460" t="e">
        <v>#N/A</v>
      </c>
      <c r="L2909" s="459" t="e">
        <v>#N/A</v>
      </c>
      <c r="O2909" t="e">
        <v>#N/A</v>
      </c>
      <c r="P2909" t="e">
        <v>#N/A</v>
      </c>
    </row>
    <row r="2910" spans="1:16" ht="14.4" x14ac:dyDescent="0.3">
      <c r="A2910">
        <v>223518</v>
      </c>
      <c r="B2910" t="str">
        <f t="shared" si="90"/>
        <v>SEVROLL Herkules zestaw okuć 60kg 1,8m</v>
      </c>
      <c r="C2910" s="185" t="e">
        <f t="shared" si="91"/>
        <v>#N/A</v>
      </c>
      <c r="D2910" s="407" t="s">
        <v>3059</v>
      </c>
      <c r="E2910" s="407" t="s">
        <v>5028</v>
      </c>
      <c r="F2910" s="407" t="s">
        <v>1150</v>
      </c>
      <c r="G2910" s="407" t="s">
        <v>5029</v>
      </c>
      <c r="H2910" s="460" t="e">
        <v>#N/A</v>
      </c>
      <c r="I2910" s="460" t="e">
        <v>#N/A</v>
      </c>
      <c r="J2910" s="460" t="e">
        <v>#N/A</v>
      </c>
      <c r="K2910" s="460" t="e">
        <v>#N/A</v>
      </c>
      <c r="L2910" s="459" t="e">
        <v>#N/A</v>
      </c>
      <c r="O2910" t="e">
        <v>#N/A</v>
      </c>
      <c r="P2910" t="e">
        <v>#N/A</v>
      </c>
    </row>
    <row r="2911" spans="1:16" ht="14.4" x14ac:dyDescent="0.3">
      <c r="A2911">
        <v>223519</v>
      </c>
      <c r="B2911" t="str">
        <f t="shared" si="90"/>
        <v>SEVROLL Herkules zestaw okuć 120kg 1,8m</v>
      </c>
      <c r="C2911" s="185" t="e">
        <f t="shared" si="91"/>
        <v>#N/A</v>
      </c>
      <c r="D2911" s="407" t="s">
        <v>3060</v>
      </c>
      <c r="E2911" s="407" t="s">
        <v>5037</v>
      </c>
      <c r="F2911" s="407" t="s">
        <v>1157</v>
      </c>
      <c r="G2911" s="407" t="s">
        <v>5038</v>
      </c>
      <c r="H2911" s="460" t="e">
        <v>#N/A</v>
      </c>
      <c r="I2911" s="460" t="e">
        <v>#N/A</v>
      </c>
      <c r="J2911" s="460" t="e">
        <v>#N/A</v>
      </c>
      <c r="K2911" s="460" t="e">
        <v>#N/A</v>
      </c>
      <c r="L2911" s="459" t="e">
        <v>#N/A</v>
      </c>
      <c r="O2911" t="e">
        <v>#N/A</v>
      </c>
      <c r="P2911" t="e">
        <v>#N/A</v>
      </c>
    </row>
    <row r="2912" spans="1:16" ht="14.4" x14ac:dyDescent="0.3">
      <c r="A2912">
        <v>223520</v>
      </c>
      <c r="B2912" t="str">
        <f t="shared" si="90"/>
        <v>SEVROLL Herkules zestaw okuć 60kg 2m</v>
      </c>
      <c r="C2912" s="185" t="e">
        <f t="shared" si="91"/>
        <v>#N/A</v>
      </c>
      <c r="D2912" s="407" t="s">
        <v>3061</v>
      </c>
      <c r="E2912" s="407" t="s">
        <v>5030</v>
      </c>
      <c r="F2912" s="407" t="s">
        <v>1148</v>
      </c>
      <c r="G2912" s="407" t="s">
        <v>5031</v>
      </c>
      <c r="H2912" s="460" t="e">
        <v>#N/A</v>
      </c>
      <c r="I2912" s="460" t="e">
        <v>#N/A</v>
      </c>
      <c r="J2912" s="460" t="e">
        <v>#N/A</v>
      </c>
      <c r="K2912" s="460" t="e">
        <v>#N/A</v>
      </c>
      <c r="L2912" s="459" t="e">
        <v>#N/A</v>
      </c>
      <c r="O2912" t="e">
        <v>#N/A</v>
      </c>
      <c r="P2912" t="e">
        <v>#N/A</v>
      </c>
    </row>
    <row r="2913" spans="1:16" ht="14.4" x14ac:dyDescent="0.3">
      <c r="A2913">
        <v>223521</v>
      </c>
      <c r="B2913" t="str">
        <f t="shared" si="90"/>
        <v>SEVROLL Herkules zestaw okuć 120kg 2m</v>
      </c>
      <c r="C2913" s="185" t="e">
        <f t="shared" si="91"/>
        <v>#N/A</v>
      </c>
      <c r="D2913" s="407" t="s">
        <v>3062</v>
      </c>
      <c r="E2913" s="407" t="s">
        <v>5049</v>
      </c>
      <c r="F2913" s="407" t="s">
        <v>1155</v>
      </c>
      <c r="G2913" s="407" t="s">
        <v>5050</v>
      </c>
      <c r="H2913" s="460" t="e">
        <v>#N/A</v>
      </c>
      <c r="I2913" s="460" t="e">
        <v>#N/A</v>
      </c>
      <c r="J2913" s="460" t="e">
        <v>#N/A</v>
      </c>
      <c r="K2913" s="460" t="e">
        <v>#N/A</v>
      </c>
      <c r="L2913" s="459" t="e">
        <v>#N/A</v>
      </c>
      <c r="O2913" t="e">
        <v>#N/A</v>
      </c>
      <c r="P2913" t="e">
        <v>#N/A</v>
      </c>
    </row>
    <row r="2914" spans="1:16" ht="14.4" x14ac:dyDescent="0.3">
      <c r="A2914">
        <v>223522</v>
      </c>
      <c r="B2914" t="str">
        <f t="shared" si="90"/>
        <v>SEVROLL Herkules zestaw okuć 60kg 2,4m</v>
      </c>
      <c r="C2914" s="185" t="e">
        <f t="shared" si="91"/>
        <v>#N/A</v>
      </c>
      <c r="D2914" s="407" t="s">
        <v>3063</v>
      </c>
      <c r="E2914" s="407" t="s">
        <v>5041</v>
      </c>
      <c r="F2914" s="407" t="s">
        <v>1149</v>
      </c>
      <c r="G2914" s="407" t="s">
        <v>5042</v>
      </c>
      <c r="H2914" s="460" t="e">
        <v>#N/A</v>
      </c>
      <c r="I2914" s="460" t="e">
        <v>#N/A</v>
      </c>
      <c r="J2914" s="460" t="e">
        <v>#N/A</v>
      </c>
      <c r="K2914" s="460" t="e">
        <v>#N/A</v>
      </c>
      <c r="L2914" s="459" t="e">
        <v>#N/A</v>
      </c>
      <c r="O2914" t="e">
        <v>#N/A</v>
      </c>
      <c r="P2914" t="e">
        <v>#N/A</v>
      </c>
    </row>
    <row r="2915" spans="1:16" ht="14.4" x14ac:dyDescent="0.3">
      <c r="A2915">
        <v>223523</v>
      </c>
      <c r="B2915" t="str">
        <f t="shared" si="90"/>
        <v>SEVROLL Herkules zestaw okuć 120kg 2,4m</v>
      </c>
      <c r="C2915" s="185" t="e">
        <f t="shared" si="91"/>
        <v>#N/A</v>
      </c>
      <c r="D2915" s="407" t="s">
        <v>3064</v>
      </c>
      <c r="E2915" s="407" t="s">
        <v>5069</v>
      </c>
      <c r="F2915" s="407" t="s">
        <v>1156</v>
      </c>
      <c r="G2915" s="407" t="s">
        <v>5070</v>
      </c>
      <c r="H2915" s="460" t="e">
        <v>#N/A</v>
      </c>
      <c r="I2915" s="460" t="e">
        <v>#N/A</v>
      </c>
      <c r="J2915" s="460" t="e">
        <v>#N/A</v>
      </c>
      <c r="K2915" s="460" t="e">
        <v>#N/A</v>
      </c>
      <c r="L2915" s="459" t="e">
        <v>#N/A</v>
      </c>
      <c r="O2915" t="e">
        <v>#N/A</v>
      </c>
      <c r="P2915" t="e">
        <v>#N/A</v>
      </c>
    </row>
    <row r="2916" spans="1:16" ht="14.4" x14ac:dyDescent="0.3">
      <c r="A2916">
        <v>223524</v>
      </c>
      <c r="B2916" t="str">
        <f t="shared" si="90"/>
        <v>SEVROLL Herkules zestaw okuć 60kg 3m</v>
      </c>
      <c r="C2916" s="185" t="e">
        <f t="shared" si="91"/>
        <v>#N/A</v>
      </c>
      <c r="D2916" s="407" t="s">
        <v>3065</v>
      </c>
      <c r="E2916" s="407" t="s">
        <v>5071</v>
      </c>
      <c r="F2916" s="407" t="s">
        <v>1147</v>
      </c>
      <c r="G2916" s="407" t="s">
        <v>5072</v>
      </c>
      <c r="H2916" s="460" t="e">
        <v>#N/A</v>
      </c>
      <c r="I2916" s="460" t="e">
        <v>#N/A</v>
      </c>
      <c r="J2916" s="460" t="e">
        <v>#N/A</v>
      </c>
      <c r="K2916" s="460" t="e">
        <v>#N/A</v>
      </c>
      <c r="L2916" s="459" t="e">
        <v>#N/A</v>
      </c>
      <c r="O2916" t="e">
        <v>#N/A</v>
      </c>
      <c r="P2916" t="e">
        <v>#N/A</v>
      </c>
    </row>
    <row r="2917" spans="1:16" ht="14.4" x14ac:dyDescent="0.3">
      <c r="A2917">
        <v>223525</v>
      </c>
      <c r="B2917" t="str">
        <f t="shared" si="90"/>
        <v>SEVROLL Herkules zestaw okuć 120kg 3m</v>
      </c>
      <c r="C2917" s="185" t="e">
        <f t="shared" si="91"/>
        <v>#N/A</v>
      </c>
      <c r="D2917" s="407" t="s">
        <v>3066</v>
      </c>
      <c r="E2917" s="407" t="s">
        <v>5076</v>
      </c>
      <c r="F2917" s="407" t="s">
        <v>1154</v>
      </c>
      <c r="G2917" s="407" t="s">
        <v>5077</v>
      </c>
      <c r="H2917" s="460" t="e">
        <v>#N/A</v>
      </c>
      <c r="I2917" s="460" t="e">
        <v>#N/A</v>
      </c>
      <c r="J2917" s="460" t="e">
        <v>#N/A</v>
      </c>
      <c r="K2917" s="460" t="e">
        <v>#N/A</v>
      </c>
      <c r="L2917" s="459" t="e">
        <v>#N/A</v>
      </c>
      <c r="O2917" t="e">
        <v>#N/A</v>
      </c>
      <c r="P2917" t="e">
        <v>#N/A</v>
      </c>
    </row>
    <row r="2918" spans="1:16" ht="14.4" x14ac:dyDescent="0.3">
      <c r="A2918">
        <v>223528</v>
      </c>
      <c r="B2918" t="str">
        <f t="shared" si="90"/>
        <v>SEVROLL Herkules zestaw okuć 60kg</v>
      </c>
      <c r="C2918" s="185" t="e">
        <f t="shared" si="91"/>
        <v>#N/A</v>
      </c>
      <c r="D2918" s="407" t="s">
        <v>3067</v>
      </c>
      <c r="E2918" s="407" t="s">
        <v>4746</v>
      </c>
      <c r="F2918" s="407" t="s">
        <v>1153</v>
      </c>
      <c r="G2918" s="407" t="s">
        <v>4747</v>
      </c>
      <c r="H2918" s="460" t="e">
        <v>#N/A</v>
      </c>
      <c r="I2918" s="460" t="e">
        <v>#N/A</v>
      </c>
      <c r="J2918" s="460" t="e">
        <v>#N/A</v>
      </c>
      <c r="K2918" s="460" t="e">
        <v>#N/A</v>
      </c>
      <c r="L2918" s="459" t="e">
        <v>#N/A</v>
      </c>
      <c r="O2918" t="e">
        <v>#N/A</v>
      </c>
      <c r="P2918" t="e">
        <v>#N/A</v>
      </c>
    </row>
    <row r="2919" spans="1:16" ht="14.4" x14ac:dyDescent="0.3">
      <c r="A2919">
        <v>223529</v>
      </c>
      <c r="B2919" t="str">
        <f t="shared" si="90"/>
        <v>SEVROLL Herkules zestaw okuć 120kg</v>
      </c>
      <c r="C2919" s="185" t="e">
        <f t="shared" si="91"/>
        <v>#N/A</v>
      </c>
      <c r="D2919" s="407" t="s">
        <v>3068</v>
      </c>
      <c r="E2919" s="407" t="s">
        <v>4835</v>
      </c>
      <c r="F2919" s="407" t="s">
        <v>1160</v>
      </c>
      <c r="G2919" s="407" t="s">
        <v>4836</v>
      </c>
      <c r="H2919" s="460" t="e">
        <v>#N/A</v>
      </c>
      <c r="I2919" s="460" t="e">
        <v>#N/A</v>
      </c>
      <c r="J2919" s="460" t="e">
        <v>#N/A</v>
      </c>
      <c r="K2919" s="460" t="e">
        <v>#N/A</v>
      </c>
      <c r="L2919" s="459" t="e">
        <v>#N/A</v>
      </c>
      <c r="O2919" t="e">
        <v>#N/A</v>
      </c>
      <c r="P2919" t="e">
        <v>#N/A</v>
      </c>
    </row>
    <row r="2920" spans="1:16" ht="14.4" x14ac:dyDescent="0.3">
      <c r="A2920">
        <v>223549</v>
      </c>
      <c r="B2920" t="str">
        <f t="shared" si="90"/>
        <v>SEVROLL Libra rączka 18 mm 2,70 m oliwka</v>
      </c>
      <c r="C2920" s="185" t="e">
        <f t="shared" si="91"/>
        <v>#N/A</v>
      </c>
      <c r="D2920" s="407" t="s">
        <v>3069</v>
      </c>
      <c r="E2920" s="407" t="s">
        <v>4231</v>
      </c>
      <c r="F2920" s="407" t="s">
        <v>4232</v>
      </c>
      <c r="G2920" s="407" t="s">
        <v>4233</v>
      </c>
      <c r="H2920" s="460" t="e">
        <v>#N/A</v>
      </c>
      <c r="I2920" s="460" t="e">
        <v>#N/A</v>
      </c>
      <c r="J2920" s="460" t="e">
        <v>#N/A</v>
      </c>
      <c r="K2920" s="460" t="e">
        <v>#N/A</v>
      </c>
      <c r="L2920" s="459" t="e">
        <v>#N/A</v>
      </c>
      <c r="O2920">
        <v>13.837999999999999</v>
      </c>
      <c r="P2920" t="s">
        <v>9072</v>
      </c>
    </row>
    <row r="2921" spans="1:16" ht="14.4" x14ac:dyDescent="0.3">
      <c r="A2921">
        <v>223550</v>
      </c>
      <c r="B2921" t="str">
        <f t="shared" si="90"/>
        <v>SEVROLL Fala rączka 10mm 2,70m jasny brąz</v>
      </c>
      <c r="C2921" s="185">
        <f t="shared" si="91"/>
        <v>52.309190000000001</v>
      </c>
      <c r="D2921" s="407" t="s">
        <v>3070</v>
      </c>
      <c r="E2921" s="407" t="s">
        <v>5225</v>
      </c>
      <c r="F2921" s="407" t="s">
        <v>1168</v>
      </c>
      <c r="G2921" s="407" t="s">
        <v>5226</v>
      </c>
      <c r="H2921" s="460">
        <v>389.47012999999998</v>
      </c>
      <c r="I2921" s="460">
        <v>14.15629</v>
      </c>
      <c r="J2921" s="460">
        <v>52.309190000000001</v>
      </c>
      <c r="K2921" s="460">
        <v>5534.0228800000004</v>
      </c>
      <c r="L2921" s="459" t="s">
        <v>695</v>
      </c>
      <c r="O2921">
        <v>11.968</v>
      </c>
      <c r="P2921" t="s">
        <v>9365</v>
      </c>
    </row>
    <row r="2922" spans="1:16" ht="14.4" x14ac:dyDescent="0.3">
      <c r="A2922">
        <v>223551</v>
      </c>
      <c r="B2922" t="str">
        <f t="shared" si="90"/>
        <v>SEVROLL Polo rączka 10mm 2,70m jasny brąz</v>
      </c>
      <c r="C2922" s="185">
        <f t="shared" si="91"/>
        <v>52.202739999999999</v>
      </c>
      <c r="D2922" s="407" t="s">
        <v>3071</v>
      </c>
      <c r="E2922" s="407" t="s">
        <v>5468</v>
      </c>
      <c r="F2922" s="407" t="s">
        <v>1115</v>
      </c>
      <c r="G2922" s="407" t="s">
        <v>5469</v>
      </c>
      <c r="H2922" s="460">
        <v>428.13078000000002</v>
      </c>
      <c r="I2922" s="460">
        <v>15.56151</v>
      </c>
      <c r="J2922" s="460">
        <v>52.202739999999999</v>
      </c>
      <c r="K2922" s="460">
        <v>6083.3557700000001</v>
      </c>
      <c r="L2922" s="459" t="s">
        <v>538</v>
      </c>
      <c r="O2922">
        <v>13.156000000000001</v>
      </c>
      <c r="P2922" t="s">
        <v>9450</v>
      </c>
    </row>
    <row r="2923" spans="1:16" ht="14.4" x14ac:dyDescent="0.3">
      <c r="A2923">
        <v>223554</v>
      </c>
      <c r="B2923" t="str">
        <f t="shared" si="90"/>
        <v>SEVROLL Simple tor górny 6 m oliwka</v>
      </c>
      <c r="C2923" s="185" t="e">
        <f t="shared" si="91"/>
        <v>#N/A</v>
      </c>
      <c r="D2923" s="407" t="s">
        <v>3072</v>
      </c>
      <c r="E2923" s="407" t="s">
        <v>4937</v>
      </c>
      <c r="F2923" s="407" t="s">
        <v>4938</v>
      </c>
      <c r="G2923" s="407" t="s">
        <v>4939</v>
      </c>
      <c r="H2923" s="460" t="e">
        <v>#N/A</v>
      </c>
      <c r="I2923" s="460" t="e">
        <v>#N/A</v>
      </c>
      <c r="J2923" s="460" t="e">
        <v>#N/A</v>
      </c>
      <c r="K2923" s="460" t="e">
        <v>#N/A</v>
      </c>
      <c r="L2923" s="459" t="e">
        <v>#N/A</v>
      </c>
      <c r="O2923">
        <v>48.026000000000003</v>
      </c>
      <c r="P2923" t="s">
        <v>9284</v>
      </c>
    </row>
    <row r="2924" spans="1:16" ht="14.4" x14ac:dyDescent="0.3">
      <c r="A2924">
        <v>223557</v>
      </c>
      <c r="B2924" t="str">
        <f t="shared" si="90"/>
        <v>SEVROLL Simple tor dolny 6 m oliwka</v>
      </c>
      <c r="C2924" s="185" t="e">
        <f t="shared" si="91"/>
        <v>#N/A</v>
      </c>
      <c r="D2924" s="407" t="s">
        <v>3073</v>
      </c>
      <c r="E2924" s="407" t="s">
        <v>4620</v>
      </c>
      <c r="F2924" s="407" t="s">
        <v>4621</v>
      </c>
      <c r="G2924" s="407" t="s">
        <v>4622</v>
      </c>
      <c r="H2924" s="460" t="e">
        <v>#N/A</v>
      </c>
      <c r="I2924" s="460" t="e">
        <v>#N/A</v>
      </c>
      <c r="J2924" s="460" t="e">
        <v>#N/A</v>
      </c>
      <c r="K2924" s="460" t="e">
        <v>#N/A</v>
      </c>
      <c r="L2924" s="459" t="e">
        <v>#N/A</v>
      </c>
      <c r="O2924" t="e">
        <v>#N/A</v>
      </c>
      <c r="P2924" t="e">
        <v>#N/A</v>
      </c>
    </row>
    <row r="2925" spans="1:16" ht="14.4" x14ac:dyDescent="0.3">
      <c r="A2925">
        <v>223560</v>
      </c>
      <c r="B2925" t="str">
        <f t="shared" si="90"/>
        <v>SEVROLL listwa łącząca Simple/Blue H28 3m (do płyty laminowanej 18mm) jasny brąz</v>
      </c>
      <c r="C2925" s="185">
        <f t="shared" si="91"/>
        <v>83.149019999999993</v>
      </c>
      <c r="D2925" s="407" t="s">
        <v>3074</v>
      </c>
      <c r="E2925" s="407" t="s">
        <v>5595</v>
      </c>
      <c r="F2925" s="407" t="s">
        <v>5596</v>
      </c>
      <c r="G2925" s="407" t="s">
        <v>5597</v>
      </c>
      <c r="H2925" s="460">
        <v>682.28867000000002</v>
      </c>
      <c r="I2925" s="460">
        <v>24.79954</v>
      </c>
      <c r="J2925" s="460">
        <v>83.149019999999993</v>
      </c>
      <c r="K2925" s="460">
        <v>9694.7124800000001</v>
      </c>
      <c r="L2925" s="459" t="s">
        <v>538</v>
      </c>
      <c r="O2925">
        <v>21.494</v>
      </c>
      <c r="P2925" t="s">
        <v>9497</v>
      </c>
    </row>
    <row r="2926" spans="1:16" ht="14.4" x14ac:dyDescent="0.3">
      <c r="A2926">
        <v>223561</v>
      </c>
      <c r="B2926" t="str">
        <f t="shared" si="90"/>
        <v>SEVROLL listwa poz. górna Simple/Blue 3m (do płyty laminowanej 18mm) jasny brąz</v>
      </c>
      <c r="C2926" s="185">
        <f t="shared" si="91"/>
        <v>57.532240000000002</v>
      </c>
      <c r="D2926" s="407" t="s">
        <v>3075</v>
      </c>
      <c r="E2926" s="407" t="s">
        <v>5386</v>
      </c>
      <c r="F2926" s="407" t="s">
        <v>5387</v>
      </c>
      <c r="G2926" s="407" t="s">
        <v>5388</v>
      </c>
      <c r="H2926" s="460">
        <v>353.67324000000002</v>
      </c>
      <c r="I2926" s="460">
        <v>12.85516</v>
      </c>
      <c r="J2926" s="460">
        <v>57.532240000000002</v>
      </c>
      <c r="K2926" s="460">
        <v>5025.3810700000004</v>
      </c>
      <c r="L2926" s="459" t="s">
        <v>538</v>
      </c>
      <c r="O2926">
        <v>10.868</v>
      </c>
      <c r="P2926" t="s">
        <v>9422</v>
      </c>
    </row>
    <row r="2927" spans="1:16" ht="14.4" x14ac:dyDescent="0.3">
      <c r="A2927">
        <v>223562</v>
      </c>
      <c r="B2927" t="str">
        <f t="shared" si="90"/>
        <v>SEVROLL maskownica dolna Simple/Blue 3m (do płyty laminowanej 18mm) jasny brąz</v>
      </c>
      <c r="C2927" s="185">
        <f t="shared" si="91"/>
        <v>108.34688</v>
      </c>
      <c r="D2927" s="407" t="s">
        <v>3076</v>
      </c>
      <c r="E2927" s="407" t="s">
        <v>5560</v>
      </c>
      <c r="F2927" s="407" t="s">
        <v>5561</v>
      </c>
      <c r="G2927" s="407" t="s">
        <v>5562</v>
      </c>
      <c r="H2927" s="460">
        <v>689.44804999999997</v>
      </c>
      <c r="I2927" s="460">
        <v>25.059760000000001</v>
      </c>
      <c r="J2927" s="460">
        <v>108.34688</v>
      </c>
      <c r="K2927" s="460">
        <v>9796.4408399999993</v>
      </c>
      <c r="L2927" s="459" t="s">
        <v>538</v>
      </c>
      <c r="O2927">
        <v>21.207999999999998</v>
      </c>
      <c r="P2927" t="s">
        <v>9482</v>
      </c>
    </row>
    <row r="2928" spans="1:16" ht="14.4" x14ac:dyDescent="0.3">
      <c r="A2928">
        <v>223563</v>
      </c>
      <c r="B2928" t="str">
        <f t="shared" si="90"/>
        <v>SEVROLL listwa poz. górna Simple/Blue 3m (do płyty laminowanej 10mm) jasny brąz</v>
      </c>
      <c r="C2928" s="185">
        <f t="shared" si="91"/>
        <v>52.450780000000002</v>
      </c>
      <c r="D2928" s="407" t="s">
        <v>3077</v>
      </c>
      <c r="E2928" s="407" t="s">
        <v>5366</v>
      </c>
      <c r="F2928" s="407" t="s">
        <v>5367</v>
      </c>
      <c r="G2928" s="407" t="s">
        <v>5368</v>
      </c>
      <c r="H2928" s="460">
        <v>413.81202999999999</v>
      </c>
      <c r="I2928" s="460">
        <v>15.04106</v>
      </c>
      <c r="J2928" s="460">
        <v>52.450780000000002</v>
      </c>
      <c r="K2928" s="460">
        <v>5879.8990400000002</v>
      </c>
      <c r="L2928" s="459" t="s">
        <v>538</v>
      </c>
      <c r="O2928">
        <v>12.606</v>
      </c>
      <c r="P2928" t="s">
        <v>9415</v>
      </c>
    </row>
    <row r="2929" spans="1:16" ht="14.4" x14ac:dyDescent="0.3">
      <c r="A2929">
        <v>223564</v>
      </c>
      <c r="B2929" t="str">
        <f t="shared" si="90"/>
        <v>SEVROLL maskownica dolna Simple/Blue 3m (do płyty laminowanej 10mm) jasny brąz</v>
      </c>
      <c r="C2929" s="185">
        <f t="shared" si="91"/>
        <v>78.802019999999999</v>
      </c>
      <c r="D2929" s="407" t="s">
        <v>3078</v>
      </c>
      <c r="E2929" s="407" t="s">
        <v>5539</v>
      </c>
      <c r="F2929" s="407" t="s">
        <v>5540</v>
      </c>
      <c r="G2929" s="407" t="s">
        <v>5541</v>
      </c>
      <c r="H2929" s="460">
        <v>640.04834000000005</v>
      </c>
      <c r="I2929" s="460">
        <v>23.264199999999999</v>
      </c>
      <c r="J2929" s="460">
        <v>78.802019999999999</v>
      </c>
      <c r="K2929" s="460">
        <v>9094.51541</v>
      </c>
      <c r="L2929" s="459" t="s">
        <v>539</v>
      </c>
      <c r="O2929">
        <v>19.667999999999999</v>
      </c>
      <c r="P2929" t="s">
        <v>9475</v>
      </c>
    </row>
    <row r="2930" spans="1:16" ht="14.4" x14ac:dyDescent="0.3">
      <c r="A2930">
        <v>223569</v>
      </c>
      <c r="B2930" t="str">
        <f t="shared" si="90"/>
        <v>SEVROLL klips do szczotki przeciwkurzowej</v>
      </c>
      <c r="C2930" s="185">
        <f t="shared" si="91"/>
        <v>0.23857999999999999</v>
      </c>
      <c r="D2930" s="407" t="s">
        <v>3079</v>
      </c>
      <c r="E2930" s="407" t="s">
        <v>6189</v>
      </c>
      <c r="F2930" s="407" t="s">
        <v>6190</v>
      </c>
      <c r="G2930" s="407" t="s">
        <v>6191</v>
      </c>
      <c r="H2930" s="460">
        <v>2.3040099999999999</v>
      </c>
      <c r="I2930" s="460">
        <v>7.8070000000000001E-2</v>
      </c>
      <c r="J2930" s="460">
        <v>0.23857999999999999</v>
      </c>
      <c r="K2930" s="460">
        <v>30.754100000000001</v>
      </c>
      <c r="L2930" s="459" t="s">
        <v>538</v>
      </c>
      <c r="O2930">
        <v>6.4019999999999994E-2</v>
      </c>
      <c r="P2930" t="s">
        <v>8830</v>
      </c>
    </row>
    <row r="2931" spans="1:16" ht="14.4" x14ac:dyDescent="0.3">
      <c r="A2931">
        <v>223572</v>
      </c>
      <c r="B2931" t="str">
        <f t="shared" si="90"/>
        <v>SEVROLL Karat rączka 2,7m srebrny</v>
      </c>
      <c r="C2931" s="185">
        <f t="shared" si="91"/>
        <v>78.988799999999998</v>
      </c>
      <c r="D2931" s="407" t="s">
        <v>3080</v>
      </c>
      <c r="E2931" s="407" t="s">
        <v>4636</v>
      </c>
      <c r="F2931" s="407" t="s">
        <v>1234</v>
      </c>
      <c r="G2931" s="407" t="s">
        <v>4637</v>
      </c>
      <c r="H2931" s="460">
        <v>613.73829000000001</v>
      </c>
      <c r="I2931" s="460">
        <v>22.067160000000001</v>
      </c>
      <c r="J2931" s="460">
        <v>78.988799999999998</v>
      </c>
      <c r="K2931" s="460">
        <v>8493.3359199999995</v>
      </c>
      <c r="L2931" s="459" t="s">
        <v>538</v>
      </c>
      <c r="O2931">
        <v>21.207999999999998</v>
      </c>
      <c r="P2931" t="s">
        <v>9195</v>
      </c>
    </row>
    <row r="2932" spans="1:16" ht="14.4" x14ac:dyDescent="0.3">
      <c r="A2932">
        <v>223573</v>
      </c>
      <c r="B2932" t="str">
        <f t="shared" si="90"/>
        <v>SEVROLL Rączka Karat 2,7 m oliwka</v>
      </c>
      <c r="C2932" s="185">
        <f t="shared" si="91"/>
        <v>94.854230000000001</v>
      </c>
      <c r="D2932" s="407" t="s">
        <v>3081</v>
      </c>
      <c r="E2932" s="407" t="s">
        <v>4676</v>
      </c>
      <c r="F2932" s="407" t="s">
        <v>1144</v>
      </c>
      <c r="G2932" s="407" t="s">
        <v>4677</v>
      </c>
      <c r="H2932" s="460">
        <v>767.17286000000001</v>
      </c>
      <c r="I2932" s="460">
        <v>27.583960000000001</v>
      </c>
      <c r="J2932" s="460">
        <v>94.854230000000001</v>
      </c>
      <c r="K2932" s="460">
        <v>10616.67</v>
      </c>
      <c r="L2932" s="459" t="s">
        <v>539</v>
      </c>
      <c r="O2932">
        <v>23.32</v>
      </c>
      <c r="P2932" t="s">
        <v>9207</v>
      </c>
    </row>
    <row r="2933" spans="1:16" ht="14.4" x14ac:dyDescent="0.3">
      <c r="A2933">
        <v>224010</v>
      </c>
      <c r="B2933" t="str">
        <f t="shared" si="90"/>
        <v>SEVROLL Simple tor górny 1,5 m srebrny</v>
      </c>
      <c r="C2933" s="185">
        <f t="shared" si="91"/>
        <v>41.814579999999999</v>
      </c>
      <c r="D2933" s="407" t="s">
        <v>3082</v>
      </c>
      <c r="E2933" s="407" t="s">
        <v>4070</v>
      </c>
      <c r="F2933" s="407" t="s">
        <v>1051</v>
      </c>
      <c r="G2933" s="407" t="s">
        <v>4071</v>
      </c>
      <c r="H2933" s="460">
        <v>278.66025000000002</v>
      </c>
      <c r="I2933" s="460">
        <v>12.359640000000001</v>
      </c>
      <c r="J2933" s="460">
        <v>41.814579999999999</v>
      </c>
      <c r="K2933" s="460">
        <v>4753.7065499999999</v>
      </c>
      <c r="L2933" s="459" t="s">
        <v>540</v>
      </c>
      <c r="O2933">
        <v>10.538</v>
      </c>
      <c r="P2933" t="s">
        <v>9021</v>
      </c>
    </row>
    <row r="2934" spans="1:16" ht="14.4" x14ac:dyDescent="0.3">
      <c r="A2934">
        <v>224011</v>
      </c>
      <c r="B2934" t="str">
        <f t="shared" si="90"/>
        <v>SEVROLL Simple tor górny 2 m srebrny</v>
      </c>
      <c r="C2934" s="185">
        <f t="shared" si="91"/>
        <v>52.592370000000003</v>
      </c>
      <c r="D2934" s="407" t="s">
        <v>3083</v>
      </c>
      <c r="E2934" s="407" t="s">
        <v>4275</v>
      </c>
      <c r="F2934" s="407" t="s">
        <v>1050</v>
      </c>
      <c r="G2934" s="407" t="s">
        <v>4276</v>
      </c>
      <c r="H2934" s="460">
        <v>393.76576</v>
      </c>
      <c r="I2934" s="460">
        <v>14.312430000000001</v>
      </c>
      <c r="J2934" s="460">
        <v>52.592370000000003</v>
      </c>
      <c r="K2934" s="460">
        <v>5595.0597200000002</v>
      </c>
      <c r="L2934" s="459" t="s">
        <v>539</v>
      </c>
      <c r="O2934">
        <v>14.08</v>
      </c>
      <c r="P2934" t="s">
        <v>9085</v>
      </c>
    </row>
    <row r="2935" spans="1:16" ht="14.4" x14ac:dyDescent="0.3">
      <c r="A2935">
        <v>224012</v>
      </c>
      <c r="B2935" t="str">
        <f t="shared" si="90"/>
        <v>SEVROLL Simple tor górny 2,5 m srebrny</v>
      </c>
      <c r="C2935" s="185">
        <f t="shared" si="91"/>
        <v>65.697199999999995</v>
      </c>
      <c r="D2935" s="407" t="s">
        <v>3084</v>
      </c>
      <c r="E2935" s="407" t="s">
        <v>4395</v>
      </c>
      <c r="F2935" s="407" t="s">
        <v>4396</v>
      </c>
      <c r="G2935" s="407" t="s">
        <v>4397</v>
      </c>
      <c r="H2935" s="460">
        <v>492.56518</v>
      </c>
      <c r="I2935" s="460">
        <v>17.903549999999999</v>
      </c>
      <c r="J2935" s="460">
        <v>65.697199999999995</v>
      </c>
      <c r="K2935" s="460">
        <v>6998.9109799999997</v>
      </c>
      <c r="L2935" s="459" t="s">
        <v>540</v>
      </c>
      <c r="O2935">
        <v>17.666</v>
      </c>
      <c r="P2935" t="s">
        <v>9123</v>
      </c>
    </row>
    <row r="2936" spans="1:16" ht="14.4" x14ac:dyDescent="0.3">
      <c r="A2936">
        <v>224013</v>
      </c>
      <c r="B2936" t="str">
        <f t="shared" si="90"/>
        <v>SEVROLL Simple tor górny 3 m srebrny</v>
      </c>
      <c r="C2936" s="185">
        <f t="shared" si="91"/>
        <v>78.849220000000003</v>
      </c>
      <c r="D2936" s="407" t="s">
        <v>3085</v>
      </c>
      <c r="E2936" s="407" t="s">
        <v>4519</v>
      </c>
      <c r="F2936" s="407" t="s">
        <v>4520</v>
      </c>
      <c r="G2936" s="407" t="s">
        <v>4521</v>
      </c>
      <c r="H2936" s="460">
        <v>590.64865999999995</v>
      </c>
      <c r="I2936" s="460">
        <v>21.46865</v>
      </c>
      <c r="J2936" s="460">
        <v>78.849220000000003</v>
      </c>
      <c r="K2936" s="460">
        <v>8392.5895899999996</v>
      </c>
      <c r="L2936" s="459" t="s">
        <v>539</v>
      </c>
      <c r="O2936">
        <v>21.186</v>
      </c>
      <c r="P2936" t="s">
        <v>9161</v>
      </c>
    </row>
    <row r="2937" spans="1:16" ht="14.4" x14ac:dyDescent="0.3">
      <c r="A2937">
        <v>224014</v>
      </c>
      <c r="B2937" t="str">
        <f t="shared" si="90"/>
        <v>SEVROLL Simple tor górny 4 m srebrny</v>
      </c>
      <c r="C2937" s="185">
        <f t="shared" si="91"/>
        <v>105.13754</v>
      </c>
      <c r="D2937" s="407" t="s">
        <v>3086</v>
      </c>
      <c r="E2937" s="407" t="s">
        <v>4706</v>
      </c>
      <c r="F2937" s="407" t="s">
        <v>1049</v>
      </c>
      <c r="G2937" s="407" t="s">
        <v>4707</v>
      </c>
      <c r="H2937" s="460">
        <v>787.53152999999998</v>
      </c>
      <c r="I2937" s="460">
        <v>28.624860000000002</v>
      </c>
      <c r="J2937" s="460">
        <v>105.13754</v>
      </c>
      <c r="K2937" s="460">
        <v>11190.119420000001</v>
      </c>
      <c r="L2937" s="459" t="s">
        <v>539</v>
      </c>
      <c r="O2937">
        <v>28.204000000000001</v>
      </c>
      <c r="P2937" t="s">
        <v>9219</v>
      </c>
    </row>
    <row r="2938" spans="1:16" ht="14.4" x14ac:dyDescent="0.3">
      <c r="A2938">
        <v>224016</v>
      </c>
      <c r="B2938" t="str">
        <f t="shared" si="90"/>
        <v>SEVROLL Simple tor dolny 1,5 m srebrny</v>
      </c>
      <c r="C2938" s="185">
        <f t="shared" si="91"/>
        <v>21.998480000000001</v>
      </c>
      <c r="D2938" s="407" t="s">
        <v>3087</v>
      </c>
      <c r="E2938" s="407" t="s">
        <v>3742</v>
      </c>
      <c r="F2938" s="407" t="s">
        <v>1047</v>
      </c>
      <c r="G2938" s="407" t="s">
        <v>3743</v>
      </c>
      <c r="H2938" s="460">
        <v>150.12</v>
      </c>
      <c r="I2938" s="460">
        <v>6.5023600000000004</v>
      </c>
      <c r="J2938" s="460">
        <v>21.998480000000001</v>
      </c>
      <c r="K2938" s="460">
        <v>2500.9061700000002</v>
      </c>
      <c r="L2938" s="459" t="s">
        <v>540</v>
      </c>
      <c r="O2938">
        <v>5.5439999999999996</v>
      </c>
      <c r="P2938" t="s">
        <v>8912</v>
      </c>
    </row>
    <row r="2939" spans="1:16" ht="14.4" x14ac:dyDescent="0.3">
      <c r="A2939">
        <v>224017</v>
      </c>
      <c r="B2939" t="str">
        <f t="shared" si="90"/>
        <v>SEVROLL Simple tor dolny 2 m srebrny</v>
      </c>
      <c r="C2939" s="185">
        <f t="shared" si="91"/>
        <v>27.562619999999999</v>
      </c>
      <c r="D2939" s="407" t="s">
        <v>3088</v>
      </c>
      <c r="E2939" s="407" t="s">
        <v>3855</v>
      </c>
      <c r="F2939" s="407" t="s">
        <v>3856</v>
      </c>
      <c r="G2939" s="407" t="s">
        <v>3857</v>
      </c>
      <c r="H2939" s="460">
        <v>211.20165</v>
      </c>
      <c r="I2939" s="460">
        <v>7.6766699999999997</v>
      </c>
      <c r="J2939" s="460">
        <v>27.562619999999999</v>
      </c>
      <c r="K2939" s="460">
        <v>3000.98659</v>
      </c>
      <c r="L2939" s="459" t="s">
        <v>539</v>
      </c>
      <c r="O2939">
        <v>7.4359999999999999</v>
      </c>
      <c r="P2939" t="s">
        <v>8952</v>
      </c>
    </row>
    <row r="2940" spans="1:16" ht="14.4" x14ac:dyDescent="0.3">
      <c r="A2940">
        <v>224018</v>
      </c>
      <c r="B2940" t="str">
        <f t="shared" si="90"/>
        <v>SEVROLL Simple tor dolny 2,5 m srebrny</v>
      </c>
      <c r="C2940" s="185">
        <f t="shared" si="91"/>
        <v>34.437539999999998</v>
      </c>
      <c r="D2940" s="407" t="s">
        <v>3089</v>
      </c>
      <c r="E2940" s="407" t="s">
        <v>4005</v>
      </c>
      <c r="F2940" s="407" t="s">
        <v>4006</v>
      </c>
      <c r="G2940" s="407" t="s">
        <v>4007</v>
      </c>
      <c r="H2940" s="460">
        <v>262.03323</v>
      </c>
      <c r="I2940" s="460">
        <v>9.5242699999999996</v>
      </c>
      <c r="J2940" s="460">
        <v>34.437539999999998</v>
      </c>
      <c r="K2940" s="460">
        <v>3723.25776</v>
      </c>
      <c r="L2940" s="459" t="s">
        <v>540</v>
      </c>
      <c r="O2940">
        <v>9.218</v>
      </c>
      <c r="P2940" t="s">
        <v>9000</v>
      </c>
    </row>
    <row r="2941" spans="1:16" ht="14.4" x14ac:dyDescent="0.3">
      <c r="A2941">
        <v>224019</v>
      </c>
      <c r="B2941" t="str">
        <f t="shared" si="90"/>
        <v>SEVROLL Simple tor dolny 3 m srebrny</v>
      </c>
      <c r="C2941" s="185">
        <f t="shared" si="91"/>
        <v>41.375390000000003</v>
      </c>
      <c r="D2941" s="407" t="s">
        <v>3090</v>
      </c>
      <c r="E2941" s="407" t="s">
        <v>4097</v>
      </c>
      <c r="F2941" s="407" t="s">
        <v>4098</v>
      </c>
      <c r="G2941" s="407" t="s">
        <v>4099</v>
      </c>
      <c r="H2941" s="460">
        <v>308.56916999999999</v>
      </c>
      <c r="I2941" s="460">
        <v>11.21574</v>
      </c>
      <c r="J2941" s="460">
        <v>41.375390000000003</v>
      </c>
      <c r="K2941" s="460">
        <v>4384.4920899999997</v>
      </c>
      <c r="L2941" s="459" t="s">
        <v>539</v>
      </c>
      <c r="O2941">
        <v>10.846</v>
      </c>
      <c r="P2941" t="s">
        <v>9030</v>
      </c>
    </row>
    <row r="2942" spans="1:16" ht="14.4" x14ac:dyDescent="0.3">
      <c r="A2942">
        <v>224020</v>
      </c>
      <c r="B2942" t="str">
        <f t="shared" si="90"/>
        <v>SEVROLL Simple tor dolny 4 m srebrny</v>
      </c>
      <c r="C2942" s="185">
        <f t="shared" si="91"/>
        <v>55.125230000000002</v>
      </c>
      <c r="D2942" s="407" t="s">
        <v>3091</v>
      </c>
      <c r="E2942" s="407" t="s">
        <v>4301</v>
      </c>
      <c r="F2942" s="407" t="s">
        <v>4302</v>
      </c>
      <c r="G2942" s="407" t="s">
        <v>4303</v>
      </c>
      <c r="H2942" s="460">
        <v>413.09609</v>
      </c>
      <c r="I2942" s="460">
        <v>15.015040000000001</v>
      </c>
      <c r="J2942" s="460">
        <v>55.125230000000002</v>
      </c>
      <c r="K2942" s="460">
        <v>5869.7263800000001</v>
      </c>
      <c r="L2942" s="459" t="s">
        <v>539</v>
      </c>
      <c r="O2942">
        <v>14.52</v>
      </c>
      <c r="P2942" t="s">
        <v>9094</v>
      </c>
    </row>
    <row r="2943" spans="1:16" ht="14.4" x14ac:dyDescent="0.3">
      <c r="A2943">
        <v>224118</v>
      </c>
      <c r="B2943" t="str">
        <f t="shared" si="90"/>
        <v>SEVROLL Simple tor górny 1,5 m jasny brąz</v>
      </c>
      <c r="C2943" s="185" t="e">
        <f t="shared" si="91"/>
        <v>#N/A</v>
      </c>
      <c r="D2943" s="407" t="s">
        <v>3092</v>
      </c>
      <c r="E2943" s="407" t="s">
        <v>4125</v>
      </c>
      <c r="F2943" s="407" t="s">
        <v>4126</v>
      </c>
      <c r="G2943" s="407" t="s">
        <v>4127</v>
      </c>
      <c r="H2943" s="460" t="e">
        <v>#N/A</v>
      </c>
      <c r="I2943" s="460" t="e">
        <v>#N/A</v>
      </c>
      <c r="J2943" s="460" t="e">
        <v>#N/A</v>
      </c>
      <c r="K2943" s="460" t="e">
        <v>#N/A</v>
      </c>
      <c r="L2943" s="459" t="e">
        <v>#N/A</v>
      </c>
      <c r="O2943" t="e">
        <v>#N/A</v>
      </c>
      <c r="P2943" t="e">
        <v>#N/A</v>
      </c>
    </row>
    <row r="2944" spans="1:16" ht="14.4" x14ac:dyDescent="0.3">
      <c r="A2944">
        <v>224119</v>
      </c>
      <c r="B2944" t="str">
        <f t="shared" si="90"/>
        <v>SEVROLL Simple tor górny 2 m oliwka</v>
      </c>
      <c r="C2944" s="185" t="e">
        <f t="shared" si="91"/>
        <v>#N/A</v>
      </c>
      <c r="D2944" s="407" t="s">
        <v>3093</v>
      </c>
      <c r="E2944" s="407" t="s">
        <v>4331</v>
      </c>
      <c r="F2944" s="407" t="s">
        <v>4332</v>
      </c>
      <c r="G2944" s="407" t="s">
        <v>4333</v>
      </c>
      <c r="H2944" s="460" t="e">
        <v>#N/A</v>
      </c>
      <c r="I2944" s="460" t="e">
        <v>#N/A</v>
      </c>
      <c r="J2944" s="460" t="e">
        <v>#N/A</v>
      </c>
      <c r="K2944" s="460" t="e">
        <v>#N/A</v>
      </c>
      <c r="L2944" s="459" t="e">
        <v>#N/A</v>
      </c>
      <c r="O2944" t="e">
        <v>#N/A</v>
      </c>
      <c r="P2944" t="e">
        <v>#N/A</v>
      </c>
    </row>
    <row r="2945" spans="1:16" ht="14.4" x14ac:dyDescent="0.3">
      <c r="A2945">
        <v>224120</v>
      </c>
      <c r="B2945" t="str">
        <f t="shared" si="90"/>
        <v>SEVROLL Simple tor górny 2,5 m oliwka</v>
      </c>
      <c r="C2945" s="185" t="e">
        <f t="shared" si="91"/>
        <v>#N/A</v>
      </c>
      <c r="D2945" s="407" t="s">
        <v>3094</v>
      </c>
      <c r="E2945" s="407" t="s">
        <v>4495</v>
      </c>
      <c r="F2945" s="407" t="s">
        <v>4496</v>
      </c>
      <c r="G2945" s="407" t="s">
        <v>4497</v>
      </c>
      <c r="H2945" s="460" t="e">
        <v>#N/A</v>
      </c>
      <c r="I2945" s="460" t="e">
        <v>#N/A</v>
      </c>
      <c r="J2945" s="460" t="e">
        <v>#N/A</v>
      </c>
      <c r="K2945" s="460" t="e">
        <v>#N/A</v>
      </c>
      <c r="L2945" s="459" t="e">
        <v>#N/A</v>
      </c>
      <c r="O2945" t="e">
        <v>#N/A</v>
      </c>
      <c r="P2945" t="e">
        <v>#N/A</v>
      </c>
    </row>
    <row r="2946" spans="1:16" ht="14.4" x14ac:dyDescent="0.3">
      <c r="A2946">
        <v>224121</v>
      </c>
      <c r="B2946" t="str">
        <f t="shared" si="90"/>
        <v>SEVROLL Simple tor górny 3 m oliwka</v>
      </c>
      <c r="C2946" s="185" t="e">
        <f t="shared" si="91"/>
        <v>#N/A</v>
      </c>
      <c r="D2946" s="407" t="s">
        <v>3095</v>
      </c>
      <c r="E2946" s="407" t="s">
        <v>4579</v>
      </c>
      <c r="F2946" s="407" t="s">
        <v>4580</v>
      </c>
      <c r="G2946" s="407" t="s">
        <v>4581</v>
      </c>
      <c r="H2946" s="460" t="e">
        <v>#N/A</v>
      </c>
      <c r="I2946" s="460" t="e">
        <v>#N/A</v>
      </c>
      <c r="J2946" s="460" t="e">
        <v>#N/A</v>
      </c>
      <c r="K2946" s="460" t="e">
        <v>#N/A</v>
      </c>
      <c r="L2946" s="459" t="e">
        <v>#N/A</v>
      </c>
      <c r="O2946" t="e">
        <v>#N/A</v>
      </c>
      <c r="P2946" t="e">
        <v>#N/A</v>
      </c>
    </row>
    <row r="2947" spans="1:16" ht="14.4" x14ac:dyDescent="0.3">
      <c r="A2947">
        <v>224122</v>
      </c>
      <c r="B2947" t="str">
        <f t="shared" si="90"/>
        <v>SEVROLL Simple tor górny 4 m oliwka</v>
      </c>
      <c r="C2947" s="185" t="e">
        <f t="shared" si="91"/>
        <v>#N/A</v>
      </c>
      <c r="D2947" s="407" t="s">
        <v>3096</v>
      </c>
      <c r="E2947" s="407" t="s">
        <v>4763</v>
      </c>
      <c r="F2947" s="407" t="s">
        <v>4764</v>
      </c>
      <c r="G2947" s="407" t="s">
        <v>4765</v>
      </c>
      <c r="H2947" s="460" t="e">
        <v>#N/A</v>
      </c>
      <c r="I2947" s="460" t="e">
        <v>#N/A</v>
      </c>
      <c r="J2947" s="460" t="e">
        <v>#N/A</v>
      </c>
      <c r="K2947" s="460" t="e">
        <v>#N/A</v>
      </c>
      <c r="L2947" s="459" t="e">
        <v>#N/A</v>
      </c>
      <c r="O2947" t="e">
        <v>#N/A</v>
      </c>
      <c r="P2947" t="e">
        <v>#N/A</v>
      </c>
    </row>
    <row r="2948" spans="1:16" ht="14.4" x14ac:dyDescent="0.3">
      <c r="A2948">
        <v>224123</v>
      </c>
      <c r="B2948" t="str">
        <f t="shared" ref="B2948:B3011" si="92">IF($A$2=1,D2948,IF($A$2=2,F2948,IF($A$2=3,G2948,IF($A$2=4,E2948,IF($A$2&gt;4,P2948,"zadat jazyk")))))</f>
        <v>SEVROLL Simple tor dolny 1,5 m oliwka</v>
      </c>
      <c r="C2948" s="185" t="e">
        <f t="shared" ref="C2948:C3011" si="93">IF($A$2=1,H2948,IF($A$2=2,I2948,IF($A$2=3,J2948,IF($A$2=4,K2948,IF($A$2&gt;4,O2948,"zadat jazyk")))))</f>
        <v>#N/A</v>
      </c>
      <c r="D2948" s="407" t="s">
        <v>3097</v>
      </c>
      <c r="E2948" s="407" t="s">
        <v>3776</v>
      </c>
      <c r="F2948" s="407" t="s">
        <v>3777</v>
      </c>
      <c r="G2948" s="407" t="s">
        <v>3778</v>
      </c>
      <c r="H2948" s="460" t="e">
        <v>#N/A</v>
      </c>
      <c r="I2948" s="460" t="e">
        <v>#N/A</v>
      </c>
      <c r="J2948" s="460" t="e">
        <v>#N/A</v>
      </c>
      <c r="K2948" s="460" t="e">
        <v>#N/A</v>
      </c>
      <c r="L2948" s="459" t="e">
        <v>#N/A</v>
      </c>
      <c r="O2948" t="e">
        <v>#N/A</v>
      </c>
      <c r="P2948" t="e">
        <v>#N/A</v>
      </c>
    </row>
    <row r="2949" spans="1:16" ht="14.4" x14ac:dyDescent="0.3">
      <c r="A2949">
        <v>224125</v>
      </c>
      <c r="B2949" t="str">
        <f t="shared" si="92"/>
        <v>SEVROLL Simple tor dolny 2 m oliwka</v>
      </c>
      <c r="C2949" s="185" t="e">
        <f t="shared" si="93"/>
        <v>#N/A</v>
      </c>
      <c r="D2949" s="407" t="s">
        <v>3098</v>
      </c>
      <c r="E2949" s="407" t="s">
        <v>3915</v>
      </c>
      <c r="F2949" s="407" t="s">
        <v>3916</v>
      </c>
      <c r="G2949" s="407" t="s">
        <v>3917</v>
      </c>
      <c r="H2949" s="460" t="e">
        <v>#N/A</v>
      </c>
      <c r="I2949" s="460" t="e">
        <v>#N/A</v>
      </c>
      <c r="J2949" s="460" t="e">
        <v>#N/A</v>
      </c>
      <c r="K2949" s="460" t="e">
        <v>#N/A</v>
      </c>
      <c r="L2949" s="459" t="e">
        <v>#N/A</v>
      </c>
      <c r="O2949" t="e">
        <v>#N/A</v>
      </c>
      <c r="P2949" t="e">
        <v>#N/A</v>
      </c>
    </row>
    <row r="2950" spans="1:16" ht="14.4" x14ac:dyDescent="0.3">
      <c r="A2950">
        <v>224127</v>
      </c>
      <c r="B2950" t="str">
        <f t="shared" si="92"/>
        <v>SEVROLL Simple tor dolny 2,5 m oliwka</v>
      </c>
      <c r="C2950" s="185" t="e">
        <f t="shared" si="93"/>
        <v>#N/A</v>
      </c>
      <c r="D2950" s="407" t="s">
        <v>3099</v>
      </c>
      <c r="E2950" s="407" t="s">
        <v>4090</v>
      </c>
      <c r="F2950" s="407" t="s">
        <v>4091</v>
      </c>
      <c r="G2950" s="407" t="s">
        <v>4092</v>
      </c>
      <c r="H2950" s="460" t="e">
        <v>#N/A</v>
      </c>
      <c r="I2950" s="460" t="e">
        <v>#N/A</v>
      </c>
      <c r="J2950" s="460" t="e">
        <v>#N/A</v>
      </c>
      <c r="K2950" s="460" t="e">
        <v>#N/A</v>
      </c>
      <c r="L2950" s="459" t="e">
        <v>#N/A</v>
      </c>
      <c r="O2950" t="e">
        <v>#N/A</v>
      </c>
      <c r="P2950" t="e">
        <v>#N/A</v>
      </c>
    </row>
    <row r="2951" spans="1:16" ht="14.4" x14ac:dyDescent="0.3">
      <c r="A2951">
        <v>224128</v>
      </c>
      <c r="B2951" t="str">
        <f t="shared" si="92"/>
        <v>SEVROLL Simple tor dolny 3 m oliwka</v>
      </c>
      <c r="C2951" s="185" t="e">
        <f t="shared" si="93"/>
        <v>#N/A</v>
      </c>
      <c r="D2951" s="407" t="s">
        <v>3100</v>
      </c>
      <c r="E2951" s="407" t="s">
        <v>4139</v>
      </c>
      <c r="F2951" s="407" t="s">
        <v>4140</v>
      </c>
      <c r="G2951" s="407" t="s">
        <v>4141</v>
      </c>
      <c r="H2951" s="460" t="e">
        <v>#N/A</v>
      </c>
      <c r="I2951" s="460" t="e">
        <v>#N/A</v>
      </c>
      <c r="J2951" s="460" t="e">
        <v>#N/A</v>
      </c>
      <c r="K2951" s="460" t="e">
        <v>#N/A</v>
      </c>
      <c r="L2951" s="459" t="e">
        <v>#N/A</v>
      </c>
      <c r="O2951" t="e">
        <v>#N/A</v>
      </c>
      <c r="P2951" t="e">
        <v>#N/A</v>
      </c>
    </row>
    <row r="2952" spans="1:16" ht="14.4" x14ac:dyDescent="0.3">
      <c r="A2952">
        <v>224129</v>
      </c>
      <c r="B2952" t="str">
        <f t="shared" si="92"/>
        <v>SEVROLL Simple tor dolny 4 m oliwka</v>
      </c>
      <c r="C2952" s="185" t="e">
        <f t="shared" si="93"/>
        <v>#N/A</v>
      </c>
      <c r="D2952" s="407" t="s">
        <v>3101</v>
      </c>
      <c r="E2952" s="407" t="s">
        <v>4357</v>
      </c>
      <c r="F2952" s="407" t="s">
        <v>4358</v>
      </c>
      <c r="G2952" s="407" t="s">
        <v>4359</v>
      </c>
      <c r="H2952" s="460" t="e">
        <v>#N/A</v>
      </c>
      <c r="I2952" s="460" t="e">
        <v>#N/A</v>
      </c>
      <c r="J2952" s="460" t="e">
        <v>#N/A</v>
      </c>
      <c r="K2952" s="460" t="e">
        <v>#N/A</v>
      </c>
      <c r="L2952" s="459" t="e">
        <v>#N/A</v>
      </c>
      <c r="O2952" t="e">
        <v>#N/A</v>
      </c>
      <c r="P2952" t="e">
        <v>#N/A</v>
      </c>
    </row>
    <row r="2953" spans="1:16" ht="14.4" x14ac:dyDescent="0.3">
      <c r="A2953">
        <v>224131</v>
      </c>
      <c r="B2953" t="str">
        <f t="shared" si="92"/>
        <v>SEVROLL tor dolny Simple/Blue 1,5m (do płyty laminowanej 18mm) srebrny</v>
      </c>
      <c r="C2953" s="185">
        <f t="shared" si="93"/>
        <v>24.998290000000001</v>
      </c>
      <c r="D2953" s="407" t="s">
        <v>3102</v>
      </c>
      <c r="E2953" s="407" t="s">
        <v>5372</v>
      </c>
      <c r="F2953" s="407" t="s">
        <v>5373</v>
      </c>
      <c r="G2953" s="407" t="s">
        <v>2479</v>
      </c>
      <c r="H2953" s="460">
        <v>143.18754999999999</v>
      </c>
      <c r="I2953" s="460">
        <v>5.2045199999999996</v>
      </c>
      <c r="J2953" s="460">
        <v>24.998290000000001</v>
      </c>
      <c r="K2953" s="460">
        <v>2034.56717</v>
      </c>
      <c r="L2953" s="459" t="s">
        <v>538</v>
      </c>
      <c r="O2953">
        <v>4.9720000000000004</v>
      </c>
      <c r="P2953" t="s">
        <v>9417</v>
      </c>
    </row>
    <row r="2954" spans="1:16" ht="14.4" x14ac:dyDescent="0.3">
      <c r="A2954">
        <v>224132</v>
      </c>
      <c r="B2954" t="str">
        <f t="shared" si="92"/>
        <v>SEVROLL tor górny Simple/Blue 2m (do płyty laminowanej 18mm) srebrny</v>
      </c>
      <c r="C2954" s="185">
        <f t="shared" si="93"/>
        <v>33.336289999999998</v>
      </c>
      <c r="D2954" s="407" t="s">
        <v>3103</v>
      </c>
      <c r="E2954" s="407" t="s">
        <v>5383</v>
      </c>
      <c r="F2954" s="407" t="s">
        <v>5384</v>
      </c>
      <c r="G2954" s="407" t="s">
        <v>5385</v>
      </c>
      <c r="H2954" s="460">
        <v>190.43944999999999</v>
      </c>
      <c r="I2954" s="460">
        <v>6.9220100000000002</v>
      </c>
      <c r="J2954" s="460">
        <v>33.336289999999998</v>
      </c>
      <c r="K2954" s="460">
        <v>2705.97417</v>
      </c>
      <c r="L2954" s="459" t="s">
        <v>538</v>
      </c>
      <c r="O2954">
        <v>6.5339999999999998</v>
      </c>
      <c r="P2954" t="s">
        <v>9421</v>
      </c>
    </row>
    <row r="2955" spans="1:16" ht="14.4" x14ac:dyDescent="0.3">
      <c r="A2955">
        <v>224133</v>
      </c>
      <c r="B2955" t="str">
        <f t="shared" si="92"/>
        <v>SEVROLL tor górny Simple/Blue 2,5 m (do płyty laminowanej 18 mm) srebrny</v>
      </c>
      <c r="C2955" s="185" t="e">
        <f t="shared" si="93"/>
        <v>#N/A</v>
      </c>
      <c r="D2955" s="407" t="s">
        <v>3104</v>
      </c>
      <c r="E2955" s="407" t="s">
        <v>5377</v>
      </c>
      <c r="F2955" s="407" t="s">
        <v>5378</v>
      </c>
      <c r="G2955" s="407" t="s">
        <v>5379</v>
      </c>
      <c r="H2955" s="460" t="e">
        <v>#N/A</v>
      </c>
      <c r="I2955" s="460" t="e">
        <v>#N/A</v>
      </c>
      <c r="J2955" s="460" t="e">
        <v>#N/A</v>
      </c>
      <c r="K2955" s="460" t="e">
        <v>#N/A</v>
      </c>
      <c r="L2955" s="459" t="e">
        <v>#N/A</v>
      </c>
      <c r="O2955">
        <v>8.0739999999999998</v>
      </c>
      <c r="P2955" t="s">
        <v>9419</v>
      </c>
    </row>
    <row r="2956" spans="1:16" ht="14.4" x14ac:dyDescent="0.3">
      <c r="A2956">
        <v>224135</v>
      </c>
      <c r="B2956" t="str">
        <f t="shared" si="92"/>
        <v>SEVROLL listwa poz. górna Simple/Blue 2m (do płyty laminowanej 18mm) jasny brąz</v>
      </c>
      <c r="C2956" s="185">
        <f t="shared" si="93"/>
        <v>38.323360000000001</v>
      </c>
      <c r="D2956" s="407" t="s">
        <v>3105</v>
      </c>
      <c r="E2956" s="407" t="s">
        <v>5380</v>
      </c>
      <c r="F2956" s="407" t="s">
        <v>5381</v>
      </c>
      <c r="G2956" s="407" t="s">
        <v>5382</v>
      </c>
      <c r="H2956" s="460">
        <v>236.25945999999999</v>
      </c>
      <c r="I2956" s="460">
        <v>8.5874600000000001</v>
      </c>
      <c r="J2956" s="460">
        <v>38.323360000000001</v>
      </c>
      <c r="K2956" s="460">
        <v>3357.0358299999998</v>
      </c>
      <c r="L2956" s="459" t="s">
        <v>538</v>
      </c>
      <c r="O2956">
        <v>7.37</v>
      </c>
      <c r="P2956" t="s">
        <v>9420</v>
      </c>
    </row>
    <row r="2957" spans="1:16" ht="14.4" x14ac:dyDescent="0.3">
      <c r="A2957">
        <v>224136</v>
      </c>
      <c r="B2957" t="str">
        <f t="shared" si="92"/>
        <v>SEVROLL tor dolny Simple/Blue 2,5 m (do płyty laminowanej 18 mm) oliwka</v>
      </c>
      <c r="C2957" s="185" t="e">
        <f t="shared" si="93"/>
        <v>#N/A</v>
      </c>
      <c r="D2957" s="407" t="s">
        <v>3106</v>
      </c>
      <c r="E2957" s="407" t="s">
        <v>5374</v>
      </c>
      <c r="F2957" s="407" t="s">
        <v>5375</v>
      </c>
      <c r="G2957" s="407" t="s">
        <v>5376</v>
      </c>
      <c r="H2957" s="460" t="e">
        <v>#N/A</v>
      </c>
      <c r="I2957" s="460" t="e">
        <v>#N/A</v>
      </c>
      <c r="J2957" s="460" t="e">
        <v>#N/A</v>
      </c>
      <c r="K2957" s="460" t="e">
        <v>#N/A</v>
      </c>
      <c r="L2957" s="459" t="e">
        <v>#N/A</v>
      </c>
      <c r="O2957">
        <v>0</v>
      </c>
      <c r="P2957" t="s">
        <v>9418</v>
      </c>
    </row>
    <row r="2958" spans="1:16" ht="14.4" x14ac:dyDescent="0.3">
      <c r="A2958">
        <v>224137</v>
      </c>
      <c r="B2958" t="str">
        <f t="shared" si="92"/>
        <v>SEVROLL maskownica dolna Simple/Blue 1,5m (do płyty laminowanej 18mm) srebrny</v>
      </c>
      <c r="C2958" s="185">
        <f t="shared" si="93"/>
        <v>48.17165</v>
      </c>
      <c r="D2958" s="407" t="s">
        <v>3107</v>
      </c>
      <c r="E2958" s="407" t="s">
        <v>5545</v>
      </c>
      <c r="F2958" s="407" t="s">
        <v>5546</v>
      </c>
      <c r="G2958" s="407" t="s">
        <v>5547</v>
      </c>
      <c r="H2958" s="460">
        <v>278.49979000000002</v>
      </c>
      <c r="I2958" s="460">
        <v>10.12279</v>
      </c>
      <c r="J2958" s="460">
        <v>48.17165</v>
      </c>
      <c r="K2958" s="460">
        <v>3957.2333100000001</v>
      </c>
      <c r="L2958" s="459" t="s">
        <v>538</v>
      </c>
      <c r="O2958">
        <v>9.68</v>
      </c>
      <c r="P2958" t="s">
        <v>9477</v>
      </c>
    </row>
    <row r="2959" spans="1:16" ht="14.4" x14ac:dyDescent="0.3">
      <c r="A2959">
        <v>224138</v>
      </c>
      <c r="B2959" t="str">
        <f t="shared" si="92"/>
        <v>SEVROLL maskownica dolna Simple/Blue 2m (do płyty laminowanej 18mm) srebrny</v>
      </c>
      <c r="C2959" s="185">
        <f t="shared" si="93"/>
        <v>64.234110000000001</v>
      </c>
      <c r="D2959" s="407" t="s">
        <v>3108</v>
      </c>
      <c r="E2959" s="407" t="s">
        <v>5557</v>
      </c>
      <c r="F2959" s="407" t="s">
        <v>5558</v>
      </c>
      <c r="G2959" s="407" t="s">
        <v>5559</v>
      </c>
      <c r="H2959" s="460">
        <v>370.85575999999998</v>
      </c>
      <c r="I2959" s="460">
        <v>13.479710000000001</v>
      </c>
      <c r="J2959" s="460">
        <v>64.234110000000001</v>
      </c>
      <c r="K2959" s="460">
        <v>5269.5288899999996</v>
      </c>
      <c r="L2959" s="459" t="s">
        <v>538</v>
      </c>
      <c r="O2959">
        <v>12.738</v>
      </c>
      <c r="P2959" t="s">
        <v>9481</v>
      </c>
    </row>
    <row r="2960" spans="1:16" ht="14.4" x14ac:dyDescent="0.3">
      <c r="A2960">
        <v>224139</v>
      </c>
      <c r="B2960" t="str">
        <f t="shared" si="92"/>
        <v>SEVROLL maskownica dolna Simple/Blue 2,5 m (do płyty laminowanej 18 mm) srebrna</v>
      </c>
      <c r="C2960" s="185">
        <f t="shared" si="93"/>
        <v>80.296570000000003</v>
      </c>
      <c r="D2960" s="407" t="s">
        <v>3109</v>
      </c>
      <c r="E2960" s="407" t="s">
        <v>5551</v>
      </c>
      <c r="F2960" s="407" t="s">
        <v>5552</v>
      </c>
      <c r="G2960" s="407" t="s">
        <v>5553</v>
      </c>
      <c r="H2960" s="460">
        <v>463.92766999999998</v>
      </c>
      <c r="I2960" s="460">
        <v>16.862639999999999</v>
      </c>
      <c r="J2960" s="460">
        <v>80.296570000000003</v>
      </c>
      <c r="K2960" s="460">
        <v>6591.99755</v>
      </c>
      <c r="L2960" s="459" t="s">
        <v>539</v>
      </c>
      <c r="O2960">
        <v>15.773999999999999</v>
      </c>
      <c r="P2960" t="s">
        <v>9479</v>
      </c>
    </row>
    <row r="2961" spans="1:16" ht="14.4" x14ac:dyDescent="0.3">
      <c r="A2961">
        <v>224141</v>
      </c>
      <c r="B2961" t="str">
        <f t="shared" si="92"/>
        <v>SEVROLL maskownica dolna Simple/Blue 2m (do płyty laminowanej 18mm) jasny brąz</v>
      </c>
      <c r="C2961" s="185">
        <f t="shared" si="93"/>
        <v>72.241739999999993</v>
      </c>
      <c r="D2961" s="407" t="s">
        <v>3110</v>
      </c>
      <c r="E2961" s="407" t="s">
        <v>5554</v>
      </c>
      <c r="F2961" s="407" t="s">
        <v>5555</v>
      </c>
      <c r="G2961" s="407" t="s">
        <v>5556</v>
      </c>
      <c r="H2961" s="460">
        <v>459.63202999999999</v>
      </c>
      <c r="I2961" s="460">
        <v>16.706510000000002</v>
      </c>
      <c r="J2961" s="460">
        <v>72.241739999999993</v>
      </c>
      <c r="K2961" s="460">
        <v>6530.9607100000003</v>
      </c>
      <c r="L2961" s="459" t="s">
        <v>538</v>
      </c>
      <c r="O2961">
        <v>14.366</v>
      </c>
      <c r="P2961" t="s">
        <v>9480</v>
      </c>
    </row>
    <row r="2962" spans="1:16" ht="14.4" x14ac:dyDescent="0.3">
      <c r="A2962">
        <v>224142</v>
      </c>
      <c r="B2962" t="str">
        <f t="shared" si="92"/>
        <v>SEVROLL maskownica dolna Simple/Blue 2,5 m (do płyty laminowanej 18 mm) oliwka</v>
      </c>
      <c r="C2962" s="185" t="e">
        <f t="shared" si="93"/>
        <v>#N/A</v>
      </c>
      <c r="D2962" s="407" t="s">
        <v>3111</v>
      </c>
      <c r="E2962" s="407" t="s">
        <v>5548</v>
      </c>
      <c r="F2962" s="407" t="s">
        <v>5549</v>
      </c>
      <c r="G2962" s="407" t="s">
        <v>5550</v>
      </c>
      <c r="H2962" s="460" t="e">
        <v>#N/A</v>
      </c>
      <c r="I2962" s="460" t="e">
        <v>#N/A</v>
      </c>
      <c r="J2962" s="460" t="e">
        <v>#N/A</v>
      </c>
      <c r="K2962" s="460" t="e">
        <v>#N/A</v>
      </c>
      <c r="L2962" s="459" t="e">
        <v>#N/A</v>
      </c>
      <c r="O2962">
        <v>0</v>
      </c>
      <c r="P2962" t="s">
        <v>9478</v>
      </c>
    </row>
    <row r="2963" spans="1:16" ht="14.4" x14ac:dyDescent="0.3">
      <c r="A2963">
        <v>224146</v>
      </c>
      <c r="B2963" t="str">
        <f t="shared" si="92"/>
        <v>SEVROLL tor dolny Simple/Blue 1,5m (do płyty laminowanej 10mm) srebrny</v>
      </c>
      <c r="C2963" s="185">
        <f t="shared" si="93"/>
        <v>22.79579</v>
      </c>
      <c r="D2963" s="407" t="s">
        <v>3112</v>
      </c>
      <c r="E2963" s="407" t="s">
        <v>3773</v>
      </c>
      <c r="F2963" s="407" t="s">
        <v>3774</v>
      </c>
      <c r="G2963" s="407" t="s">
        <v>3775</v>
      </c>
      <c r="H2963" s="460">
        <v>165.38162</v>
      </c>
      <c r="I2963" s="460">
        <v>6.0112199999999998</v>
      </c>
      <c r="J2963" s="460">
        <v>22.79579</v>
      </c>
      <c r="K2963" s="460">
        <v>2349.9249199999999</v>
      </c>
      <c r="L2963" s="459" t="s">
        <v>539</v>
      </c>
      <c r="O2963">
        <v>5.6980000000000004</v>
      </c>
      <c r="P2963" t="s">
        <v>8923</v>
      </c>
    </row>
    <row r="2964" spans="1:16" ht="14.4" x14ac:dyDescent="0.3">
      <c r="A2964">
        <v>224147</v>
      </c>
      <c r="B2964" t="str">
        <f t="shared" si="92"/>
        <v>SEVROLL tor dolny Simple/Blue 2m (do płyty laminowanej 10mm) srebrny</v>
      </c>
      <c r="C2964" s="185">
        <f t="shared" si="93"/>
        <v>30.410119999999999</v>
      </c>
      <c r="D2964" s="407" t="s">
        <v>3113</v>
      </c>
      <c r="E2964" s="407" t="s">
        <v>3912</v>
      </c>
      <c r="F2964" s="407" t="s">
        <v>3913</v>
      </c>
      <c r="G2964" s="407" t="s">
        <v>3914</v>
      </c>
      <c r="H2964" s="460">
        <v>220.50882999999999</v>
      </c>
      <c r="I2964" s="460">
        <v>8.0149600000000003</v>
      </c>
      <c r="J2964" s="460">
        <v>30.410119999999999</v>
      </c>
      <c r="K2964" s="460">
        <v>3133.2333600000002</v>
      </c>
      <c r="L2964" s="459" t="s">
        <v>538</v>
      </c>
      <c r="O2964">
        <v>7.524</v>
      </c>
      <c r="P2964" t="s">
        <v>8971</v>
      </c>
    </row>
    <row r="2965" spans="1:16" ht="14.4" x14ac:dyDescent="0.3">
      <c r="A2965">
        <v>224148</v>
      </c>
      <c r="B2965" t="str">
        <f t="shared" si="92"/>
        <v>SEVROLL tor górny Simple/Blue 2,5 m (do płyty laminowanej 10 mm) srebrny</v>
      </c>
      <c r="C2965" s="185" t="e">
        <f t="shared" si="93"/>
        <v>#N/A</v>
      </c>
      <c r="D2965" s="407" t="s">
        <v>3114</v>
      </c>
      <c r="E2965" s="407" t="s">
        <v>4017</v>
      </c>
      <c r="F2965" s="407" t="s">
        <v>4018</v>
      </c>
      <c r="G2965" s="407" t="s">
        <v>4019</v>
      </c>
      <c r="H2965" s="460" t="e">
        <v>#N/A</v>
      </c>
      <c r="I2965" s="460" t="e">
        <v>#N/A</v>
      </c>
      <c r="J2965" s="460" t="e">
        <v>#N/A</v>
      </c>
      <c r="K2965" s="460" t="e">
        <v>#N/A</v>
      </c>
      <c r="L2965" s="459" t="e">
        <v>#N/A</v>
      </c>
      <c r="O2965">
        <v>9.3719999999999999</v>
      </c>
      <c r="P2965" t="s">
        <v>9005</v>
      </c>
    </row>
    <row r="2966" spans="1:16" ht="14.4" x14ac:dyDescent="0.3">
      <c r="A2966">
        <v>224149</v>
      </c>
      <c r="B2966" t="str">
        <f t="shared" si="92"/>
        <v>SEVROLL tor górny Simple/Blue 1,5 m (do płyty laminowanej 10 mm) oliwka</v>
      </c>
      <c r="C2966" s="185" t="e">
        <f t="shared" si="93"/>
        <v>#N/A</v>
      </c>
      <c r="D2966" s="407" t="s">
        <v>3115</v>
      </c>
      <c r="E2966" s="407" t="s">
        <v>5357</v>
      </c>
      <c r="F2966" s="407" t="s">
        <v>5358</v>
      </c>
      <c r="G2966" s="407" t="s">
        <v>5359</v>
      </c>
      <c r="H2966" s="460" t="e">
        <v>#N/A</v>
      </c>
      <c r="I2966" s="460" t="e">
        <v>#N/A</v>
      </c>
      <c r="J2966" s="460" t="e">
        <v>#N/A</v>
      </c>
      <c r="K2966" s="460" t="e">
        <v>#N/A</v>
      </c>
      <c r="L2966" s="459" t="e">
        <v>#N/A</v>
      </c>
      <c r="O2966" t="e">
        <v>#N/A</v>
      </c>
      <c r="P2966" t="e">
        <v>#N/A</v>
      </c>
    </row>
    <row r="2967" spans="1:16" ht="14.4" x14ac:dyDescent="0.3">
      <c r="A2967">
        <v>224150</v>
      </c>
      <c r="B2967" t="str">
        <f t="shared" si="92"/>
        <v>SEVROLL tor górny Simple/Blue 2 m (do płyty laminowanej 10 mm) oliwka</v>
      </c>
      <c r="C2967" s="185" t="e">
        <f t="shared" si="93"/>
        <v>#N/A</v>
      </c>
      <c r="D2967" s="407" t="s">
        <v>3116</v>
      </c>
      <c r="E2967" s="407" t="s">
        <v>5363</v>
      </c>
      <c r="F2967" s="407" t="s">
        <v>5364</v>
      </c>
      <c r="G2967" s="407" t="s">
        <v>5365</v>
      </c>
      <c r="H2967" s="460" t="e">
        <v>#N/A</v>
      </c>
      <c r="I2967" s="460" t="e">
        <v>#N/A</v>
      </c>
      <c r="J2967" s="460" t="e">
        <v>#N/A</v>
      </c>
      <c r="K2967" s="460" t="e">
        <v>#N/A</v>
      </c>
      <c r="L2967" s="459" t="e">
        <v>#N/A</v>
      </c>
      <c r="O2967" t="e">
        <v>#N/A</v>
      </c>
      <c r="P2967" t="e">
        <v>#N/A</v>
      </c>
    </row>
    <row r="2968" spans="1:16" ht="14.4" x14ac:dyDescent="0.3">
      <c r="A2968">
        <v>224151</v>
      </c>
      <c r="B2968" t="str">
        <f t="shared" si="92"/>
        <v>SEVROLL tor dolny Simple/Blue 2,5 m (do płyty laminowanej 10 mm) oliwka</v>
      </c>
      <c r="C2968" s="185" t="e">
        <f t="shared" si="93"/>
        <v>#N/A</v>
      </c>
      <c r="D2968" s="407" t="s">
        <v>3117</v>
      </c>
      <c r="E2968" s="407" t="s">
        <v>5360</v>
      </c>
      <c r="F2968" s="407" t="s">
        <v>5361</v>
      </c>
      <c r="G2968" s="407" t="s">
        <v>5362</v>
      </c>
      <c r="H2968" s="460" t="e">
        <v>#N/A</v>
      </c>
      <c r="I2968" s="460" t="e">
        <v>#N/A</v>
      </c>
      <c r="J2968" s="460" t="e">
        <v>#N/A</v>
      </c>
      <c r="K2968" s="460" t="e">
        <v>#N/A</v>
      </c>
      <c r="L2968" s="459" t="e">
        <v>#N/A</v>
      </c>
      <c r="O2968" t="e">
        <v>#N/A</v>
      </c>
      <c r="P2968" t="e">
        <v>#N/A</v>
      </c>
    </row>
    <row r="2969" spans="1:16" ht="14.4" x14ac:dyDescent="0.3">
      <c r="A2969">
        <v>224152</v>
      </c>
      <c r="B2969" t="str">
        <f t="shared" si="92"/>
        <v>SEVROLL maskownica dolna Simple/Blue 1,5m (do płyty laminowanej 10mm) srebrny</v>
      </c>
      <c r="C2969" s="185">
        <f t="shared" si="93"/>
        <v>34.248750000000001</v>
      </c>
      <c r="D2969" s="407" t="s">
        <v>3118</v>
      </c>
      <c r="E2969" s="407" t="s">
        <v>4020</v>
      </c>
      <c r="F2969" s="407" t="s">
        <v>4021</v>
      </c>
      <c r="G2969" s="407" t="s">
        <v>4022</v>
      </c>
      <c r="H2969" s="460">
        <v>276.35198000000003</v>
      </c>
      <c r="I2969" s="460">
        <v>10.04472</v>
      </c>
      <c r="J2969" s="460">
        <v>34.248750000000001</v>
      </c>
      <c r="K2969" s="460">
        <v>3926.7144899999998</v>
      </c>
      <c r="L2969" s="459" t="s">
        <v>538</v>
      </c>
      <c r="O2969">
        <v>8.9320000000000004</v>
      </c>
      <c r="P2969" t="s">
        <v>9006</v>
      </c>
    </row>
    <row r="2970" spans="1:16" ht="14.4" x14ac:dyDescent="0.3">
      <c r="A2970">
        <v>224153</v>
      </c>
      <c r="B2970" t="str">
        <f t="shared" si="92"/>
        <v>SEVROLL maskownica dolna Simple/Blue 2m (do płyty laminowanej 10mm) srebrny</v>
      </c>
      <c r="C2970" s="185">
        <f t="shared" si="93"/>
        <v>45.701709999999999</v>
      </c>
      <c r="D2970" s="407" t="s">
        <v>3119</v>
      </c>
      <c r="E2970" s="407" t="s">
        <v>4202</v>
      </c>
      <c r="F2970" s="407" t="s">
        <v>4203</v>
      </c>
      <c r="G2970" s="407" t="s">
        <v>4204</v>
      </c>
      <c r="H2970" s="460">
        <v>363.69637999999998</v>
      </c>
      <c r="I2970" s="460">
        <v>13.219480000000001</v>
      </c>
      <c r="J2970" s="460">
        <v>45.701709999999999</v>
      </c>
      <c r="K2970" s="460">
        <v>5167.8005300000004</v>
      </c>
      <c r="L2970" s="459" t="s">
        <v>538</v>
      </c>
      <c r="O2970">
        <v>11.77</v>
      </c>
      <c r="P2970" t="s">
        <v>9062</v>
      </c>
    </row>
    <row r="2971" spans="1:16" ht="14.4" x14ac:dyDescent="0.3">
      <c r="A2971">
        <v>224154</v>
      </c>
      <c r="B2971" t="str">
        <f t="shared" si="92"/>
        <v>SEVROLL maskownica dolna Simple/Blue 2,5 m (do płyty laminowanej 10 mm) srebrna</v>
      </c>
      <c r="C2971" s="185">
        <f t="shared" si="93"/>
        <v>57.107480000000002</v>
      </c>
      <c r="D2971" s="407" t="s">
        <v>3120</v>
      </c>
      <c r="E2971" s="407" t="s">
        <v>4387</v>
      </c>
      <c r="F2971" s="407" t="s">
        <v>4388</v>
      </c>
      <c r="G2971" s="407" t="s">
        <v>4389</v>
      </c>
      <c r="H2971" s="460">
        <v>451.04077999999998</v>
      </c>
      <c r="I2971" s="460">
        <v>16.39424</v>
      </c>
      <c r="J2971" s="460">
        <v>57.107480000000002</v>
      </c>
      <c r="K2971" s="460">
        <v>6408.8865999999998</v>
      </c>
      <c r="L2971" s="459" t="s">
        <v>539</v>
      </c>
      <c r="O2971">
        <v>14.586</v>
      </c>
      <c r="P2971" t="s">
        <v>9120</v>
      </c>
    </row>
    <row r="2972" spans="1:16" ht="14.4" x14ac:dyDescent="0.3">
      <c r="A2972">
        <v>224155</v>
      </c>
      <c r="B2972" t="str">
        <f t="shared" si="92"/>
        <v>SEVROLL maskownica dolna Simple/Blue 1,5 m (do płyty laminowanej 10 mm) oliwka</v>
      </c>
      <c r="C2972" s="185" t="e">
        <f t="shared" si="93"/>
        <v>#N/A</v>
      </c>
      <c r="D2972" s="407" t="s">
        <v>3121</v>
      </c>
      <c r="E2972" s="407" t="s">
        <v>4057</v>
      </c>
      <c r="F2972" s="407" t="s">
        <v>4058</v>
      </c>
      <c r="G2972" s="407" t="s">
        <v>4059</v>
      </c>
      <c r="H2972" s="460" t="e">
        <v>#N/A</v>
      </c>
      <c r="I2972" s="460" t="e">
        <v>#N/A</v>
      </c>
      <c r="J2972" s="460" t="e">
        <v>#N/A</v>
      </c>
      <c r="K2972" s="460" t="e">
        <v>#N/A</v>
      </c>
      <c r="L2972" s="459" t="e">
        <v>#N/A</v>
      </c>
      <c r="O2972" t="e">
        <v>#N/A</v>
      </c>
      <c r="P2972" t="e">
        <v>#N/A</v>
      </c>
    </row>
    <row r="2973" spans="1:16" ht="14.4" x14ac:dyDescent="0.3">
      <c r="A2973">
        <v>224156</v>
      </c>
      <c r="B2973" t="str">
        <f t="shared" si="92"/>
        <v>SEVROLL maskownica dolna Simple/Blue 2 m (do płyty laminowanej 10 mm) oliwka</v>
      </c>
      <c r="C2973" s="185" t="e">
        <f t="shared" si="93"/>
        <v>#N/A</v>
      </c>
      <c r="D2973" s="407" t="s">
        <v>3122</v>
      </c>
      <c r="E2973" s="407" t="s">
        <v>4236</v>
      </c>
      <c r="F2973" s="407" t="s">
        <v>4237</v>
      </c>
      <c r="G2973" s="407" t="s">
        <v>4238</v>
      </c>
      <c r="H2973" s="460" t="e">
        <v>#N/A</v>
      </c>
      <c r="I2973" s="460" t="e">
        <v>#N/A</v>
      </c>
      <c r="J2973" s="460" t="e">
        <v>#N/A</v>
      </c>
      <c r="K2973" s="460" t="e">
        <v>#N/A</v>
      </c>
      <c r="L2973" s="459" t="e">
        <v>#N/A</v>
      </c>
      <c r="O2973" t="e">
        <v>#N/A</v>
      </c>
      <c r="P2973" t="e">
        <v>#N/A</v>
      </c>
    </row>
    <row r="2974" spans="1:16" ht="14.4" x14ac:dyDescent="0.3">
      <c r="A2974">
        <v>224157</v>
      </c>
      <c r="B2974" t="str">
        <f t="shared" si="92"/>
        <v>SEVROLL maskownica dolna Simple/Blue 2,5 m (do płyty laminowanej 10 mm) oliwka</v>
      </c>
      <c r="C2974" s="185" t="e">
        <f t="shared" si="93"/>
        <v>#N/A</v>
      </c>
      <c r="D2974" s="407" t="s">
        <v>3123</v>
      </c>
      <c r="E2974" s="407" t="s">
        <v>4487</v>
      </c>
      <c r="F2974" s="407" t="s">
        <v>4488</v>
      </c>
      <c r="G2974" s="407" t="s">
        <v>4489</v>
      </c>
      <c r="H2974" s="460" t="e">
        <v>#N/A</v>
      </c>
      <c r="I2974" s="460" t="e">
        <v>#N/A</v>
      </c>
      <c r="J2974" s="460" t="e">
        <v>#N/A</v>
      </c>
      <c r="K2974" s="460" t="e">
        <v>#N/A</v>
      </c>
      <c r="L2974" s="459" t="e">
        <v>#N/A</v>
      </c>
      <c r="O2974" t="e">
        <v>#N/A</v>
      </c>
      <c r="P2974" t="e">
        <v>#N/A</v>
      </c>
    </row>
    <row r="2975" spans="1:16" ht="14.4" x14ac:dyDescent="0.3">
      <c r="A2975">
        <v>224158</v>
      </c>
      <c r="B2975" t="str">
        <f t="shared" si="92"/>
        <v>SEVROLL listwa łącząca Simple/Blue H21 3m (do płyty laminowanej 18mm) jasny brąz</v>
      </c>
      <c r="C2975" s="185">
        <f t="shared" si="93"/>
        <v>54.071179999999998</v>
      </c>
      <c r="D2975" s="407" t="s">
        <v>3124</v>
      </c>
      <c r="E2975" s="407" t="s">
        <v>5592</v>
      </c>
      <c r="F2975" s="407" t="s">
        <v>5593</v>
      </c>
      <c r="G2975" s="407" t="s">
        <v>5594</v>
      </c>
      <c r="H2975" s="460">
        <v>393.04982999999999</v>
      </c>
      <c r="I2975" s="460">
        <v>14.279909999999999</v>
      </c>
      <c r="J2975" s="460">
        <v>54.071179999999998</v>
      </c>
      <c r="K2975" s="460">
        <v>5584.8870299999999</v>
      </c>
      <c r="L2975" s="459" t="s">
        <v>538</v>
      </c>
      <c r="O2975">
        <v>12.628</v>
      </c>
      <c r="P2975" t="s">
        <v>9496</v>
      </c>
    </row>
    <row r="2976" spans="1:16" ht="14.4" x14ac:dyDescent="0.3">
      <c r="A2976">
        <v>224161</v>
      </c>
      <c r="B2976" t="str">
        <f t="shared" si="92"/>
        <v>SEVROLL Symetric zestaw okuć do 2 skrzydeł</v>
      </c>
      <c r="C2976" s="185" t="e">
        <f t="shared" si="93"/>
        <v>#N/A</v>
      </c>
      <c r="D2976" s="407" t="s">
        <v>3125</v>
      </c>
      <c r="E2976" s="407" t="s">
        <v>4743</v>
      </c>
      <c r="F2976" s="407" t="s">
        <v>4744</v>
      </c>
      <c r="G2976" s="407" t="s">
        <v>4745</v>
      </c>
      <c r="H2976" s="460" t="e">
        <v>#N/A</v>
      </c>
      <c r="I2976" s="460" t="e">
        <v>#N/A</v>
      </c>
      <c r="J2976" s="460" t="e">
        <v>#N/A</v>
      </c>
      <c r="K2976" s="460" t="e">
        <v>#N/A</v>
      </c>
      <c r="L2976" s="459" t="e">
        <v>#N/A</v>
      </c>
      <c r="O2976">
        <v>33.792000000000002</v>
      </c>
      <c r="P2976" t="s">
        <v>9231</v>
      </c>
    </row>
    <row r="2977" spans="1:16" ht="14.4" x14ac:dyDescent="0.3">
      <c r="A2977">
        <v>224214</v>
      </c>
      <c r="B2977" t="str">
        <f t="shared" si="92"/>
        <v>SEVROLL Simple/Blue pozycjoner wózka górnego</v>
      </c>
      <c r="C2977" s="185">
        <f t="shared" si="93"/>
        <v>1.5743100000000001</v>
      </c>
      <c r="D2977" s="407" t="s">
        <v>3126</v>
      </c>
      <c r="E2977" s="407" t="s">
        <v>6192</v>
      </c>
      <c r="F2977" s="407" t="s">
        <v>6193</v>
      </c>
      <c r="G2977" s="407" t="s">
        <v>6194</v>
      </c>
      <c r="H2977" s="460">
        <v>13.824109999999999</v>
      </c>
      <c r="I2977" s="460">
        <v>0.47361999999999999</v>
      </c>
      <c r="J2977" s="460">
        <v>1.5743100000000001</v>
      </c>
      <c r="K2977" s="460">
        <v>184.52493999999999</v>
      </c>
      <c r="L2977" s="459" t="s">
        <v>539</v>
      </c>
      <c r="O2977">
        <v>0.42152000000000001</v>
      </c>
      <c r="P2977" t="s">
        <v>8836</v>
      </c>
    </row>
    <row r="2978" spans="1:16" ht="14.4" x14ac:dyDescent="0.3">
      <c r="A2978">
        <v>225358</v>
      </c>
      <c r="B2978" t="str">
        <f t="shared" si="92"/>
        <v>SEVROLL Exclusive tor górny 1,8m jasny brąz</v>
      </c>
      <c r="C2978" s="185">
        <f t="shared" si="93"/>
        <v>80.880240000000001</v>
      </c>
      <c r="D2978" s="407" t="s">
        <v>3127</v>
      </c>
      <c r="E2978" s="407" t="s">
        <v>4534</v>
      </c>
      <c r="F2978" s="407" t="s">
        <v>1174</v>
      </c>
      <c r="G2978" s="407" t="s">
        <v>4535</v>
      </c>
      <c r="H2978" s="460">
        <v>628.50221999999997</v>
      </c>
      <c r="I2978" s="460">
        <v>23.706589999999998</v>
      </c>
      <c r="J2978" s="460">
        <v>80.880240000000001</v>
      </c>
      <c r="K2978" s="460">
        <v>8945.4182500000006</v>
      </c>
      <c r="L2978" s="459" t="s">
        <v>539</v>
      </c>
      <c r="O2978">
        <v>20.042000000000002</v>
      </c>
      <c r="P2978" t="s">
        <v>9165</v>
      </c>
    </row>
    <row r="2979" spans="1:16" ht="14.4" x14ac:dyDescent="0.3">
      <c r="A2979">
        <v>225367</v>
      </c>
      <c r="B2979" t="str">
        <f t="shared" si="92"/>
        <v>SEVROLL Elegant II tor dolny 6m jasny brąz szczotkowany</v>
      </c>
      <c r="C2979" s="185">
        <f t="shared" si="93"/>
        <v>0</v>
      </c>
      <c r="D2979" s="407" t="s">
        <v>3128</v>
      </c>
      <c r="E2979" s="407" t="s">
        <v>5216</v>
      </c>
      <c r="F2979" s="407" t="s">
        <v>5217</v>
      </c>
      <c r="G2979" s="407" t="s">
        <v>5218</v>
      </c>
      <c r="H2979" s="460">
        <v>1524.21326</v>
      </c>
      <c r="I2979" s="460">
        <v>54.803600000000003</v>
      </c>
      <c r="J2979" s="460">
        <v>0</v>
      </c>
      <c r="K2979" s="460">
        <v>21093.11968</v>
      </c>
      <c r="L2979" s="459" t="s">
        <v>539</v>
      </c>
      <c r="O2979">
        <v>48.817999999999998</v>
      </c>
      <c r="P2979" t="s">
        <v>9362</v>
      </c>
    </row>
    <row r="2980" spans="1:16" ht="14.4" x14ac:dyDescent="0.3">
      <c r="A2980">
        <v>225368</v>
      </c>
      <c r="B2980" t="str">
        <f t="shared" si="92"/>
        <v>SEVROLL Elegant II tor dolny 6m koniak szczotkowany</v>
      </c>
      <c r="C2980" s="185" t="e">
        <f t="shared" si="93"/>
        <v>#N/A</v>
      </c>
      <c r="D2980" s="407" t="s">
        <v>3129</v>
      </c>
      <c r="E2980" s="407" t="s">
        <v>5219</v>
      </c>
      <c r="F2980" s="407" t="s">
        <v>5220</v>
      </c>
      <c r="G2980" s="407" t="s">
        <v>5221</v>
      </c>
      <c r="H2980" s="460" t="e">
        <v>#N/A</v>
      </c>
      <c r="I2980" s="460" t="e">
        <v>#N/A</v>
      </c>
      <c r="J2980" s="460" t="e">
        <v>#N/A</v>
      </c>
      <c r="K2980" s="460" t="e">
        <v>#N/A</v>
      </c>
      <c r="L2980" s="459" t="e">
        <v>#N/A</v>
      </c>
      <c r="O2980">
        <v>46.485999999999997</v>
      </c>
      <c r="P2980" t="s">
        <v>9363</v>
      </c>
    </row>
    <row r="2981" spans="1:16" ht="14.4" x14ac:dyDescent="0.3">
      <c r="A2981">
        <v>225369</v>
      </c>
      <c r="B2981" t="str">
        <f t="shared" si="92"/>
        <v>SEVROLL Elegant II tor dolny 6m czarny szczotkowany</v>
      </c>
      <c r="C2981" s="185">
        <f t="shared" si="93"/>
        <v>0</v>
      </c>
      <c r="D2981" s="407" t="s">
        <v>3130</v>
      </c>
      <c r="E2981" s="407" t="s">
        <v>5213</v>
      </c>
      <c r="F2981" s="407" t="s">
        <v>5214</v>
      </c>
      <c r="G2981" s="407" t="s">
        <v>5215</v>
      </c>
      <c r="H2981" s="460">
        <v>1524.21326</v>
      </c>
      <c r="I2981" s="460">
        <v>54.803600000000003</v>
      </c>
      <c r="J2981" s="460">
        <v>0</v>
      </c>
      <c r="K2981" s="460">
        <v>21093.11968</v>
      </c>
      <c r="L2981" s="459" t="s">
        <v>538</v>
      </c>
      <c r="O2981">
        <v>48.817999999999998</v>
      </c>
      <c r="P2981" t="s">
        <v>9361</v>
      </c>
    </row>
    <row r="2982" spans="1:16" ht="14.4" x14ac:dyDescent="0.3">
      <c r="A2982">
        <v>225370</v>
      </c>
      <c r="B2982" t="str">
        <f t="shared" si="92"/>
        <v>SEVROLL Gemini tor górny 6m jasny brąz szczotkowany</v>
      </c>
      <c r="C2982" s="185">
        <f t="shared" si="93"/>
        <v>0</v>
      </c>
      <c r="D2982" s="407" t="s">
        <v>3131</v>
      </c>
      <c r="E2982" s="407" t="s">
        <v>5296</v>
      </c>
      <c r="F2982" s="407" t="s">
        <v>1164</v>
      </c>
      <c r="G2982" s="407" t="s">
        <v>5297</v>
      </c>
      <c r="H2982" s="460">
        <v>2386.1970999999999</v>
      </c>
      <c r="I2982" s="460">
        <v>85.796509999999998</v>
      </c>
      <c r="J2982" s="460">
        <v>0</v>
      </c>
      <c r="K2982" s="460">
        <v>33021.850079999997</v>
      </c>
      <c r="L2982" s="459" t="s">
        <v>539</v>
      </c>
      <c r="O2982">
        <v>79.903999999999996</v>
      </c>
      <c r="P2982" t="s">
        <v>9392</v>
      </c>
    </row>
    <row r="2983" spans="1:16" ht="14.4" x14ac:dyDescent="0.3">
      <c r="A2983">
        <v>225371</v>
      </c>
      <c r="B2983" t="str">
        <f t="shared" si="92"/>
        <v>SEVROLL Gemini tor górny 6m koniak szczotkowany</v>
      </c>
      <c r="C2983" s="185" t="e">
        <f t="shared" si="93"/>
        <v>#N/A</v>
      </c>
      <c r="D2983" s="407" t="s">
        <v>3132</v>
      </c>
      <c r="E2983" s="407" t="s">
        <v>5298</v>
      </c>
      <c r="F2983" s="407" t="s">
        <v>1163</v>
      </c>
      <c r="G2983" s="407" t="s">
        <v>5299</v>
      </c>
      <c r="H2983" s="460" t="e">
        <v>#N/A</v>
      </c>
      <c r="I2983" s="460" t="e">
        <v>#N/A</v>
      </c>
      <c r="J2983" s="460" t="e">
        <v>#N/A</v>
      </c>
      <c r="K2983" s="460" t="e">
        <v>#N/A</v>
      </c>
      <c r="L2983" s="459" t="e">
        <v>#N/A</v>
      </c>
      <c r="O2983">
        <v>79.903999999999996</v>
      </c>
      <c r="P2983" t="s">
        <v>9393</v>
      </c>
    </row>
    <row r="2984" spans="1:16" ht="14.4" x14ac:dyDescent="0.3">
      <c r="A2984">
        <v>225372</v>
      </c>
      <c r="B2984" t="str">
        <f t="shared" si="92"/>
        <v>SEVROLL Gemini tor górny 6m czarny szczotkowany</v>
      </c>
      <c r="C2984" s="185">
        <f t="shared" si="93"/>
        <v>0</v>
      </c>
      <c r="D2984" s="407" t="s">
        <v>3133</v>
      </c>
      <c r="E2984" s="407" t="s">
        <v>5294</v>
      </c>
      <c r="F2984" s="407" t="s">
        <v>1165</v>
      </c>
      <c r="G2984" s="407" t="s">
        <v>5295</v>
      </c>
      <c r="H2984" s="460">
        <v>2386.1970999999999</v>
      </c>
      <c r="I2984" s="460">
        <v>85.796509999999998</v>
      </c>
      <c r="J2984" s="460">
        <v>0</v>
      </c>
      <c r="K2984" s="460">
        <v>33021.850079999997</v>
      </c>
      <c r="L2984" s="459" t="s">
        <v>538</v>
      </c>
      <c r="O2984">
        <v>79.903999999999996</v>
      </c>
      <c r="P2984" t="s">
        <v>9391</v>
      </c>
    </row>
    <row r="2985" spans="1:16" ht="14.4" x14ac:dyDescent="0.3">
      <c r="A2985">
        <v>227067</v>
      </c>
      <c r="B2985" t="str">
        <f t="shared" si="92"/>
        <v>SEVROLL tłumienie 10/18mm 14-25kg lewe</v>
      </c>
      <c r="C2985" s="185">
        <f t="shared" si="93"/>
        <v>44.777999999999999</v>
      </c>
      <c r="D2985" s="407" t="s">
        <v>3134</v>
      </c>
      <c r="E2985" s="407" t="s">
        <v>4263</v>
      </c>
      <c r="F2985" s="407" t="s">
        <v>4264</v>
      </c>
      <c r="G2985" s="407" t="s">
        <v>4265</v>
      </c>
      <c r="H2985" s="460">
        <v>379.39492999999999</v>
      </c>
      <c r="I2985" s="460">
        <v>12.85516</v>
      </c>
      <c r="J2985" s="460">
        <v>44.777999999999999</v>
      </c>
      <c r="K2985" s="460">
        <v>5064.1871000000001</v>
      </c>
      <c r="L2985" s="459" t="s">
        <v>538</v>
      </c>
      <c r="O2985">
        <v>12.034000000000001</v>
      </c>
      <c r="P2985" t="s">
        <v>9081</v>
      </c>
    </row>
    <row r="2986" spans="1:16" ht="14.4" x14ac:dyDescent="0.3">
      <c r="A2986">
        <v>227068</v>
      </c>
      <c r="B2986" t="str">
        <f t="shared" si="92"/>
        <v>SEVROLL tłumienie 10/18mm 14-25kg prawe</v>
      </c>
      <c r="C2986" s="185">
        <f t="shared" si="93"/>
        <v>44.777999999999999</v>
      </c>
      <c r="D2986" s="407" t="s">
        <v>3135</v>
      </c>
      <c r="E2986" s="407" t="s">
        <v>4266</v>
      </c>
      <c r="F2986" s="407" t="s">
        <v>4267</v>
      </c>
      <c r="G2986" s="407" t="s">
        <v>4268</v>
      </c>
      <c r="H2986" s="460">
        <v>379.39492999999999</v>
      </c>
      <c r="I2986" s="460">
        <v>12.85516</v>
      </c>
      <c r="J2986" s="460">
        <v>44.777999999999999</v>
      </c>
      <c r="K2986" s="460">
        <v>5064.1871000000001</v>
      </c>
      <c r="L2986" s="459" t="s">
        <v>538</v>
      </c>
      <c r="O2986">
        <v>12.034000000000001</v>
      </c>
      <c r="P2986" t="s">
        <v>9082</v>
      </c>
    </row>
    <row r="2987" spans="1:16" ht="14.4" x14ac:dyDescent="0.3">
      <c r="A2987">
        <v>227069</v>
      </c>
      <c r="B2987" t="str">
        <f t="shared" si="92"/>
        <v>SEVROLL tłumienie 10/18mm 25-50kg lewe</v>
      </c>
      <c r="C2987" s="185">
        <f t="shared" si="93"/>
        <v>44.777999999999999</v>
      </c>
      <c r="D2987" s="407" t="s">
        <v>3136</v>
      </c>
      <c r="E2987" s="407" t="s">
        <v>4269</v>
      </c>
      <c r="F2987" s="407" t="s">
        <v>4270</v>
      </c>
      <c r="G2987" s="407" t="s">
        <v>4271</v>
      </c>
      <c r="H2987" s="460">
        <v>379.39492999999999</v>
      </c>
      <c r="I2987" s="460">
        <v>12.85516</v>
      </c>
      <c r="J2987" s="460">
        <v>44.777999999999999</v>
      </c>
      <c r="K2987" s="460">
        <v>5064.1871000000001</v>
      </c>
      <c r="L2987" s="459" t="s">
        <v>538</v>
      </c>
      <c r="O2987">
        <v>12.034000000000001</v>
      </c>
      <c r="P2987" t="s">
        <v>9083</v>
      </c>
    </row>
    <row r="2988" spans="1:16" ht="14.4" x14ac:dyDescent="0.3">
      <c r="A2988">
        <v>227070</v>
      </c>
      <c r="B2988" t="str">
        <f t="shared" si="92"/>
        <v>SEVROLL tłumienie Sevromatic 10/18mm 25-50kg prawe</v>
      </c>
      <c r="C2988" s="185">
        <f t="shared" si="93"/>
        <v>44.777999999999999</v>
      </c>
      <c r="D2988" s="407" t="s">
        <v>3137</v>
      </c>
      <c r="E2988" s="407" t="s">
        <v>4272</v>
      </c>
      <c r="F2988" s="407" t="s">
        <v>4273</v>
      </c>
      <c r="G2988" s="407" t="s">
        <v>4274</v>
      </c>
      <c r="H2988" s="460">
        <v>379.39492999999999</v>
      </c>
      <c r="I2988" s="460">
        <v>12.85516</v>
      </c>
      <c r="J2988" s="460">
        <v>44.777999999999999</v>
      </c>
      <c r="K2988" s="460">
        <v>5064.1871000000001</v>
      </c>
      <c r="L2988" s="459" t="s">
        <v>538</v>
      </c>
      <c r="O2988">
        <v>12.034000000000001</v>
      </c>
      <c r="P2988" t="s">
        <v>9084</v>
      </c>
    </row>
    <row r="2989" spans="1:16" ht="14.4" x14ac:dyDescent="0.3">
      <c r="A2989">
        <v>227185</v>
      </c>
      <c r="B2989" t="str">
        <f t="shared" si="92"/>
        <v>K-SEVROLL tłumienie 10/18mm 14-25kg L+P</v>
      </c>
      <c r="C2989" s="185">
        <f t="shared" si="93"/>
        <v>0</v>
      </c>
      <c r="D2989" s="407" t="s">
        <v>3138</v>
      </c>
      <c r="E2989" s="407" t="s">
        <v>4690</v>
      </c>
      <c r="F2989" s="407" t="s">
        <v>4691</v>
      </c>
      <c r="G2989" s="407" t="s">
        <v>4692</v>
      </c>
      <c r="H2989" s="460">
        <v>0</v>
      </c>
      <c r="I2989" s="460">
        <v>0</v>
      </c>
      <c r="J2989" s="460">
        <v>0</v>
      </c>
      <c r="K2989" s="460">
        <v>0</v>
      </c>
      <c r="L2989" s="459" t="s">
        <v>538</v>
      </c>
      <c r="O2989">
        <v>0</v>
      </c>
      <c r="P2989" t="s">
        <v>9212</v>
      </c>
    </row>
    <row r="2990" spans="1:16" ht="14.4" x14ac:dyDescent="0.3">
      <c r="A2990">
        <v>227187</v>
      </c>
      <c r="B2990" t="str">
        <f t="shared" si="92"/>
        <v>K-SEVROLL tłumienie 10/18mm 25-50kg L+P</v>
      </c>
      <c r="C2990" s="185">
        <f t="shared" si="93"/>
        <v>0</v>
      </c>
      <c r="D2990" s="407" t="s">
        <v>3139</v>
      </c>
      <c r="E2990" s="407" t="s">
        <v>4693</v>
      </c>
      <c r="F2990" s="407" t="s">
        <v>4694</v>
      </c>
      <c r="G2990" s="407" t="s">
        <v>4695</v>
      </c>
      <c r="H2990" s="460">
        <v>0</v>
      </c>
      <c r="I2990" s="460">
        <v>0</v>
      </c>
      <c r="J2990" s="460">
        <v>0</v>
      </c>
      <c r="K2990" s="460">
        <v>0</v>
      </c>
      <c r="L2990" s="459" t="s">
        <v>538</v>
      </c>
      <c r="O2990">
        <v>0</v>
      </c>
      <c r="P2990" t="s">
        <v>9213</v>
      </c>
    </row>
    <row r="2991" spans="1:16" ht="14.4" x14ac:dyDescent="0.3">
      <c r="A2991">
        <v>227193</v>
      </c>
      <c r="B2991" t="str">
        <f t="shared" si="92"/>
        <v>SEVROLL listwa łącząca H10 Decor 3m jasny brąz</v>
      </c>
      <c r="C2991" s="185">
        <f t="shared" si="93"/>
        <v>57.7179</v>
      </c>
      <c r="D2991" s="407" t="s">
        <v>3140</v>
      </c>
      <c r="E2991" s="407" t="s">
        <v>4364</v>
      </c>
      <c r="F2991" s="407" t="s">
        <v>1101</v>
      </c>
      <c r="G2991" s="407" t="s">
        <v>4365</v>
      </c>
      <c r="H2991" s="460">
        <v>466.81745999999998</v>
      </c>
      <c r="I2991" s="460">
        <v>16.784579999999998</v>
      </c>
      <c r="J2991" s="460">
        <v>57.7179</v>
      </c>
      <c r="K2991" s="460">
        <v>6460.1435300000003</v>
      </c>
      <c r="L2991" s="459" t="s">
        <v>539</v>
      </c>
      <c r="O2991">
        <v>14.19</v>
      </c>
      <c r="P2991" t="s">
        <v>9112</v>
      </c>
    </row>
    <row r="2992" spans="1:16" ht="14.4" x14ac:dyDescent="0.3">
      <c r="A2992">
        <v>227196</v>
      </c>
      <c r="B2992" t="str">
        <f t="shared" si="92"/>
        <v>SEVROLL Comfort tor górny 6m srebrny</v>
      </c>
      <c r="C2992" s="185">
        <f t="shared" si="93"/>
        <v>0</v>
      </c>
      <c r="D2992" s="407" t="s">
        <v>3141</v>
      </c>
      <c r="E2992" s="407" t="s">
        <v>5081</v>
      </c>
      <c r="F2992" s="407" t="s">
        <v>1184</v>
      </c>
      <c r="G2992" s="407" t="s">
        <v>5082</v>
      </c>
      <c r="H2992" s="460">
        <v>2950.7205199999999</v>
      </c>
      <c r="I2992" s="460">
        <v>106.09414</v>
      </c>
      <c r="J2992" s="460">
        <v>0</v>
      </c>
      <c r="K2992" s="460">
        <v>40834.116679999999</v>
      </c>
      <c r="L2992" s="459" t="s">
        <v>539</v>
      </c>
      <c r="O2992">
        <v>102.608</v>
      </c>
      <c r="P2992" t="s">
        <v>9312</v>
      </c>
    </row>
    <row r="2993" spans="1:16" ht="14.4" x14ac:dyDescent="0.3">
      <c r="A2993">
        <v>227197</v>
      </c>
      <c r="B2993" t="str">
        <f t="shared" si="92"/>
        <v>SEVROLL Comfort tor górny 6 m oliwka</v>
      </c>
      <c r="C2993" s="185">
        <f t="shared" si="93"/>
        <v>0</v>
      </c>
      <c r="D2993" s="407" t="s">
        <v>3142</v>
      </c>
      <c r="E2993" s="407" t="s">
        <v>5087</v>
      </c>
      <c r="F2993" s="407" t="s">
        <v>1185</v>
      </c>
      <c r="G2993" s="407" t="s">
        <v>5088</v>
      </c>
      <c r="H2993" s="460">
        <v>3686.7721999999999</v>
      </c>
      <c r="I2993" s="460">
        <v>132.55912000000001</v>
      </c>
      <c r="J2993" s="460">
        <v>0</v>
      </c>
      <c r="K2993" s="460">
        <v>51020.110520000002</v>
      </c>
      <c r="L2993" s="459" t="s">
        <v>539</v>
      </c>
      <c r="O2993">
        <v>112.86</v>
      </c>
      <c r="P2993" t="s">
        <v>9315</v>
      </c>
    </row>
    <row r="2994" spans="1:16" ht="14.4" x14ac:dyDescent="0.3">
      <c r="A2994">
        <v>227321</v>
      </c>
      <c r="B2994" t="str">
        <f t="shared" si="92"/>
        <v>SEVROLL Comfort tor górny 2,35m srebrny</v>
      </c>
      <c r="C2994" s="185">
        <f t="shared" si="93"/>
        <v>149.685</v>
      </c>
      <c r="D2994" s="407" t="s">
        <v>3143</v>
      </c>
      <c r="E2994" s="407" t="s">
        <v>4920</v>
      </c>
      <c r="F2994" s="407" t="s">
        <v>1260</v>
      </c>
      <c r="G2994" s="407" t="s">
        <v>4921</v>
      </c>
      <c r="H2994" s="460">
        <v>1155.8255300000001</v>
      </c>
      <c r="I2994" s="460">
        <v>41.55809</v>
      </c>
      <c r="J2994" s="460">
        <v>149.685</v>
      </c>
      <c r="K2994" s="460">
        <v>15995.115159999999</v>
      </c>
      <c r="L2994" s="459" t="s">
        <v>538</v>
      </c>
      <c r="O2994">
        <v>40.194000000000003</v>
      </c>
      <c r="P2994" t="s">
        <v>9279</v>
      </c>
    </row>
    <row r="2995" spans="1:16" ht="14.4" x14ac:dyDescent="0.3">
      <c r="A2995">
        <v>227324</v>
      </c>
      <c r="B2995" t="str">
        <f t="shared" si="92"/>
        <v>SEVROLL Comfort tor górny 3m srebrny</v>
      </c>
      <c r="C2995" s="185">
        <f t="shared" si="93"/>
        <v>191.09700000000001</v>
      </c>
      <c r="D2995" s="407" t="s">
        <v>3144</v>
      </c>
      <c r="E2995" s="407" t="s">
        <v>4990</v>
      </c>
      <c r="F2995" s="407" t="s">
        <v>1259</v>
      </c>
      <c r="G2995" s="407" t="s">
        <v>4991</v>
      </c>
      <c r="H2995" s="460">
        <v>1474.99839</v>
      </c>
      <c r="I2995" s="460">
        <v>53.034059999999997</v>
      </c>
      <c r="J2995" s="460">
        <v>191.09700000000001</v>
      </c>
      <c r="K2995" s="460">
        <v>20412.050360000001</v>
      </c>
      <c r="L2995" s="459" t="s">
        <v>539</v>
      </c>
      <c r="O2995">
        <v>51.304000000000002</v>
      </c>
      <c r="P2995" t="s">
        <v>9295</v>
      </c>
    </row>
    <row r="2996" spans="1:16" ht="14.4" x14ac:dyDescent="0.3">
      <c r="A2996">
        <v>228009</v>
      </c>
      <c r="B2996" t="str">
        <f t="shared" si="92"/>
        <v>SEVROLL wózek górny Gemini symetryczny 10mm - 2szt</v>
      </c>
      <c r="C2996" s="185">
        <f t="shared" si="93"/>
        <v>23.174399999999999</v>
      </c>
      <c r="D2996" s="407" t="s">
        <v>3145</v>
      </c>
      <c r="E2996" s="407" t="s">
        <v>5397</v>
      </c>
      <c r="F2996" s="407" t="s">
        <v>5398</v>
      </c>
      <c r="G2996" s="407" t="s">
        <v>5399</v>
      </c>
      <c r="H2996" s="460">
        <v>152.83319</v>
      </c>
      <c r="I2996" s="460">
        <v>5.1758899999999999</v>
      </c>
      <c r="J2996" s="460">
        <v>23.174399999999999</v>
      </c>
      <c r="K2996" s="460">
        <v>2040.0269000000001</v>
      </c>
      <c r="L2996" s="459" t="s">
        <v>538</v>
      </c>
      <c r="O2996">
        <v>4.8620000000000001</v>
      </c>
      <c r="P2996" t="s">
        <v>9426</v>
      </c>
    </row>
    <row r="2997" spans="1:16" ht="14.4" x14ac:dyDescent="0.3">
      <c r="A2997">
        <v>228023</v>
      </c>
      <c r="B2997" t="str">
        <f t="shared" si="92"/>
        <v>SEVROLL Focus wózek górny 18mm 2szt</v>
      </c>
      <c r="C2997" s="185">
        <f t="shared" si="93"/>
        <v>13.907170000000001</v>
      </c>
      <c r="D2997" s="407" t="s">
        <v>3146</v>
      </c>
      <c r="E2997" s="407" t="s">
        <v>5234</v>
      </c>
      <c r="F2997" s="407" t="s">
        <v>5235</v>
      </c>
      <c r="G2997" s="407" t="s">
        <v>5236</v>
      </c>
      <c r="H2997" s="460">
        <v>115.9689</v>
      </c>
      <c r="I2997" s="460">
        <v>3.9346299999999998</v>
      </c>
      <c r="J2997" s="460">
        <v>13.907170000000001</v>
      </c>
      <c r="K2997" s="460">
        <v>1547.9598100000001</v>
      </c>
      <c r="L2997" s="459" t="s">
        <v>538</v>
      </c>
      <c r="O2997">
        <v>3.6960000000000002</v>
      </c>
      <c r="P2997" t="s">
        <v>9369</v>
      </c>
    </row>
    <row r="2998" spans="1:16" ht="14.4" x14ac:dyDescent="0.3">
      <c r="A2998">
        <v>228198</v>
      </c>
      <c r="B2998" t="str">
        <f t="shared" si="92"/>
        <v>SEVROLL profil "U" do płyty laminowanej 16mm 3m srebrny</v>
      </c>
      <c r="C2998" s="185">
        <f t="shared" si="93"/>
        <v>20.7774</v>
      </c>
      <c r="D2998" s="407" t="s">
        <v>3147</v>
      </c>
      <c r="E2998" s="407" t="s">
        <v>3744</v>
      </c>
      <c r="F2998" s="407" t="s">
        <v>1108</v>
      </c>
      <c r="G2998" s="407" t="s">
        <v>3745</v>
      </c>
      <c r="H2998" s="460">
        <v>167.90952999999999</v>
      </c>
      <c r="I2998" s="460">
        <v>6.0372399999999997</v>
      </c>
      <c r="J2998" s="460">
        <v>20.7774</v>
      </c>
      <c r="K2998" s="460">
        <v>2323.6486100000002</v>
      </c>
      <c r="L2998" s="459" t="s">
        <v>539</v>
      </c>
      <c r="O2998">
        <v>5.5439999999999996</v>
      </c>
      <c r="P2998" t="s">
        <v>8913</v>
      </c>
    </row>
    <row r="2999" spans="1:16" ht="14.4" x14ac:dyDescent="0.3">
      <c r="A2999">
        <v>228201</v>
      </c>
      <c r="B2999" t="str">
        <f t="shared" si="92"/>
        <v>SEVROLL Beta 16 rączka 2,70 m srebrny</v>
      </c>
      <c r="C2999" s="185">
        <f t="shared" si="93"/>
        <v>29.4984</v>
      </c>
      <c r="D2999" s="407" t="s">
        <v>3148</v>
      </c>
      <c r="E2999" s="407" t="s">
        <v>3799</v>
      </c>
      <c r="F2999" s="407" t="s">
        <v>1189</v>
      </c>
      <c r="G2999" s="407" t="s">
        <v>3800</v>
      </c>
      <c r="H2999" s="460">
        <v>218.57187999999999</v>
      </c>
      <c r="I2999" s="460">
        <v>7.8588300000000002</v>
      </c>
      <c r="J2999" s="460">
        <v>29.4984</v>
      </c>
      <c r="K2999" s="460">
        <v>3024.74946</v>
      </c>
      <c r="L2999" s="459" t="s">
        <v>539</v>
      </c>
      <c r="O2999">
        <v>6.9960000000000004</v>
      </c>
      <c r="P2999" t="s">
        <v>8931</v>
      </c>
    </row>
    <row r="3000" spans="1:16" ht="14.4" x14ac:dyDescent="0.3">
      <c r="A3000">
        <v>228202</v>
      </c>
      <c r="B3000" t="str">
        <f t="shared" si="92"/>
        <v>SEVROLL Ergo 16 rączka 2,7 m srebrna</v>
      </c>
      <c r="C3000" s="185" t="e">
        <f t="shared" si="93"/>
        <v>#N/A</v>
      </c>
      <c r="D3000" s="407" t="s">
        <v>3149</v>
      </c>
      <c r="E3000" s="407" t="s">
        <v>3899</v>
      </c>
      <c r="F3000" s="407" t="s">
        <v>1177</v>
      </c>
      <c r="G3000" s="407" t="s">
        <v>3900</v>
      </c>
      <c r="H3000" s="460" t="e">
        <v>#N/A</v>
      </c>
      <c r="I3000" s="460" t="e">
        <v>#N/A</v>
      </c>
      <c r="J3000" s="460" t="e">
        <v>#N/A</v>
      </c>
      <c r="K3000" s="460" t="e">
        <v>#N/A</v>
      </c>
      <c r="L3000" s="459" t="e">
        <v>#N/A</v>
      </c>
      <c r="O3000">
        <v>6.9960000000000004</v>
      </c>
      <c r="P3000" t="s">
        <v>8967</v>
      </c>
    </row>
    <row r="3001" spans="1:16" ht="14.4" x14ac:dyDescent="0.3">
      <c r="A3001">
        <v>228213</v>
      </c>
      <c r="B3001" t="str">
        <f t="shared" si="92"/>
        <v>SEVROLL Fiesta 16 rączka 2,7 m srebrna</v>
      </c>
      <c r="C3001" s="185" t="e">
        <f t="shared" si="93"/>
        <v>#N/A</v>
      </c>
      <c r="D3001" s="407" t="s">
        <v>3150</v>
      </c>
      <c r="E3001" s="407" t="s">
        <v>4031</v>
      </c>
      <c r="F3001" s="407" t="s">
        <v>4032</v>
      </c>
      <c r="G3001" s="407" t="s">
        <v>4033</v>
      </c>
      <c r="H3001" s="460" t="e">
        <v>#N/A</v>
      </c>
      <c r="I3001" s="460" t="e">
        <v>#N/A</v>
      </c>
      <c r="J3001" s="460" t="e">
        <v>#N/A</v>
      </c>
      <c r="K3001" s="460" t="e">
        <v>#N/A</v>
      </c>
      <c r="L3001" s="459" t="e">
        <v>#N/A</v>
      </c>
      <c r="O3001" t="e">
        <v>#N/A</v>
      </c>
      <c r="P3001" t="e">
        <v>#N/A</v>
      </c>
    </row>
    <row r="3002" spans="1:16" ht="14.4" x14ac:dyDescent="0.3">
      <c r="A3002">
        <v>228221</v>
      </c>
      <c r="B3002" t="str">
        <f t="shared" si="92"/>
        <v>SEVROLL Universal 16 rączka 2,7 m srebrna</v>
      </c>
      <c r="C3002" s="185" t="e">
        <f t="shared" si="93"/>
        <v>#N/A</v>
      </c>
      <c r="D3002" s="407" t="s">
        <v>3151</v>
      </c>
      <c r="E3002" s="407" t="s">
        <v>4390</v>
      </c>
      <c r="F3002" s="407" t="s">
        <v>1089</v>
      </c>
      <c r="G3002" s="407" t="s">
        <v>4391</v>
      </c>
      <c r="H3002" s="460" t="e">
        <v>#N/A</v>
      </c>
      <c r="I3002" s="460" t="e">
        <v>#N/A</v>
      </c>
      <c r="J3002" s="460" t="e">
        <v>#N/A</v>
      </c>
      <c r="K3002" s="460" t="e">
        <v>#N/A</v>
      </c>
      <c r="L3002" s="459" t="e">
        <v>#N/A</v>
      </c>
      <c r="O3002">
        <v>14.96</v>
      </c>
      <c r="P3002" t="s">
        <v>9121</v>
      </c>
    </row>
    <row r="3003" spans="1:16" ht="14.4" x14ac:dyDescent="0.3">
      <c r="A3003">
        <v>229433</v>
      </c>
      <c r="B3003" t="str">
        <f t="shared" si="92"/>
        <v>SEVROLL szczotka odbojowa bez kleju 4,8x4mm</v>
      </c>
      <c r="C3003" s="185">
        <f t="shared" si="93"/>
        <v>0.35</v>
      </c>
      <c r="D3003" s="407" t="s">
        <v>3152</v>
      </c>
      <c r="E3003" s="407" t="s">
        <v>5131</v>
      </c>
      <c r="F3003" s="407" t="s">
        <v>5132</v>
      </c>
      <c r="G3003" s="407" t="s">
        <v>5133</v>
      </c>
      <c r="H3003" s="460">
        <v>3.45</v>
      </c>
      <c r="I3003" s="460">
        <v>0.13</v>
      </c>
      <c r="J3003" s="460">
        <v>0.35</v>
      </c>
      <c r="K3003" s="460">
        <v>35.639870000000002</v>
      </c>
      <c r="L3003" s="459" t="s">
        <v>538</v>
      </c>
      <c r="O3003">
        <v>4.5400000000000003E-2</v>
      </c>
      <c r="P3003" t="s">
        <v>9333</v>
      </c>
    </row>
    <row r="3004" spans="1:16" ht="14.4" x14ac:dyDescent="0.3">
      <c r="A3004">
        <v>229436</v>
      </c>
      <c r="B3004" t="str">
        <f t="shared" si="92"/>
        <v>SEVROLL wózek dolny WD18V (2x wózek+pozycjoner) ze sprężyną</v>
      </c>
      <c r="C3004" s="185" t="e">
        <f t="shared" si="93"/>
        <v>#N/A</v>
      </c>
      <c r="D3004" s="407" t="s">
        <v>3153</v>
      </c>
      <c r="E3004" s="407" t="s">
        <v>5571</v>
      </c>
      <c r="F3004" s="407" t="s">
        <v>5572</v>
      </c>
      <c r="G3004" s="407" t="s">
        <v>5573</v>
      </c>
      <c r="H3004" s="460" t="e">
        <v>#N/A</v>
      </c>
      <c r="I3004" s="460" t="e">
        <v>#N/A</v>
      </c>
      <c r="J3004" s="460" t="e">
        <v>#N/A</v>
      </c>
      <c r="K3004" s="460" t="e">
        <v>#N/A</v>
      </c>
      <c r="L3004" s="459" t="e">
        <v>#N/A</v>
      </c>
      <c r="O3004">
        <v>0</v>
      </c>
      <c r="P3004" t="s">
        <v>9486</v>
      </c>
    </row>
    <row r="3005" spans="1:16" ht="14.4" x14ac:dyDescent="0.3">
      <c r="A3005">
        <v>229439</v>
      </c>
      <c r="B3005" t="str">
        <f t="shared" si="92"/>
        <v>SEVROLL Maxim wózek górny 18mm - 2szt</v>
      </c>
      <c r="C3005" s="185">
        <f t="shared" si="93"/>
        <v>24.2668</v>
      </c>
      <c r="D3005" s="407" t="s">
        <v>3154</v>
      </c>
      <c r="E3005" s="407" t="s">
        <v>3957</v>
      </c>
      <c r="F3005" s="407" t="s">
        <v>3958</v>
      </c>
      <c r="G3005" s="407" t="s">
        <v>3959</v>
      </c>
      <c r="H3005" s="460">
        <v>199.57113000000001</v>
      </c>
      <c r="I3005" s="460">
        <v>7.1822600000000003</v>
      </c>
      <c r="J3005" s="460">
        <v>24.2668</v>
      </c>
      <c r="K3005" s="460">
        <v>2849.8865099999998</v>
      </c>
      <c r="L3005" s="459" t="s">
        <v>540</v>
      </c>
      <c r="O3005">
        <v>6.4459999999999997</v>
      </c>
      <c r="P3005" t="s">
        <v>8984</v>
      </c>
    </row>
    <row r="3006" spans="1:16" ht="14.4" x14ac:dyDescent="0.3">
      <c r="A3006">
        <v>229440</v>
      </c>
      <c r="B3006" t="str">
        <f t="shared" si="92"/>
        <v>SEVROLL wózek dolny WD 18C HI-TEC - 2szt</v>
      </c>
      <c r="C3006" s="185">
        <f t="shared" si="93"/>
        <v>17.546399999999998</v>
      </c>
      <c r="D3006" s="407" t="s">
        <v>3155</v>
      </c>
      <c r="E3006" s="407" t="s">
        <v>3753</v>
      </c>
      <c r="F3006" s="407" t="s">
        <v>3754</v>
      </c>
      <c r="G3006" s="407" t="s">
        <v>3755</v>
      </c>
      <c r="H3006" s="460">
        <v>154.36919</v>
      </c>
      <c r="I3006" s="460">
        <v>5.2305400000000004</v>
      </c>
      <c r="J3006" s="460">
        <v>17.546399999999998</v>
      </c>
      <c r="K3006" s="460">
        <v>2060.5293299999998</v>
      </c>
      <c r="L3006" s="459" t="s">
        <v>538</v>
      </c>
      <c r="O3006">
        <v>4.4219999999999997</v>
      </c>
      <c r="P3006" t="s">
        <v>8916</v>
      </c>
    </row>
    <row r="3007" spans="1:16" ht="14.4" x14ac:dyDescent="0.3">
      <c r="A3007">
        <v>229441</v>
      </c>
      <c r="B3007" t="str">
        <f t="shared" si="92"/>
        <v>SEVROLL wózek dolny WD 10C HI-TEC - 2szt</v>
      </c>
      <c r="C3007" s="185">
        <f t="shared" si="93"/>
        <v>26.3874</v>
      </c>
      <c r="D3007" s="407" t="s">
        <v>3156</v>
      </c>
      <c r="E3007" s="407" t="s">
        <v>3846</v>
      </c>
      <c r="F3007" s="407" t="s">
        <v>3847</v>
      </c>
      <c r="G3007" s="407" t="s">
        <v>3848</v>
      </c>
      <c r="H3007" s="460">
        <v>196.60954000000001</v>
      </c>
      <c r="I3007" s="460">
        <v>6.6617899999999999</v>
      </c>
      <c r="J3007" s="460">
        <v>26.3874</v>
      </c>
      <c r="K3007" s="460">
        <v>2624.35581</v>
      </c>
      <c r="L3007" s="459" t="s">
        <v>538</v>
      </c>
      <c r="O3007">
        <v>6.2480000000000002</v>
      </c>
      <c r="P3007" t="s">
        <v>8949</v>
      </c>
    </row>
    <row r="3008" spans="1:16" ht="14.4" x14ac:dyDescent="0.3">
      <c r="A3008">
        <v>229442</v>
      </c>
      <c r="B3008" t="str">
        <f t="shared" si="92"/>
        <v>SEVROLL Master wózek górny 10mm - 2szt</v>
      </c>
      <c r="C3008" s="185">
        <f t="shared" si="93"/>
        <v>25.3689</v>
      </c>
      <c r="D3008" s="407" t="s">
        <v>3157</v>
      </c>
      <c r="E3008" s="407" t="s">
        <v>3987</v>
      </c>
      <c r="F3008" s="407" t="s">
        <v>3988</v>
      </c>
      <c r="G3008" s="407" t="s">
        <v>3989</v>
      </c>
      <c r="H3008" s="460">
        <v>224.25773000000001</v>
      </c>
      <c r="I3008" s="460">
        <v>7.5986000000000002</v>
      </c>
      <c r="J3008" s="460">
        <v>25.3689</v>
      </c>
      <c r="K3008" s="460">
        <v>2993.4061299999998</v>
      </c>
      <c r="L3008" s="459" t="s">
        <v>538</v>
      </c>
      <c r="O3008">
        <v>6.7539999999999996</v>
      </c>
      <c r="P3008" t="s">
        <v>8994</v>
      </c>
    </row>
    <row r="3009" spans="1:16" ht="14.4" x14ac:dyDescent="0.3">
      <c r="A3009">
        <v>229443</v>
      </c>
      <c r="B3009" t="str">
        <f t="shared" si="92"/>
        <v>SEVROLL Maxim wózek górny 18mm - 2 szt.</v>
      </c>
      <c r="C3009" s="185" t="e">
        <f t="shared" si="93"/>
        <v>#N/A</v>
      </c>
      <c r="D3009" s="407" t="s">
        <v>3158</v>
      </c>
      <c r="E3009" s="407" t="s">
        <v>3960</v>
      </c>
      <c r="F3009" s="407" t="s">
        <v>3961</v>
      </c>
      <c r="G3009" s="407" t="s">
        <v>3962</v>
      </c>
      <c r="H3009" s="460" t="e">
        <v>#N/A</v>
      </c>
      <c r="I3009" s="460" t="e">
        <v>#N/A</v>
      </c>
      <c r="J3009" s="460" t="e">
        <v>#N/A</v>
      </c>
      <c r="K3009" s="460" t="e">
        <v>#N/A</v>
      </c>
      <c r="L3009" s="459" t="e">
        <v>#N/A</v>
      </c>
      <c r="O3009">
        <v>6.4459999999999997</v>
      </c>
      <c r="P3009" t="s">
        <v>8985</v>
      </c>
    </row>
    <row r="3010" spans="1:16" ht="14.4" x14ac:dyDescent="0.3">
      <c r="A3010">
        <v>229446</v>
      </c>
      <c r="B3010" t="str">
        <f t="shared" si="92"/>
        <v>SEVROLL wózek dolny Simple/Blue V (system ramowy) - 2szt</v>
      </c>
      <c r="C3010" s="185">
        <f t="shared" si="93"/>
        <v>16.17259</v>
      </c>
      <c r="D3010" s="407" t="s">
        <v>3159</v>
      </c>
      <c r="E3010" s="407" t="s">
        <v>5565</v>
      </c>
      <c r="F3010" s="407" t="s">
        <v>5566</v>
      </c>
      <c r="G3010" s="407" t="s">
        <v>5567</v>
      </c>
      <c r="H3010" s="460">
        <v>80.640640000000005</v>
      </c>
      <c r="I3010" s="460">
        <v>2.73237</v>
      </c>
      <c r="J3010" s="460">
        <v>16.17259</v>
      </c>
      <c r="K3010" s="460">
        <v>1076.396</v>
      </c>
      <c r="L3010" s="459" t="s">
        <v>538</v>
      </c>
      <c r="O3010">
        <v>2.31</v>
      </c>
      <c r="P3010" t="s">
        <v>9484</v>
      </c>
    </row>
    <row r="3011" spans="1:16" ht="14.4" x14ac:dyDescent="0.3">
      <c r="A3011">
        <v>229447</v>
      </c>
      <c r="B3011" t="str">
        <f t="shared" si="92"/>
        <v>SEVROLL wózek dolny Simple (bezramowy 18mm) - 2szt</v>
      </c>
      <c r="C3011" s="185">
        <f t="shared" si="93"/>
        <v>13.88</v>
      </c>
      <c r="D3011" s="407" t="s">
        <v>3160</v>
      </c>
      <c r="E3011" s="407" t="s">
        <v>3627</v>
      </c>
      <c r="F3011" s="407" t="s">
        <v>3628</v>
      </c>
      <c r="G3011" s="407" t="s">
        <v>3629</v>
      </c>
      <c r="H3011" s="460">
        <v>122.11295</v>
      </c>
      <c r="I3011" s="460">
        <v>4.1375900000000003</v>
      </c>
      <c r="J3011" s="460">
        <v>13.88</v>
      </c>
      <c r="K3011" s="460">
        <v>1629.97126</v>
      </c>
      <c r="L3011" s="459" t="s">
        <v>538</v>
      </c>
      <c r="O3011">
        <v>3.4980000000000002</v>
      </c>
      <c r="P3011" t="s">
        <v>8874</v>
      </c>
    </row>
    <row r="3012" spans="1:16" ht="14.4" x14ac:dyDescent="0.3">
      <c r="A3012">
        <v>229681</v>
      </c>
      <c r="B3012" t="str">
        <f t="shared" ref="B3012:B3075" si="94">IF($A$2=1,D3012,IF($A$2=2,F3012,IF($A$2=3,G3012,IF($A$2=4,E3012,IF($A$2&gt;4,P3012,"zadat jazyk")))))</f>
        <v>SEVROLL Simple/Blue pozycjoner wózka dolnego</v>
      </c>
      <c r="C3012" s="185">
        <f t="shared" ref="C3012:C3075" si="95">IF($A$2=1,H3012,IF($A$2=2,I3012,IF($A$2=3,J3012,IF($A$2=4,K3012,IF($A$2&gt;4,O3012,"zadat jazyk")))))</f>
        <v>1.2257</v>
      </c>
      <c r="D3012" s="407" t="s">
        <v>3161</v>
      </c>
      <c r="E3012" s="407" t="s">
        <v>6195</v>
      </c>
      <c r="F3012" s="407" t="s">
        <v>6196</v>
      </c>
      <c r="G3012" s="407" t="s">
        <v>6197</v>
      </c>
      <c r="H3012" s="460">
        <v>10.75207</v>
      </c>
      <c r="I3012" s="460">
        <v>0.36431999999999998</v>
      </c>
      <c r="J3012" s="460">
        <v>1.2257</v>
      </c>
      <c r="K3012" s="460">
        <v>143.51965000000001</v>
      </c>
      <c r="L3012" s="459" t="s">
        <v>538</v>
      </c>
      <c r="O3012">
        <v>0.33</v>
      </c>
      <c r="P3012" t="s">
        <v>8835</v>
      </c>
    </row>
    <row r="3013" spans="1:16" ht="14.4" x14ac:dyDescent="0.3">
      <c r="A3013">
        <v>230886</v>
      </c>
      <c r="B3013" t="str">
        <f t="shared" si="94"/>
        <v>SEVROLL maskownica Herkules Glass 2m srebrny</v>
      </c>
      <c r="C3013" s="185" t="e">
        <f t="shared" si="95"/>
        <v>#N/A</v>
      </c>
      <c r="D3013" s="407" t="s">
        <v>3162</v>
      </c>
      <c r="E3013" s="407" t="s">
        <v>4845</v>
      </c>
      <c r="F3013" s="407" t="s">
        <v>1143</v>
      </c>
      <c r="G3013" s="407" t="s">
        <v>4846</v>
      </c>
      <c r="H3013" s="460" t="e">
        <v>#N/A</v>
      </c>
      <c r="I3013" s="460" t="e">
        <v>#N/A</v>
      </c>
      <c r="J3013" s="460" t="e">
        <v>#N/A</v>
      </c>
      <c r="K3013" s="460" t="e">
        <v>#N/A</v>
      </c>
      <c r="L3013" s="459" t="e">
        <v>#N/A</v>
      </c>
      <c r="O3013" t="e">
        <v>#N/A</v>
      </c>
      <c r="P3013" t="e">
        <v>#N/A</v>
      </c>
    </row>
    <row r="3014" spans="1:16" ht="14.4" x14ac:dyDescent="0.3">
      <c r="A3014">
        <v>230887</v>
      </c>
      <c r="B3014" t="str">
        <f t="shared" si="94"/>
        <v>SEVROLL zaślepka maskownicy toru Herkules Glas</v>
      </c>
      <c r="C3014" s="185" t="e">
        <f t="shared" si="95"/>
        <v>#N/A</v>
      </c>
      <c r="D3014" s="407" t="s">
        <v>3163</v>
      </c>
      <c r="E3014" s="407" t="s">
        <v>3706</v>
      </c>
      <c r="F3014" s="407" t="s">
        <v>3707</v>
      </c>
      <c r="G3014" s="407" t="s">
        <v>3708</v>
      </c>
      <c r="H3014" s="460" t="e">
        <v>#N/A</v>
      </c>
      <c r="I3014" s="460" t="e">
        <v>#N/A</v>
      </c>
      <c r="J3014" s="460" t="e">
        <v>#N/A</v>
      </c>
      <c r="K3014" s="460" t="e">
        <v>#N/A</v>
      </c>
      <c r="L3014" s="459" t="e">
        <v>#N/A</v>
      </c>
      <c r="O3014" t="e">
        <v>#N/A</v>
      </c>
      <c r="P3014" t="e">
        <v>#N/A</v>
      </c>
    </row>
    <row r="3015" spans="1:16" ht="14.4" x14ac:dyDescent="0.3">
      <c r="A3015">
        <v>232989</v>
      </c>
      <c r="B3015" t="str">
        <f t="shared" si="94"/>
        <v>SEVROLL Optima tłumienie komplet L+P</v>
      </c>
      <c r="C3015" s="185">
        <f t="shared" si="95"/>
        <v>198.7062</v>
      </c>
      <c r="D3015" s="407" t="s">
        <v>3164</v>
      </c>
      <c r="E3015" s="407" t="s">
        <v>4974</v>
      </c>
      <c r="F3015" s="407" t="s">
        <v>1119</v>
      </c>
      <c r="G3015" s="407" t="s">
        <v>4975</v>
      </c>
      <c r="H3015" s="460">
        <v>1655.0528400000001</v>
      </c>
      <c r="I3015" s="460">
        <v>56.078699999999998</v>
      </c>
      <c r="J3015" s="460">
        <v>198.7062</v>
      </c>
      <c r="K3015" s="460">
        <v>22091.74668</v>
      </c>
      <c r="L3015" s="459" t="s">
        <v>539</v>
      </c>
      <c r="O3015">
        <v>47.41</v>
      </c>
      <c r="P3015" t="s">
        <v>9293</v>
      </c>
    </row>
    <row r="3016" spans="1:16" ht="14.4" x14ac:dyDescent="0.3">
      <c r="A3016">
        <v>233428</v>
      </c>
      <c r="B3016" t="str">
        <f t="shared" si="94"/>
        <v>Sevroll Fiona II rączka 2,7m srebrna</v>
      </c>
      <c r="C3016" s="185" t="e">
        <f t="shared" si="95"/>
        <v>#N/A</v>
      </c>
      <c r="D3016" s="407" t="s">
        <v>3165</v>
      </c>
      <c r="E3016" s="407" t="s">
        <v>4177</v>
      </c>
      <c r="F3016" s="407" t="s">
        <v>4178</v>
      </c>
      <c r="G3016" s="407" t="s">
        <v>4179</v>
      </c>
      <c r="H3016" s="460" t="e">
        <v>#N/A</v>
      </c>
      <c r="I3016" s="460" t="e">
        <v>#N/A</v>
      </c>
      <c r="J3016" s="460" t="e">
        <v>#N/A</v>
      </c>
      <c r="K3016" s="460" t="e">
        <v>#N/A</v>
      </c>
      <c r="L3016" s="459" t="e">
        <v>#N/A</v>
      </c>
      <c r="O3016">
        <v>12.254</v>
      </c>
      <c r="P3016" t="s">
        <v>9054</v>
      </c>
    </row>
    <row r="3017" spans="1:16" ht="14.4" x14ac:dyDescent="0.3">
      <c r="A3017">
        <v>234399</v>
      </c>
      <c r="B3017" t="str">
        <f t="shared" si="94"/>
        <v>SEVROLL Exclusive tor górny 3,6m srebrny</v>
      </c>
      <c r="C3017" s="185" t="e">
        <f t="shared" si="95"/>
        <v>#N/A</v>
      </c>
      <c r="D3017" s="407" t="s">
        <v>3166</v>
      </c>
      <c r="E3017" s="407" t="s">
        <v>4885</v>
      </c>
      <c r="F3017" s="407" t="s">
        <v>1172</v>
      </c>
      <c r="G3017" s="407" t="s">
        <v>4886</v>
      </c>
      <c r="H3017" s="460" t="e">
        <v>#N/A</v>
      </c>
      <c r="I3017" s="460" t="e">
        <v>#N/A</v>
      </c>
      <c r="J3017" s="460" t="e">
        <v>#N/A</v>
      </c>
      <c r="K3017" s="460" t="e">
        <v>#N/A</v>
      </c>
      <c r="L3017" s="459" t="e">
        <v>#N/A</v>
      </c>
      <c r="O3017">
        <v>36.542000000000002</v>
      </c>
      <c r="P3017" t="s">
        <v>9270</v>
      </c>
    </row>
    <row r="3018" spans="1:16" ht="14.4" x14ac:dyDescent="0.3">
      <c r="A3018">
        <v>234757</v>
      </c>
      <c r="B3018" t="str">
        <f t="shared" si="94"/>
        <v>SEVROLL Łącznik H16-Decor srebrny-3 m</v>
      </c>
      <c r="C3018" s="185">
        <f t="shared" si="95"/>
        <v>48.042000000000002</v>
      </c>
      <c r="D3018" s="407" t="s">
        <v>3167</v>
      </c>
      <c r="E3018" s="407" t="s">
        <v>4217</v>
      </c>
      <c r="F3018" s="407" t="s">
        <v>4218</v>
      </c>
      <c r="G3018" s="407" t="s">
        <v>4219</v>
      </c>
      <c r="H3018" s="460">
        <v>333.64782000000002</v>
      </c>
      <c r="I3018" s="460">
        <v>11.996420000000001</v>
      </c>
      <c r="J3018" s="460">
        <v>48.042000000000002</v>
      </c>
      <c r="K3018" s="460">
        <v>4617.2497100000001</v>
      </c>
      <c r="L3018" s="459" t="s">
        <v>539</v>
      </c>
      <c r="O3018">
        <v>12.891999999999999</v>
      </c>
      <c r="P3018" t="s">
        <v>9067</v>
      </c>
    </row>
    <row r="3019" spans="1:16" ht="14.4" x14ac:dyDescent="0.3">
      <c r="A3019">
        <v>234760</v>
      </c>
      <c r="B3019" t="str">
        <f t="shared" si="94"/>
        <v>SEVROLL Łącznik H16 3 m oliwka</v>
      </c>
      <c r="C3019" s="185" t="e">
        <f t="shared" si="95"/>
        <v>#N/A</v>
      </c>
      <c r="D3019" s="407" t="s">
        <v>3168</v>
      </c>
      <c r="E3019" s="407" t="s">
        <v>4289</v>
      </c>
      <c r="F3019" s="407" t="s">
        <v>4290</v>
      </c>
      <c r="G3019" s="407" t="s">
        <v>4291</v>
      </c>
      <c r="H3019" s="460" t="e">
        <v>#N/A</v>
      </c>
      <c r="I3019" s="460" t="e">
        <v>#N/A</v>
      </c>
      <c r="J3019" s="460" t="e">
        <v>#N/A</v>
      </c>
      <c r="K3019" s="460" t="e">
        <v>#N/A</v>
      </c>
      <c r="L3019" s="459" t="e">
        <v>#N/A</v>
      </c>
      <c r="O3019">
        <v>14.19</v>
      </c>
      <c r="P3019" t="s">
        <v>9090</v>
      </c>
    </row>
    <row r="3020" spans="1:16" ht="14.4" x14ac:dyDescent="0.3">
      <c r="A3020">
        <v>234761</v>
      </c>
      <c r="B3020" t="str">
        <f t="shared" si="94"/>
        <v>SEVROLL Łącznik H08/16 srebrny-3m</v>
      </c>
      <c r="C3020" s="185" t="e">
        <f t="shared" si="95"/>
        <v>#N/A</v>
      </c>
      <c r="D3020" s="407" t="s">
        <v>3169</v>
      </c>
      <c r="E3020" s="407" t="s">
        <v>3951</v>
      </c>
      <c r="F3020" s="407" t="s">
        <v>3952</v>
      </c>
      <c r="G3020" s="407" t="s">
        <v>3953</v>
      </c>
      <c r="H3020" s="460" t="e">
        <v>#N/A</v>
      </c>
      <c r="I3020" s="460" t="e">
        <v>#N/A</v>
      </c>
      <c r="J3020" s="460" t="e">
        <v>#N/A</v>
      </c>
      <c r="K3020" s="460" t="e">
        <v>#N/A</v>
      </c>
      <c r="L3020" s="459" t="e">
        <v>#N/A</v>
      </c>
      <c r="O3020" t="e">
        <v>#N/A</v>
      </c>
      <c r="P3020" t="e">
        <v>#N/A</v>
      </c>
    </row>
    <row r="3021" spans="1:16" ht="14.4" x14ac:dyDescent="0.3">
      <c r="A3021">
        <v>234762</v>
      </c>
      <c r="B3021" t="str">
        <f t="shared" si="94"/>
        <v>SEVROLL Łącznik H08/16 oliwka-3m</v>
      </c>
      <c r="C3021" s="185" t="e">
        <f t="shared" si="95"/>
        <v>#N/A</v>
      </c>
      <c r="D3021" s="407" t="s">
        <v>3170</v>
      </c>
      <c r="E3021" s="407" t="s">
        <v>3973</v>
      </c>
      <c r="F3021" s="407" t="s">
        <v>3974</v>
      </c>
      <c r="G3021" s="407" t="s">
        <v>3975</v>
      </c>
      <c r="H3021" s="460" t="e">
        <v>#N/A</v>
      </c>
      <c r="I3021" s="460" t="e">
        <v>#N/A</v>
      </c>
      <c r="J3021" s="460" t="e">
        <v>#N/A</v>
      </c>
      <c r="K3021" s="460" t="e">
        <v>#N/A</v>
      </c>
      <c r="L3021" s="459" t="e">
        <v>#N/A</v>
      </c>
      <c r="O3021">
        <v>0</v>
      </c>
      <c r="P3021" t="s">
        <v>8989</v>
      </c>
    </row>
    <row r="3022" spans="1:16" ht="14.4" x14ac:dyDescent="0.3">
      <c r="A3022">
        <v>238027</v>
      </c>
      <c r="B3022" t="str">
        <f t="shared" si="94"/>
        <v>SEVROLL Maxim tor górny 4,3m jasny brąz</v>
      </c>
      <c r="C3022" s="185" t="e">
        <f t="shared" si="95"/>
        <v>#N/A</v>
      </c>
      <c r="D3022" s="407" t="s">
        <v>3171</v>
      </c>
      <c r="E3022" s="407" t="s">
        <v>5019</v>
      </c>
      <c r="F3022" s="407" t="s">
        <v>1131</v>
      </c>
      <c r="G3022" s="407" t="s">
        <v>5020</v>
      </c>
      <c r="H3022" s="460" t="e">
        <v>#N/A</v>
      </c>
      <c r="I3022" s="460" t="e">
        <v>#N/A</v>
      </c>
      <c r="J3022" s="460" t="e">
        <v>#N/A</v>
      </c>
      <c r="K3022" s="460" t="e">
        <v>#N/A</v>
      </c>
      <c r="L3022" s="459" t="e">
        <v>#N/A</v>
      </c>
      <c r="O3022" t="e">
        <v>#N/A</v>
      </c>
      <c r="P3022" t="e">
        <v>#N/A</v>
      </c>
    </row>
    <row r="3023" spans="1:16" ht="14.4" x14ac:dyDescent="0.3">
      <c r="A3023">
        <v>238028</v>
      </c>
      <c r="B3023" t="str">
        <f t="shared" si="94"/>
        <v>SEVROLL Maxim II tor dolny 4,3m jasny brąz</v>
      </c>
      <c r="C3023" s="185" t="e">
        <f t="shared" si="95"/>
        <v>#N/A</v>
      </c>
      <c r="D3023" s="407" t="s">
        <v>3172</v>
      </c>
      <c r="E3023" s="407" t="s">
        <v>4821</v>
      </c>
      <c r="F3023" s="407" t="s">
        <v>1127</v>
      </c>
      <c r="G3023" s="407" t="s">
        <v>4822</v>
      </c>
      <c r="H3023" s="460" t="e">
        <v>#N/A</v>
      </c>
      <c r="I3023" s="460" t="e">
        <v>#N/A</v>
      </c>
      <c r="J3023" s="460" t="e">
        <v>#N/A</v>
      </c>
      <c r="K3023" s="460" t="e">
        <v>#N/A</v>
      </c>
      <c r="L3023" s="459" t="e">
        <v>#N/A</v>
      </c>
      <c r="O3023" t="e">
        <v>#N/A</v>
      </c>
      <c r="P3023" t="e">
        <v>#N/A</v>
      </c>
    </row>
    <row r="3024" spans="1:16" ht="14.4" x14ac:dyDescent="0.3">
      <c r="A3024">
        <v>238029</v>
      </c>
      <c r="B3024" t="str">
        <f t="shared" si="94"/>
        <v>SEVROLL Maxim II zaślepka do toru 4,3m jasny brąz</v>
      </c>
      <c r="C3024" s="185" t="e">
        <f t="shared" si="95"/>
        <v>#N/A</v>
      </c>
      <c r="D3024" s="407" t="s">
        <v>3173</v>
      </c>
      <c r="E3024" s="407" t="s">
        <v>4314</v>
      </c>
      <c r="F3024" s="407" t="s">
        <v>1130</v>
      </c>
      <c r="G3024" s="407" t="s">
        <v>4315</v>
      </c>
      <c r="H3024" s="460" t="e">
        <v>#N/A</v>
      </c>
      <c r="I3024" s="460" t="e">
        <v>#N/A</v>
      </c>
      <c r="J3024" s="460" t="e">
        <v>#N/A</v>
      </c>
      <c r="K3024" s="460" t="e">
        <v>#N/A</v>
      </c>
      <c r="L3024" s="459" t="e">
        <v>#N/A</v>
      </c>
      <c r="O3024" t="e">
        <v>#N/A</v>
      </c>
      <c r="P3024" t="e">
        <v>#N/A</v>
      </c>
    </row>
    <row r="3025" spans="1:16" ht="14.4" x14ac:dyDescent="0.3">
      <c r="A3025">
        <v>238030</v>
      </c>
      <c r="B3025" t="str">
        <f t="shared" si="94"/>
        <v>SEVROLL Prosper II rączka 2,7 m oliwka</v>
      </c>
      <c r="C3025" s="185" t="e">
        <f t="shared" si="95"/>
        <v>#N/A</v>
      </c>
      <c r="D3025" s="407" t="s">
        <v>3174</v>
      </c>
      <c r="E3025" s="407" t="s">
        <v>4719</v>
      </c>
      <c r="F3025" s="407" t="s">
        <v>1106</v>
      </c>
      <c r="G3025" s="407" t="s">
        <v>4720</v>
      </c>
      <c r="H3025" s="460" t="e">
        <v>#N/A</v>
      </c>
      <c r="I3025" s="460" t="e">
        <v>#N/A</v>
      </c>
      <c r="J3025" s="460" t="e">
        <v>#N/A</v>
      </c>
      <c r="K3025" s="460" t="e">
        <v>#N/A</v>
      </c>
      <c r="L3025" s="459" t="e">
        <v>#N/A</v>
      </c>
      <c r="O3025" t="e">
        <v>#N/A</v>
      </c>
      <c r="P3025" t="e">
        <v>#N/A</v>
      </c>
    </row>
    <row r="3026" spans="1:16" ht="14.4" x14ac:dyDescent="0.3">
      <c r="A3026">
        <v>238031</v>
      </c>
      <c r="B3026" t="str">
        <f t="shared" si="94"/>
        <v>SEVROLL Maxim tor 4,3 m oliwka</v>
      </c>
      <c r="C3026" s="185" t="e">
        <f t="shared" si="95"/>
        <v>#N/A</v>
      </c>
      <c r="D3026" s="407" t="s">
        <v>3175</v>
      </c>
      <c r="E3026" s="407" t="s">
        <v>4925</v>
      </c>
      <c r="F3026" s="407" t="s">
        <v>4926</v>
      </c>
      <c r="G3026" s="407" t="s">
        <v>4927</v>
      </c>
      <c r="H3026" s="460" t="e">
        <v>#N/A</v>
      </c>
      <c r="I3026" s="460" t="e">
        <v>#N/A</v>
      </c>
      <c r="J3026" s="460" t="e">
        <v>#N/A</v>
      </c>
      <c r="K3026" s="460" t="e">
        <v>#N/A</v>
      </c>
      <c r="L3026" s="459" t="e">
        <v>#N/A</v>
      </c>
      <c r="O3026" t="e">
        <v>#N/A</v>
      </c>
      <c r="P3026" t="e">
        <v>#N/A</v>
      </c>
    </row>
    <row r="3027" spans="1:16" ht="14.4" x14ac:dyDescent="0.3">
      <c r="A3027">
        <v>238032</v>
      </c>
      <c r="B3027" t="str">
        <f t="shared" si="94"/>
        <v>SEVROLL Maxim maskownica dolna 4,3 m 18mm oliwka</v>
      </c>
      <c r="C3027" s="185" t="e">
        <f t="shared" si="95"/>
        <v>#N/A</v>
      </c>
      <c r="D3027" s="407" t="s">
        <v>3176</v>
      </c>
      <c r="E3027" s="407" t="s">
        <v>5025</v>
      </c>
      <c r="F3027" s="407" t="s">
        <v>5026</v>
      </c>
      <c r="G3027" s="407" t="s">
        <v>5027</v>
      </c>
      <c r="H3027" s="460" t="e">
        <v>#N/A</v>
      </c>
      <c r="I3027" s="460" t="e">
        <v>#N/A</v>
      </c>
      <c r="J3027" s="460" t="e">
        <v>#N/A</v>
      </c>
      <c r="K3027" s="460" t="e">
        <v>#N/A</v>
      </c>
      <c r="L3027" s="459" t="e">
        <v>#N/A</v>
      </c>
      <c r="O3027" t="e">
        <v>#N/A</v>
      </c>
      <c r="P3027" t="e">
        <v>#N/A</v>
      </c>
    </row>
    <row r="3028" spans="1:16" ht="14.4" x14ac:dyDescent="0.3">
      <c r="A3028">
        <v>238033</v>
      </c>
      <c r="B3028" t="str">
        <f t="shared" si="94"/>
        <v>SEVROLL Maxim listwa łącząca H18 1,8m jasny brąz</v>
      </c>
      <c r="C3028" s="185" t="e">
        <f t="shared" si="95"/>
        <v>#N/A</v>
      </c>
      <c r="D3028" s="407" t="s">
        <v>3177</v>
      </c>
      <c r="E3028" s="407" t="s">
        <v>3966</v>
      </c>
      <c r="F3028" s="407" t="s">
        <v>1126</v>
      </c>
      <c r="G3028" s="407" t="s">
        <v>3967</v>
      </c>
      <c r="H3028" s="460" t="e">
        <v>#N/A</v>
      </c>
      <c r="I3028" s="460" t="e">
        <v>#N/A</v>
      </c>
      <c r="J3028" s="460" t="e">
        <v>#N/A</v>
      </c>
      <c r="K3028" s="460" t="e">
        <v>#N/A</v>
      </c>
      <c r="L3028" s="459" t="e">
        <v>#N/A</v>
      </c>
      <c r="O3028" t="e">
        <v>#N/A</v>
      </c>
      <c r="P3028" t="e">
        <v>#N/A</v>
      </c>
    </row>
    <row r="3029" spans="1:16" ht="14.4" x14ac:dyDescent="0.3">
      <c r="A3029">
        <v>238034</v>
      </c>
      <c r="B3029" t="str">
        <f t="shared" si="94"/>
        <v>SEVROLL Maxim listwa łącząca H18 2,5m jasny brąz</v>
      </c>
      <c r="C3029" s="185" t="e">
        <f t="shared" si="95"/>
        <v>#N/A</v>
      </c>
      <c r="D3029" s="407" t="s">
        <v>3178</v>
      </c>
      <c r="E3029" s="407" t="s">
        <v>4210</v>
      </c>
      <c r="F3029" s="407" t="s">
        <v>1125</v>
      </c>
      <c r="G3029" s="407" t="s">
        <v>4211</v>
      </c>
      <c r="H3029" s="460" t="e">
        <v>#N/A</v>
      </c>
      <c r="I3029" s="460" t="e">
        <v>#N/A</v>
      </c>
      <c r="J3029" s="460" t="e">
        <v>#N/A</v>
      </c>
      <c r="K3029" s="460" t="e">
        <v>#N/A</v>
      </c>
      <c r="L3029" s="459" t="e">
        <v>#N/A</v>
      </c>
      <c r="O3029" t="e">
        <v>#N/A</v>
      </c>
      <c r="P3029" t="e">
        <v>#N/A</v>
      </c>
    </row>
    <row r="3030" spans="1:16" ht="14.4" x14ac:dyDescent="0.3">
      <c r="A3030">
        <v>238036</v>
      </c>
      <c r="B3030" t="str">
        <f t="shared" si="94"/>
        <v>SEVROLL Maxim listwa łącząca H25 1,8m jasny brąz</v>
      </c>
      <c r="C3030" s="185" t="e">
        <f t="shared" si="95"/>
        <v>#N/A</v>
      </c>
      <c r="D3030" s="407" t="s">
        <v>3179</v>
      </c>
      <c r="E3030" s="407" t="s">
        <v>4372</v>
      </c>
      <c r="F3030" s="407" t="s">
        <v>1124</v>
      </c>
      <c r="G3030" s="407" t="s">
        <v>4373</v>
      </c>
      <c r="H3030" s="460" t="e">
        <v>#N/A</v>
      </c>
      <c r="I3030" s="460" t="e">
        <v>#N/A</v>
      </c>
      <c r="J3030" s="460" t="e">
        <v>#N/A</v>
      </c>
      <c r="K3030" s="460" t="e">
        <v>#N/A</v>
      </c>
      <c r="L3030" s="459" t="e">
        <v>#N/A</v>
      </c>
      <c r="O3030" t="e">
        <v>#N/A</v>
      </c>
      <c r="P3030" t="e">
        <v>#N/A</v>
      </c>
    </row>
    <row r="3031" spans="1:16" ht="14.4" x14ac:dyDescent="0.3">
      <c r="A3031">
        <v>238038</v>
      </c>
      <c r="B3031" t="str">
        <f t="shared" si="94"/>
        <v>SEVROLL Maxim listwa łącząca H25 2,5m jasny brąz</v>
      </c>
      <c r="C3031" s="185" t="e">
        <f t="shared" si="95"/>
        <v>#N/A</v>
      </c>
      <c r="D3031" s="407" t="s">
        <v>3180</v>
      </c>
      <c r="E3031" s="407" t="s">
        <v>4575</v>
      </c>
      <c r="F3031" s="407" t="s">
        <v>1123</v>
      </c>
      <c r="G3031" s="407" t="s">
        <v>4576</v>
      </c>
      <c r="H3031" s="460" t="e">
        <v>#N/A</v>
      </c>
      <c r="I3031" s="460" t="e">
        <v>#N/A</v>
      </c>
      <c r="J3031" s="460" t="e">
        <v>#N/A</v>
      </c>
      <c r="K3031" s="460" t="e">
        <v>#N/A</v>
      </c>
      <c r="L3031" s="459" t="e">
        <v>#N/A</v>
      </c>
      <c r="O3031" t="e">
        <v>#N/A</v>
      </c>
      <c r="P3031" t="e">
        <v>#N/A</v>
      </c>
    </row>
    <row r="3032" spans="1:16" ht="14.4" x14ac:dyDescent="0.3">
      <c r="A3032">
        <v>245317</v>
      </c>
      <c r="B3032" t="str">
        <f t="shared" si="94"/>
        <v>SEVROLL pudełko wzorów profili Simple</v>
      </c>
      <c r="C3032" s="185">
        <f t="shared" si="95"/>
        <v>0</v>
      </c>
      <c r="D3032" s="407" t="s">
        <v>3181</v>
      </c>
      <c r="E3032" s="407" t="s">
        <v>5705</v>
      </c>
      <c r="F3032" s="407" t="s">
        <v>1068</v>
      </c>
      <c r="G3032" s="407" t="s">
        <v>5706</v>
      </c>
      <c r="H3032" s="460">
        <v>0</v>
      </c>
      <c r="I3032" s="460">
        <v>0</v>
      </c>
      <c r="J3032" s="460">
        <v>0</v>
      </c>
      <c r="K3032" s="460">
        <v>0</v>
      </c>
      <c r="L3032" s="459" t="s">
        <v>540</v>
      </c>
      <c r="O3032">
        <v>0</v>
      </c>
      <c r="P3032" t="s">
        <v>9532</v>
      </c>
    </row>
    <row r="3033" spans="1:16" ht="14.4" x14ac:dyDescent="0.3">
      <c r="A3033">
        <v>245666</v>
      </c>
      <c r="B3033" t="str">
        <f t="shared" si="94"/>
        <v>SEVROLL - Łącznik Simple/Blue H25 3 m (16 mm) srebrny</v>
      </c>
      <c r="C3033" s="185" t="e">
        <f t="shared" si="95"/>
        <v>#N/A</v>
      </c>
      <c r="D3033" s="407" t="s">
        <v>1320</v>
      </c>
      <c r="E3033" s="407" t="s">
        <v>1772</v>
      </c>
      <c r="F3033" s="407" t="s">
        <v>2153</v>
      </c>
      <c r="G3033" s="407" t="s">
        <v>5780</v>
      </c>
      <c r="H3033" s="460" t="e">
        <v>#N/A</v>
      </c>
      <c r="I3033" s="460" t="e">
        <v>#N/A</v>
      </c>
      <c r="J3033" s="460" t="e">
        <v>#N/A</v>
      </c>
      <c r="K3033" s="460" t="e">
        <v>#N/A</v>
      </c>
      <c r="L3033" s="459" t="e">
        <v>#N/A</v>
      </c>
      <c r="O3033" t="e">
        <v>#N/A</v>
      </c>
      <c r="P3033" t="e">
        <v>#N/A</v>
      </c>
    </row>
    <row r="3034" spans="1:16" ht="14.4" x14ac:dyDescent="0.3">
      <c r="A3034">
        <v>245667</v>
      </c>
      <c r="B3034" t="str">
        <f t="shared" si="94"/>
        <v>SEVROLL -Łącznik Simple/Blue H25 3 m (16 mm) oliwka</v>
      </c>
      <c r="C3034" s="185" t="e">
        <f t="shared" si="95"/>
        <v>#N/A</v>
      </c>
      <c r="D3034" s="407" t="s">
        <v>1321</v>
      </c>
      <c r="E3034" s="407" t="s">
        <v>1772</v>
      </c>
      <c r="F3034" s="407" t="s">
        <v>2153</v>
      </c>
      <c r="G3034" s="407" t="s">
        <v>5781</v>
      </c>
      <c r="H3034" s="460" t="e">
        <v>#N/A</v>
      </c>
      <c r="I3034" s="460" t="e">
        <v>#N/A</v>
      </c>
      <c r="J3034" s="460" t="e">
        <v>#N/A</v>
      </c>
      <c r="K3034" s="460" t="e">
        <v>#N/A</v>
      </c>
      <c r="L3034" s="459" t="e">
        <v>#N/A</v>
      </c>
      <c r="O3034">
        <v>0</v>
      </c>
      <c r="P3034" t="s">
        <v>9615</v>
      </c>
    </row>
    <row r="3035" spans="1:16" ht="14.4" x14ac:dyDescent="0.3">
      <c r="A3035">
        <v>245792</v>
      </c>
      <c r="B3035" t="str">
        <f t="shared" si="94"/>
        <v>SEVROLL szczotka odbojowa bez kleju 14,5x4 mm, 50 m</v>
      </c>
      <c r="C3035" s="185">
        <f t="shared" si="95"/>
        <v>68.401200000000003</v>
      </c>
      <c r="D3035" s="407" t="s">
        <v>3182</v>
      </c>
      <c r="E3035" s="407" t="s">
        <v>5128</v>
      </c>
      <c r="F3035" s="407" t="s">
        <v>5129</v>
      </c>
      <c r="G3035" s="407" t="s">
        <v>5130</v>
      </c>
      <c r="H3035" s="460">
        <v>454.65951999999999</v>
      </c>
      <c r="I3035" s="460">
        <v>15.405379999999999</v>
      </c>
      <c r="J3035" s="460">
        <v>68.401200000000003</v>
      </c>
      <c r="K3035" s="460">
        <v>6068.8232900000003</v>
      </c>
      <c r="L3035" s="459" t="s">
        <v>539</v>
      </c>
      <c r="O3035">
        <v>15.246</v>
      </c>
      <c r="P3035" t="s">
        <v>9332</v>
      </c>
    </row>
    <row r="3036" spans="1:16" ht="14.4" x14ac:dyDescent="0.3">
      <c r="A3036">
        <v>245814</v>
      </c>
      <c r="B3036" t="str">
        <f t="shared" si="94"/>
        <v>SEVROLL 045690Focus II 16 mm rączka 2,7 m, srebrna</v>
      </c>
      <c r="C3036" s="185">
        <f t="shared" si="95"/>
        <v>28.545750000000002</v>
      </c>
      <c r="D3036" s="407" t="s">
        <v>3183</v>
      </c>
      <c r="E3036" s="407" t="s">
        <v>3801</v>
      </c>
      <c r="F3036" s="407" t="s">
        <v>1059</v>
      </c>
      <c r="G3036" s="407" t="s">
        <v>3802</v>
      </c>
      <c r="H3036" s="460">
        <v>230.87560999999999</v>
      </c>
      <c r="I3036" s="460">
        <v>8.3012099999999993</v>
      </c>
      <c r="J3036" s="460">
        <v>28.545750000000002</v>
      </c>
      <c r="K3036" s="460">
        <v>3195.0168899999999</v>
      </c>
      <c r="L3036" s="459" t="s">
        <v>539</v>
      </c>
      <c r="O3036">
        <v>7.3920000000000003</v>
      </c>
      <c r="P3036" t="s">
        <v>8932</v>
      </c>
    </row>
    <row r="3037" spans="1:16" ht="14.4" x14ac:dyDescent="0.3">
      <c r="A3037">
        <v>245815</v>
      </c>
      <c r="B3037" t="str">
        <f t="shared" si="94"/>
        <v>SEVROLL Focus II 18mm rączka 2,7m srebrny</v>
      </c>
      <c r="C3037" s="185">
        <f t="shared" si="95"/>
        <v>28.545750000000002</v>
      </c>
      <c r="D3037" s="407" t="s">
        <v>3184</v>
      </c>
      <c r="E3037" s="407" t="s">
        <v>3824</v>
      </c>
      <c r="F3037" s="407" t="s">
        <v>3825</v>
      </c>
      <c r="G3037" s="407" t="s">
        <v>3826</v>
      </c>
      <c r="H3037" s="460">
        <v>230.87560999999999</v>
      </c>
      <c r="I3037" s="460">
        <v>8.3012099999999993</v>
      </c>
      <c r="J3037" s="460">
        <v>28.545750000000002</v>
      </c>
      <c r="K3037" s="460">
        <v>3195.0168899999999</v>
      </c>
      <c r="L3037" s="459" t="s">
        <v>538</v>
      </c>
      <c r="O3037">
        <v>7.3920000000000003</v>
      </c>
      <c r="P3037" t="s">
        <v>8941</v>
      </c>
    </row>
    <row r="3038" spans="1:16" ht="14.4" x14ac:dyDescent="0.3">
      <c r="A3038">
        <v>245816</v>
      </c>
      <c r="B3038" t="str">
        <f t="shared" si="94"/>
        <v>SEVROLL Focus II 18mm rączka 2,7m jasny brąz</v>
      </c>
      <c r="C3038" s="185">
        <f t="shared" si="95"/>
        <v>36.509929999999997</v>
      </c>
      <c r="D3038" s="407" t="s">
        <v>3185</v>
      </c>
      <c r="E3038" s="407" t="s">
        <v>3927</v>
      </c>
      <c r="F3038" s="407" t="s">
        <v>3185</v>
      </c>
      <c r="G3038" s="407" t="s">
        <v>3928</v>
      </c>
      <c r="H3038" s="460">
        <v>295.28917999999999</v>
      </c>
      <c r="I3038" s="460">
        <v>10.61722</v>
      </c>
      <c r="J3038" s="460">
        <v>36.509929999999997</v>
      </c>
      <c r="K3038" s="460">
        <v>4086.4163100000001</v>
      </c>
      <c r="L3038" s="459" t="s">
        <v>538</v>
      </c>
      <c r="O3038">
        <v>8.9760000000000009</v>
      </c>
      <c r="P3038" t="s">
        <v>8975</v>
      </c>
    </row>
    <row r="3039" spans="1:16" ht="14.4" x14ac:dyDescent="0.3">
      <c r="A3039">
        <v>246893</v>
      </c>
      <c r="B3039" t="str">
        <f t="shared" si="94"/>
        <v>SEVROLL Oaza II rączka 2,7m srebrny</v>
      </c>
      <c r="C3039" s="185">
        <f t="shared" si="95"/>
        <v>64.823660000000004</v>
      </c>
      <c r="D3039" s="407" t="s">
        <v>3186</v>
      </c>
      <c r="E3039" s="407" t="s">
        <v>4383</v>
      </c>
      <c r="F3039" s="407" t="s">
        <v>1221</v>
      </c>
      <c r="G3039" s="407" t="s">
        <v>4384</v>
      </c>
      <c r="H3039" s="460">
        <v>416.53017999999997</v>
      </c>
      <c r="I3039" s="460">
        <v>15.17118</v>
      </c>
      <c r="J3039" s="460">
        <v>64.823660000000004</v>
      </c>
      <c r="K3039" s="460">
        <v>5548.7125900000001</v>
      </c>
      <c r="L3039" s="459" t="s">
        <v>538</v>
      </c>
      <c r="O3039">
        <v>13.507999999999999</v>
      </c>
      <c r="P3039" t="s">
        <v>9119</v>
      </c>
    </row>
    <row r="3040" spans="1:16" ht="14.4" x14ac:dyDescent="0.3">
      <c r="A3040">
        <v>246894</v>
      </c>
      <c r="B3040" t="str">
        <f t="shared" si="94"/>
        <v>SEVROLL Oaza II rączka 2,7m jasny brąz</v>
      </c>
      <c r="C3040" s="185">
        <f t="shared" si="95"/>
        <v>72.050979999999996</v>
      </c>
      <c r="D3040" s="407" t="s">
        <v>3187</v>
      </c>
      <c r="E3040" s="407" t="s">
        <v>4432</v>
      </c>
      <c r="F3040" s="407" t="s">
        <v>1222</v>
      </c>
      <c r="G3040" s="407" t="s">
        <v>4433</v>
      </c>
      <c r="H3040" s="460">
        <v>468.98869999999999</v>
      </c>
      <c r="I3040" s="460">
        <v>16.862639999999999</v>
      </c>
      <c r="J3040" s="460">
        <v>72.050979999999996</v>
      </c>
      <c r="K3040" s="460">
        <v>6490.1906399999998</v>
      </c>
      <c r="L3040" s="459" t="s">
        <v>538</v>
      </c>
      <c r="O3040">
        <v>14.256</v>
      </c>
      <c r="P3040" t="s">
        <v>9136</v>
      </c>
    </row>
    <row r="3041" spans="1:16" ht="14.4" x14ac:dyDescent="0.3">
      <c r="A3041">
        <v>246895</v>
      </c>
      <c r="B3041" t="str">
        <f t="shared" si="94"/>
        <v>SEVROLL Oaza II rączka 2,7 m złota</v>
      </c>
      <c r="C3041" s="185" t="e">
        <f t="shared" si="95"/>
        <v>#N/A</v>
      </c>
      <c r="D3041" s="407" t="s">
        <v>3188</v>
      </c>
      <c r="E3041" s="407" t="s">
        <v>4385</v>
      </c>
      <c r="F3041" s="407" t="s">
        <v>1122</v>
      </c>
      <c r="G3041" s="407" t="s">
        <v>4386</v>
      </c>
      <c r="H3041" s="460" t="e">
        <v>#N/A</v>
      </c>
      <c r="I3041" s="460" t="e">
        <v>#N/A</v>
      </c>
      <c r="J3041" s="460" t="e">
        <v>#N/A</v>
      </c>
      <c r="K3041" s="460" t="e">
        <v>#N/A</v>
      </c>
      <c r="L3041" s="459" t="e">
        <v>#N/A</v>
      </c>
      <c r="O3041" t="e">
        <v>#N/A</v>
      </c>
      <c r="P3041" t="e">
        <v>#N/A</v>
      </c>
    </row>
    <row r="3042" spans="1:16" ht="14.4" x14ac:dyDescent="0.3">
      <c r="A3042">
        <v>251132</v>
      </c>
      <c r="B3042" t="str">
        <f t="shared" si="94"/>
        <v>SEVROLL Hide N tor dolny 6 m, srebrny</v>
      </c>
      <c r="C3042" s="185">
        <f t="shared" si="95"/>
        <v>0</v>
      </c>
      <c r="D3042" s="407" t="s">
        <v>3189</v>
      </c>
      <c r="E3042" s="407" t="s">
        <v>1933</v>
      </c>
      <c r="F3042" s="407" t="s">
        <v>4681</v>
      </c>
      <c r="G3042" s="407" t="s">
        <v>2453</v>
      </c>
      <c r="H3042" s="460">
        <v>674.72577999999999</v>
      </c>
      <c r="I3042" s="460">
        <v>25.450099999999999</v>
      </c>
      <c r="J3042" s="460">
        <v>0</v>
      </c>
      <c r="K3042" s="460">
        <v>9603.3140800000001</v>
      </c>
      <c r="L3042" s="459" t="s">
        <v>539</v>
      </c>
      <c r="O3042">
        <v>23.782</v>
      </c>
      <c r="P3042" t="s">
        <v>9208</v>
      </c>
    </row>
    <row r="3043" spans="1:16" ht="14.4" x14ac:dyDescent="0.3">
      <c r="A3043">
        <v>252423</v>
      </c>
      <c r="B3043" t="str">
        <f t="shared" si="94"/>
        <v>SEVROLL Hide N tor dolny 1,7 m, srebrny</v>
      </c>
      <c r="C3043" s="185">
        <f t="shared" si="95"/>
        <v>24.60145</v>
      </c>
      <c r="D3043" s="407" t="s">
        <v>3190</v>
      </c>
      <c r="E3043" s="407" t="s">
        <v>3834</v>
      </c>
      <c r="F3043" s="407" t="s">
        <v>3835</v>
      </c>
      <c r="G3043" s="407" t="s">
        <v>3836</v>
      </c>
      <c r="H3043" s="460">
        <v>191.10332</v>
      </c>
      <c r="I3043" s="460">
        <v>7.2082600000000001</v>
      </c>
      <c r="J3043" s="460">
        <v>24.60145</v>
      </c>
      <c r="K3043" s="460">
        <v>2719.9571500000002</v>
      </c>
      <c r="L3043" s="459" t="s">
        <v>539</v>
      </c>
      <c r="O3043">
        <v>6.7539999999999996</v>
      </c>
      <c r="P3043" t="s">
        <v>8944</v>
      </c>
    </row>
    <row r="3044" spans="1:16" ht="14.4" x14ac:dyDescent="0.3">
      <c r="A3044">
        <v>252424</v>
      </c>
      <c r="B3044" t="str">
        <f t="shared" si="94"/>
        <v>SEVROLL Zaślepka toru Single z pozycjonerem</v>
      </c>
      <c r="C3044" s="185">
        <f t="shared" si="95"/>
        <v>92.155529999999999</v>
      </c>
      <c r="D3044" s="407" t="s">
        <v>3191</v>
      </c>
      <c r="E3044" s="407" t="s">
        <v>6123</v>
      </c>
      <c r="F3044" s="407" t="s">
        <v>6124</v>
      </c>
      <c r="G3044" s="407" t="s">
        <v>6125</v>
      </c>
      <c r="H3044" s="460">
        <v>716.11999000000003</v>
      </c>
      <c r="I3044" s="460">
        <v>27.01146</v>
      </c>
      <c r="J3044" s="460">
        <v>92.155529999999999</v>
      </c>
      <c r="K3044" s="460">
        <v>10192.47445</v>
      </c>
      <c r="L3044" s="459" t="s">
        <v>539</v>
      </c>
      <c r="O3044">
        <v>24.045999999999999</v>
      </c>
      <c r="P3044" t="s">
        <v>10207</v>
      </c>
    </row>
    <row r="3045" spans="1:16" ht="14.4" x14ac:dyDescent="0.3">
      <c r="A3045">
        <v>252425</v>
      </c>
      <c r="B3045" t="str">
        <f t="shared" si="94"/>
        <v>SEVROLL wspornik ścienny do toru Single</v>
      </c>
      <c r="C3045" s="185" t="e">
        <f t="shared" si="95"/>
        <v>#N/A</v>
      </c>
      <c r="D3045" s="407" t="s">
        <v>3192</v>
      </c>
      <c r="E3045" s="407" t="s">
        <v>3910</v>
      </c>
      <c r="F3045" s="407" t="s">
        <v>1097</v>
      </c>
      <c r="G3045" s="407" t="s">
        <v>3911</v>
      </c>
      <c r="H3045" s="460" t="e">
        <v>#N/A</v>
      </c>
      <c r="I3045" s="460" t="e">
        <v>#N/A</v>
      </c>
      <c r="J3045" s="460" t="e">
        <v>#N/A</v>
      </c>
      <c r="K3045" s="460" t="e">
        <v>#N/A</v>
      </c>
      <c r="L3045" s="459" t="e">
        <v>#N/A</v>
      </c>
      <c r="O3045">
        <v>6.8419999999999996</v>
      </c>
      <c r="P3045" t="s">
        <v>8970</v>
      </c>
    </row>
    <row r="3046" spans="1:16" ht="14.4" x14ac:dyDescent="0.3">
      <c r="A3046">
        <v>252566</v>
      </c>
      <c r="B3046" t="str">
        <f t="shared" si="94"/>
        <v>SEVROLL Gemini tor górny 3 m, biały połysk</v>
      </c>
      <c r="C3046" s="185">
        <f t="shared" si="95"/>
        <v>131.79419999999999</v>
      </c>
      <c r="D3046" s="407" t="s">
        <v>3193</v>
      </c>
      <c r="E3046" s="407" t="s">
        <v>5269</v>
      </c>
      <c r="F3046" s="407" t="s">
        <v>5270</v>
      </c>
      <c r="G3046" s="407" t="s">
        <v>5271</v>
      </c>
      <c r="H3046" s="460">
        <v>903.23748000000001</v>
      </c>
      <c r="I3046" s="460">
        <v>32.476199999999999</v>
      </c>
      <c r="J3046" s="460">
        <v>131.79419999999999</v>
      </c>
      <c r="K3046" s="460">
        <v>12499.626490000001</v>
      </c>
      <c r="L3046" s="459" t="s">
        <v>538</v>
      </c>
      <c r="O3046">
        <v>34.341999999999999</v>
      </c>
      <c r="P3046" t="s">
        <v>9382</v>
      </c>
    </row>
    <row r="3047" spans="1:16" ht="14.4" x14ac:dyDescent="0.3">
      <c r="A3047">
        <v>252567</v>
      </c>
      <c r="B3047" t="str">
        <f t="shared" si="94"/>
        <v>SEVROLL listwa łącząca H18 3m biały połysk</v>
      </c>
      <c r="C3047" s="185">
        <f t="shared" si="95"/>
        <v>62.464799999999997</v>
      </c>
      <c r="D3047" s="407" t="s">
        <v>3194</v>
      </c>
      <c r="E3047" s="407" t="s">
        <v>5578</v>
      </c>
      <c r="F3047" s="407" t="s">
        <v>5579</v>
      </c>
      <c r="G3047" s="407" t="s">
        <v>5580</v>
      </c>
      <c r="H3047" s="460">
        <v>433.52503999999999</v>
      </c>
      <c r="I3047" s="460">
        <v>15.587540000000001</v>
      </c>
      <c r="J3047" s="460">
        <v>62.464799999999997</v>
      </c>
      <c r="K3047" s="460">
        <v>5999.42029</v>
      </c>
      <c r="L3047" s="459" t="s">
        <v>538</v>
      </c>
      <c r="O3047">
        <v>16.5</v>
      </c>
      <c r="P3047" t="s">
        <v>9489</v>
      </c>
    </row>
    <row r="3048" spans="1:16" ht="14.4" x14ac:dyDescent="0.3">
      <c r="A3048">
        <v>252568</v>
      </c>
      <c r="B3048" t="str">
        <f t="shared" si="94"/>
        <v>SEVROLL Elegant II tor dolny 3 m, biały połysk</v>
      </c>
      <c r="C3048" s="185">
        <f t="shared" si="95"/>
        <v>71.808000000000007</v>
      </c>
      <c r="D3048" s="407" t="s">
        <v>3195</v>
      </c>
      <c r="E3048" s="407" t="s">
        <v>5180</v>
      </c>
      <c r="F3048" s="407" t="s">
        <v>5181</v>
      </c>
      <c r="G3048" s="407" t="s">
        <v>5182</v>
      </c>
      <c r="H3048" s="460">
        <v>526.88854000000003</v>
      </c>
      <c r="I3048" s="460">
        <v>18.94445</v>
      </c>
      <c r="J3048" s="460">
        <v>71.808000000000007</v>
      </c>
      <c r="K3048" s="460">
        <v>7291.4487600000002</v>
      </c>
      <c r="L3048" s="459" t="s">
        <v>538</v>
      </c>
      <c r="O3048">
        <v>18.876000000000001</v>
      </c>
      <c r="P3048" t="s">
        <v>9350</v>
      </c>
    </row>
    <row r="3049" spans="1:16" ht="14.4" x14ac:dyDescent="0.3">
      <c r="A3049">
        <v>252569</v>
      </c>
      <c r="B3049" t="str">
        <f t="shared" si="94"/>
        <v>SEVROLL Faworyt II rączka 2,7m biały połysk</v>
      </c>
      <c r="C3049" s="185">
        <f t="shared" si="95"/>
        <v>60.088200000000001</v>
      </c>
      <c r="D3049" s="407" t="s">
        <v>3196</v>
      </c>
      <c r="E3049" s="407" t="s">
        <v>4456</v>
      </c>
      <c r="F3049" s="407" t="s">
        <v>4457</v>
      </c>
      <c r="G3049" s="407" t="s">
        <v>4458</v>
      </c>
      <c r="H3049" s="460">
        <v>455.23748000000001</v>
      </c>
      <c r="I3049" s="460">
        <v>16.368220000000001</v>
      </c>
      <c r="J3049" s="460">
        <v>60.088200000000001</v>
      </c>
      <c r="K3049" s="460">
        <v>6299.8920699999999</v>
      </c>
      <c r="L3049" s="459" t="s">
        <v>538</v>
      </c>
      <c r="O3049">
        <v>16.126000000000001</v>
      </c>
      <c r="P3049" t="s">
        <v>9143</v>
      </c>
    </row>
    <row r="3050" spans="1:16" ht="14.4" x14ac:dyDescent="0.3">
      <c r="A3050">
        <v>252641</v>
      </c>
      <c r="B3050" t="str">
        <f t="shared" si="94"/>
        <v>SEVROLL zabierak do tłumienia 11027</v>
      </c>
      <c r="C3050" s="185" t="e">
        <f t="shared" si="95"/>
        <v>#N/A</v>
      </c>
      <c r="D3050" s="407" t="s">
        <v>1069</v>
      </c>
      <c r="E3050" s="407" t="s">
        <v>6198</v>
      </c>
      <c r="F3050" s="407" t="s">
        <v>1070</v>
      </c>
      <c r="G3050" s="407" t="s">
        <v>6199</v>
      </c>
      <c r="H3050" s="460" t="e">
        <v>#N/A</v>
      </c>
      <c r="I3050" s="460" t="e">
        <v>#N/A</v>
      </c>
      <c r="J3050" s="460" t="e">
        <v>#N/A</v>
      </c>
      <c r="K3050" s="460" t="e">
        <v>#N/A</v>
      </c>
      <c r="L3050" s="459" t="e">
        <v>#N/A</v>
      </c>
      <c r="O3050" t="e">
        <v>#N/A</v>
      </c>
      <c r="P3050" t="e">
        <v>#N/A</v>
      </c>
    </row>
    <row r="3051" spans="1:16" ht="14.4" x14ac:dyDescent="0.3">
      <c r="A3051">
        <v>252987</v>
      </c>
      <c r="B3051" t="str">
        <f t="shared" si="94"/>
        <v>SEVROLL Simple/Blue element montażowy do płyty laminowanej 10/18mm</v>
      </c>
      <c r="C3051" s="185">
        <f t="shared" si="95"/>
        <v>50.611429999999999</v>
      </c>
      <c r="D3051" s="407" t="s">
        <v>3197</v>
      </c>
      <c r="E3051" s="407" t="s">
        <v>5725</v>
      </c>
      <c r="F3051" s="407" t="s">
        <v>5726</v>
      </c>
      <c r="G3051" s="407" t="s">
        <v>5727</v>
      </c>
      <c r="H3051" s="460">
        <v>273.41048000000001</v>
      </c>
      <c r="I3051" s="460">
        <v>12.017609999999999</v>
      </c>
      <c r="J3051" s="460">
        <v>50.611429999999999</v>
      </c>
      <c r="K3051" s="460">
        <v>4298.9068900000002</v>
      </c>
      <c r="L3051" s="459" t="s">
        <v>538</v>
      </c>
      <c r="O3051">
        <v>5.3680000000000003</v>
      </c>
      <c r="P3051" t="s">
        <v>9539</v>
      </c>
    </row>
    <row r="3052" spans="1:16" ht="14.4" x14ac:dyDescent="0.3">
      <c r="A3052">
        <v>256425</v>
      </c>
      <c r="B3052" t="str">
        <f t="shared" si="94"/>
        <v>SEVROLL element montażowy do systemu Maxim mały</v>
      </c>
      <c r="C3052" s="185" t="e">
        <f t="shared" si="95"/>
        <v>#N/A</v>
      </c>
      <c r="D3052" s="407" t="s">
        <v>3198</v>
      </c>
      <c r="E3052" s="407" t="s">
        <v>5728</v>
      </c>
      <c r="F3052" s="407" t="s">
        <v>5729</v>
      </c>
      <c r="G3052" s="407" t="s">
        <v>5730</v>
      </c>
      <c r="H3052" s="460" t="e">
        <v>#N/A</v>
      </c>
      <c r="I3052" s="460" t="e">
        <v>#N/A</v>
      </c>
      <c r="J3052" s="460" t="e">
        <v>#N/A</v>
      </c>
      <c r="K3052" s="460" t="e">
        <v>#N/A</v>
      </c>
      <c r="L3052" s="459" t="e">
        <v>#N/A</v>
      </c>
      <c r="O3052">
        <v>4.7409999999999997</v>
      </c>
      <c r="P3052" t="s">
        <v>9540</v>
      </c>
    </row>
    <row r="3053" spans="1:16" ht="14.4" x14ac:dyDescent="0.3">
      <c r="A3053">
        <v>260076</v>
      </c>
      <c r="B3053" t="str">
        <f t="shared" si="94"/>
        <v>SEVROLL kątownik 18x18mm 3m srebrny</v>
      </c>
      <c r="C3053" s="185">
        <f t="shared" si="95"/>
        <v>35.812199999999997</v>
      </c>
      <c r="D3053" s="407" t="s">
        <v>3199</v>
      </c>
      <c r="E3053" s="407" t="s">
        <v>4103</v>
      </c>
      <c r="F3053" s="407" t="s">
        <v>4104</v>
      </c>
      <c r="G3053" s="407" t="s">
        <v>4105</v>
      </c>
      <c r="H3053" s="460">
        <v>270.68173000000002</v>
      </c>
      <c r="I3053" s="460">
        <v>9.73245</v>
      </c>
      <c r="J3053" s="460">
        <v>35.812199999999997</v>
      </c>
      <c r="K3053" s="460">
        <v>3745.88184</v>
      </c>
      <c r="L3053" s="459" t="s">
        <v>539</v>
      </c>
      <c r="O3053">
        <v>9.6140000000000008</v>
      </c>
      <c r="P3053" t="s">
        <v>9031</v>
      </c>
    </row>
    <row r="3054" spans="1:16" ht="14.4" x14ac:dyDescent="0.3">
      <c r="A3054">
        <v>262429</v>
      </c>
      <c r="B3054" t="str">
        <f t="shared" si="94"/>
        <v>SEVROLL Optima tor dolny 6m surowy</v>
      </c>
      <c r="C3054" s="185" t="e">
        <f t="shared" si="95"/>
        <v>#N/A</v>
      </c>
      <c r="D3054" s="407" t="s">
        <v>3200</v>
      </c>
      <c r="E3054" s="407" t="s">
        <v>4660</v>
      </c>
      <c r="F3054" s="407" t="s">
        <v>1118</v>
      </c>
      <c r="G3054" s="407" t="s">
        <v>4661</v>
      </c>
      <c r="H3054" s="460" t="e">
        <v>#N/A</v>
      </c>
      <c r="I3054" s="460" t="e">
        <v>#N/A</v>
      </c>
      <c r="J3054" s="460" t="e">
        <v>#N/A</v>
      </c>
      <c r="K3054" s="460" t="e">
        <v>#N/A</v>
      </c>
      <c r="L3054" s="459" t="e">
        <v>#N/A</v>
      </c>
      <c r="O3054">
        <v>22.242000000000001</v>
      </c>
      <c r="P3054" t="s">
        <v>9202</v>
      </c>
    </row>
    <row r="3055" spans="1:16" ht="14.4" x14ac:dyDescent="0.3">
      <c r="A3055">
        <v>262430</v>
      </c>
      <c r="B3055" t="str">
        <f t="shared" si="94"/>
        <v>SEVROLL Optima tor górny 6m srebrny</v>
      </c>
      <c r="C3055" s="185" t="e">
        <f t="shared" si="95"/>
        <v>#N/A</v>
      </c>
      <c r="D3055" s="407" t="s">
        <v>3201</v>
      </c>
      <c r="E3055" s="407" t="s">
        <v>5067</v>
      </c>
      <c r="F3055" s="407" t="s">
        <v>1120</v>
      </c>
      <c r="G3055" s="407" t="s">
        <v>5068</v>
      </c>
      <c r="H3055" s="460" t="e">
        <v>#N/A</v>
      </c>
      <c r="I3055" s="460" t="e">
        <v>#N/A</v>
      </c>
      <c r="J3055" s="460" t="e">
        <v>#N/A</v>
      </c>
      <c r="K3055" s="460" t="e">
        <v>#N/A</v>
      </c>
      <c r="L3055" s="459" t="e">
        <v>#N/A</v>
      </c>
      <c r="O3055">
        <v>69.058000000000007</v>
      </c>
      <c r="P3055" t="s">
        <v>9310</v>
      </c>
    </row>
    <row r="3056" spans="1:16" ht="14.4" x14ac:dyDescent="0.3">
      <c r="A3056">
        <v>265065</v>
      </c>
      <c r="B3056" t="str">
        <f t="shared" si="94"/>
        <v>SEVROLL Fox II rączka 2,7m biały połysk</v>
      </c>
      <c r="C3056" s="185">
        <f t="shared" si="95"/>
        <v>80.416799999999995</v>
      </c>
      <c r="D3056" s="407" t="s">
        <v>3202</v>
      </c>
      <c r="E3056" s="407" t="s">
        <v>5239</v>
      </c>
      <c r="F3056" s="407" t="s">
        <v>5240</v>
      </c>
      <c r="G3056" s="407" t="s">
        <v>5241</v>
      </c>
      <c r="H3056" s="460">
        <v>600.71082000000001</v>
      </c>
      <c r="I3056" s="460">
        <v>21.598759999999999</v>
      </c>
      <c r="J3056" s="460">
        <v>80.416799999999995</v>
      </c>
      <c r="K3056" s="460">
        <v>8313.0529399999996</v>
      </c>
      <c r="L3056" s="459" t="s">
        <v>538</v>
      </c>
      <c r="O3056">
        <v>20.283999999999999</v>
      </c>
      <c r="P3056" t="s">
        <v>9371</v>
      </c>
    </row>
    <row r="3057" spans="1:16" ht="14.4" x14ac:dyDescent="0.3">
      <c r="A3057">
        <v>265066</v>
      </c>
      <c r="B3057" t="str">
        <f t="shared" si="94"/>
        <v>SEVROLL listwa pozioma górna 3m biały połysk</v>
      </c>
      <c r="C3057" s="185">
        <f t="shared" si="95"/>
        <v>105.8454</v>
      </c>
      <c r="D3057" s="407" t="s">
        <v>3203</v>
      </c>
      <c r="E3057" s="407" t="s">
        <v>5338</v>
      </c>
      <c r="F3057" s="407" t="s">
        <v>5339</v>
      </c>
      <c r="G3057" s="407" t="s">
        <v>5340</v>
      </c>
      <c r="H3057" s="460">
        <v>515.30856000000006</v>
      </c>
      <c r="I3057" s="460">
        <v>18.528089999999999</v>
      </c>
      <c r="J3057" s="460">
        <v>105.8454</v>
      </c>
      <c r="K3057" s="460">
        <v>7131.1972999999998</v>
      </c>
      <c r="L3057" s="459" t="s">
        <v>538</v>
      </c>
      <c r="O3057">
        <v>19.931999999999999</v>
      </c>
      <c r="P3057" t="s">
        <v>9408</v>
      </c>
    </row>
    <row r="3058" spans="1:16" ht="14.4" x14ac:dyDescent="0.3">
      <c r="A3058">
        <v>265067</v>
      </c>
      <c r="B3058" t="str">
        <f t="shared" si="94"/>
        <v>SEVROLL listwa pozioma dolna 3 m 10 mm, biały połysk</v>
      </c>
      <c r="C3058" s="185">
        <f t="shared" si="95"/>
        <v>124.22580000000001</v>
      </c>
      <c r="D3058" s="407" t="s">
        <v>3204</v>
      </c>
      <c r="E3058" s="407" t="s">
        <v>5521</v>
      </c>
      <c r="F3058" s="407" t="s">
        <v>5522</v>
      </c>
      <c r="G3058" s="407" t="s">
        <v>5523</v>
      </c>
      <c r="H3058" s="460">
        <v>936.52988000000005</v>
      </c>
      <c r="I3058" s="460">
        <v>33.67324</v>
      </c>
      <c r="J3058" s="460">
        <v>124.22580000000001</v>
      </c>
      <c r="K3058" s="460">
        <v>12960.35014</v>
      </c>
      <c r="L3058" s="459" t="s">
        <v>538</v>
      </c>
      <c r="O3058">
        <v>32.317999999999998</v>
      </c>
      <c r="P3058" t="s">
        <v>9469</v>
      </c>
    </row>
    <row r="3059" spans="1:16" ht="14.4" x14ac:dyDescent="0.3">
      <c r="A3059">
        <v>267880</v>
      </c>
      <c r="B3059" t="str">
        <f t="shared" si="94"/>
        <v>SEVROLL kątownik Mini 17x11 mm 3 m, biały połysk</v>
      </c>
      <c r="C3059" s="185">
        <f t="shared" si="95"/>
        <v>21.583200000000001</v>
      </c>
      <c r="D3059" s="407" t="s">
        <v>5613</v>
      </c>
      <c r="E3059" s="407" t="s">
        <v>5614</v>
      </c>
      <c r="F3059" s="407" t="s">
        <v>5615</v>
      </c>
      <c r="G3059" s="407" t="s">
        <v>5616</v>
      </c>
      <c r="H3059" s="460">
        <v>156.32956999999999</v>
      </c>
      <c r="I3059" s="460">
        <v>5.6208799999999997</v>
      </c>
      <c r="J3059" s="460">
        <v>21.583200000000001</v>
      </c>
      <c r="K3059" s="460">
        <v>2163.3967400000001</v>
      </c>
      <c r="L3059" s="459" t="s">
        <v>538</v>
      </c>
      <c r="O3059">
        <v>5.7640000000000002</v>
      </c>
      <c r="P3059" t="s">
        <v>9504</v>
      </c>
    </row>
    <row r="3060" spans="1:16" ht="14.4" x14ac:dyDescent="0.3">
      <c r="A3060">
        <v>267882</v>
      </c>
      <c r="B3060" t="str">
        <f t="shared" si="94"/>
        <v>SEVROLL 04060 Gemini tor górny 2,35 m, biały połysk</v>
      </c>
      <c r="C3060" s="185">
        <f t="shared" si="95"/>
        <v>103.20359999999999</v>
      </c>
      <c r="D3060" s="407" t="s">
        <v>3205</v>
      </c>
      <c r="E3060" s="407" t="s">
        <v>5258</v>
      </c>
      <c r="F3060" s="407" t="s">
        <v>5259</v>
      </c>
      <c r="G3060" s="407" t="s">
        <v>5260</v>
      </c>
      <c r="H3060" s="460">
        <v>707.82552999999996</v>
      </c>
      <c r="I3060" s="460">
        <v>25.450099999999999</v>
      </c>
      <c r="J3060" s="460">
        <v>103.20359999999999</v>
      </c>
      <c r="K3060" s="460">
        <v>9795.3803599999992</v>
      </c>
      <c r="L3060" s="459" t="s">
        <v>538</v>
      </c>
      <c r="O3060">
        <v>26.928000000000001</v>
      </c>
      <c r="P3060" t="s">
        <v>9378</v>
      </c>
    </row>
    <row r="3061" spans="1:16" ht="14.4" x14ac:dyDescent="0.3">
      <c r="A3061">
        <v>267944</v>
      </c>
      <c r="B3061" t="str">
        <f t="shared" si="94"/>
        <v>SEVROLL listwa pozioma górna 2,35m biały połysk</v>
      </c>
      <c r="C3061" s="185">
        <f t="shared" si="95"/>
        <v>82.936199999999999</v>
      </c>
      <c r="D3061" s="407" t="s">
        <v>3206</v>
      </c>
      <c r="E3061" s="407" t="s">
        <v>5319</v>
      </c>
      <c r="F3061" s="407" t="s">
        <v>5320</v>
      </c>
      <c r="G3061" s="407" t="s">
        <v>5321</v>
      </c>
      <c r="H3061" s="460">
        <v>403.85138000000001</v>
      </c>
      <c r="I3061" s="460">
        <v>14.52061</v>
      </c>
      <c r="J3061" s="460">
        <v>82.936199999999999</v>
      </c>
      <c r="K3061" s="460">
        <v>5588.7752499999997</v>
      </c>
      <c r="L3061" s="459" t="s">
        <v>538</v>
      </c>
      <c r="O3061">
        <v>15.641999999999999</v>
      </c>
      <c r="P3061" t="s">
        <v>9401</v>
      </c>
    </row>
    <row r="3062" spans="1:16" ht="14.4" x14ac:dyDescent="0.3">
      <c r="A3062">
        <v>267954</v>
      </c>
      <c r="B3062" t="str">
        <f t="shared" si="94"/>
        <v>SEVROLL 04063 Gemini 10 dolna maskownica 2,35 m 10 mm, biały połysk</v>
      </c>
      <c r="C3062" s="185">
        <f t="shared" si="95"/>
        <v>97.287599999999998</v>
      </c>
      <c r="D3062" s="407" t="s">
        <v>3207</v>
      </c>
      <c r="E3062" s="407" t="s">
        <v>5506</v>
      </c>
      <c r="F3062" s="407" t="s">
        <v>5507</v>
      </c>
      <c r="G3062" s="407" t="s">
        <v>5508</v>
      </c>
      <c r="H3062" s="460">
        <v>731.70920999999998</v>
      </c>
      <c r="I3062" s="460">
        <v>26.30885</v>
      </c>
      <c r="J3062" s="460">
        <v>97.287599999999998</v>
      </c>
      <c r="K3062" s="460">
        <v>10125.899240000001</v>
      </c>
      <c r="L3062" s="459" t="s">
        <v>538</v>
      </c>
      <c r="O3062">
        <v>25.3</v>
      </c>
      <c r="P3062" t="s">
        <v>9464</v>
      </c>
    </row>
    <row r="3063" spans="1:16" ht="14.4" x14ac:dyDescent="0.3">
      <c r="A3063">
        <v>270113</v>
      </c>
      <c r="B3063" t="str">
        <f t="shared" si="94"/>
        <v>SEVROLL kątownik 22x22mm 3m srebrny</v>
      </c>
      <c r="C3063" s="185">
        <f t="shared" si="95"/>
        <v>37.790999999999997</v>
      </c>
      <c r="D3063" s="407" t="s">
        <v>3208</v>
      </c>
      <c r="E3063" s="407" t="s">
        <v>4106</v>
      </c>
      <c r="F3063" s="407" t="s">
        <v>4107</v>
      </c>
      <c r="G3063" s="407" t="s">
        <v>4108</v>
      </c>
      <c r="H3063" s="460">
        <v>285.15669000000003</v>
      </c>
      <c r="I3063" s="460">
        <v>10.2529</v>
      </c>
      <c r="J3063" s="460">
        <v>37.790999999999997</v>
      </c>
      <c r="K3063" s="460">
        <v>3946.1963700000001</v>
      </c>
      <c r="L3063" s="459" t="s">
        <v>539</v>
      </c>
      <c r="O3063">
        <v>10.141999999999999</v>
      </c>
      <c r="P3063" t="s">
        <v>9032</v>
      </c>
    </row>
    <row r="3064" spans="1:16" ht="14.4" x14ac:dyDescent="0.3">
      <c r="A3064">
        <v>270114</v>
      </c>
      <c r="B3064" t="str">
        <f t="shared" si="94"/>
        <v>SEVROLL kątownik 10x10mm 3m srebrny</v>
      </c>
      <c r="C3064" s="185">
        <f t="shared" si="95"/>
        <v>15.2898</v>
      </c>
      <c r="D3064" s="407" t="s">
        <v>3209</v>
      </c>
      <c r="E3064" s="407" t="s">
        <v>3664</v>
      </c>
      <c r="F3064" s="407" t="s">
        <v>3665</v>
      </c>
      <c r="G3064" s="407" t="s">
        <v>3666</v>
      </c>
      <c r="H3064" s="460">
        <v>115.79968</v>
      </c>
      <c r="I3064" s="460">
        <v>4.1636199999999999</v>
      </c>
      <c r="J3064" s="460">
        <v>15.2898</v>
      </c>
      <c r="K3064" s="460">
        <v>1602.5162399999999</v>
      </c>
      <c r="L3064" s="459" t="s">
        <v>539</v>
      </c>
      <c r="O3064">
        <v>4.1139999999999999</v>
      </c>
      <c r="P3064" t="s">
        <v>8887</v>
      </c>
    </row>
    <row r="3065" spans="1:16" ht="14.4" x14ac:dyDescent="0.3">
      <c r="A3065">
        <v>273035</v>
      </c>
      <c r="B3065" t="str">
        <f t="shared" si="94"/>
        <v>SEVROLL kątownik 10x18mm 3m srebrny</v>
      </c>
      <c r="C3065" s="185">
        <f t="shared" si="95"/>
        <v>21.012</v>
      </c>
      <c r="D3065" s="407" t="s">
        <v>3210</v>
      </c>
      <c r="E3065" s="407" t="s">
        <v>3779</v>
      </c>
      <c r="F3065" s="407" t="s">
        <v>3780</v>
      </c>
      <c r="G3065" s="407" t="s">
        <v>3781</v>
      </c>
      <c r="H3065" s="460">
        <v>158.50081</v>
      </c>
      <c r="I3065" s="460">
        <v>5.69895</v>
      </c>
      <c r="J3065" s="460">
        <v>21.012</v>
      </c>
      <c r="K3065" s="460">
        <v>2193.4442399999998</v>
      </c>
      <c r="L3065" s="459" t="s">
        <v>539</v>
      </c>
      <c r="O3065">
        <v>5.6319999999999997</v>
      </c>
      <c r="P3065" t="s">
        <v>8924</v>
      </c>
    </row>
    <row r="3066" spans="1:16" ht="14.4" x14ac:dyDescent="0.3">
      <c r="A3066">
        <v>274345</v>
      </c>
      <c r="B3066" t="str">
        <f t="shared" si="94"/>
        <v>SEVROLL Zestaw okuć ZSE-18 PLUS Prince</v>
      </c>
      <c r="C3066" s="185" t="e">
        <f t="shared" si="95"/>
        <v>#N/A</v>
      </c>
      <c r="D3066" s="407" t="s">
        <v>1346</v>
      </c>
      <c r="E3066" s="407" t="s">
        <v>1798</v>
      </c>
      <c r="F3066" s="407" t="s">
        <v>2158</v>
      </c>
      <c r="G3066" s="407" t="s">
        <v>5811</v>
      </c>
      <c r="H3066" s="460" t="e">
        <v>#N/A</v>
      </c>
      <c r="I3066" s="460" t="e">
        <v>#N/A</v>
      </c>
      <c r="J3066" s="460" t="e">
        <v>#N/A</v>
      </c>
      <c r="K3066" s="460" t="e">
        <v>#N/A</v>
      </c>
      <c r="L3066" s="459" t="e">
        <v>#N/A</v>
      </c>
      <c r="O3066">
        <v>73.414000000000001</v>
      </c>
      <c r="P3066" t="s">
        <v>9666</v>
      </c>
    </row>
    <row r="3067" spans="1:16" ht="14.4" x14ac:dyDescent="0.3">
      <c r="A3067">
        <v>276730</v>
      </c>
      <c r="B3067" t="str">
        <f t="shared" si="94"/>
        <v>SEVROLL Alfa II rączka 18mm 2,7m biały połysk</v>
      </c>
      <c r="C3067" s="185">
        <f t="shared" si="95"/>
        <v>66.463200000000001</v>
      </c>
      <c r="D3067" s="407" t="s">
        <v>3211</v>
      </c>
      <c r="E3067" s="407" t="s">
        <v>4474</v>
      </c>
      <c r="F3067" s="407" t="s">
        <v>4475</v>
      </c>
      <c r="G3067" s="407" t="s">
        <v>4476</v>
      </c>
      <c r="H3067" s="460">
        <v>457.40872000000002</v>
      </c>
      <c r="I3067" s="460">
        <v>16.446280000000002</v>
      </c>
      <c r="J3067" s="460">
        <v>66.463200000000001</v>
      </c>
      <c r="K3067" s="460">
        <v>6329.9391800000003</v>
      </c>
      <c r="L3067" s="459" t="s">
        <v>538</v>
      </c>
      <c r="O3067">
        <v>17.666</v>
      </c>
      <c r="P3067" t="s">
        <v>9146</v>
      </c>
    </row>
    <row r="3068" spans="1:16" ht="14.4" x14ac:dyDescent="0.3">
      <c r="A3068">
        <v>276731</v>
      </c>
      <c r="B3068" t="str">
        <f t="shared" si="94"/>
        <v>SEVROLL kątownik Mini 17x11 mm 3 m, biały matowy</v>
      </c>
      <c r="C3068" s="185">
        <f t="shared" si="95"/>
        <v>21.583200000000001</v>
      </c>
      <c r="D3068" s="407" t="s">
        <v>3746</v>
      </c>
      <c r="E3068" s="407" t="s">
        <v>3747</v>
      </c>
      <c r="F3068" s="407" t="s">
        <v>3748</v>
      </c>
      <c r="G3068" s="407" t="s">
        <v>3749</v>
      </c>
      <c r="H3068" s="460">
        <v>156.32956999999999</v>
      </c>
      <c r="I3068" s="460">
        <v>5.6208799999999997</v>
      </c>
      <c r="J3068" s="460">
        <v>21.583200000000001</v>
      </c>
      <c r="K3068" s="460">
        <v>2163.3967400000001</v>
      </c>
      <c r="L3068" s="459" t="s">
        <v>538</v>
      </c>
      <c r="O3068">
        <v>5.7640000000000002</v>
      </c>
      <c r="P3068" t="s">
        <v>8914</v>
      </c>
    </row>
    <row r="3069" spans="1:16" ht="14.4" x14ac:dyDescent="0.3">
      <c r="A3069">
        <v>276732</v>
      </c>
      <c r="B3069" t="str">
        <f t="shared" si="94"/>
        <v>SEVROLL kątownik Mini 17x11 mm 2,35 m, biały połysk</v>
      </c>
      <c r="C3069" s="185">
        <f t="shared" si="95"/>
        <v>16.901399999999999</v>
      </c>
      <c r="D3069" s="407" t="s">
        <v>3667</v>
      </c>
      <c r="E3069" s="407" t="s">
        <v>3668</v>
      </c>
      <c r="F3069" s="407" t="s">
        <v>3669</v>
      </c>
      <c r="G3069" s="407" t="s">
        <v>3670</v>
      </c>
      <c r="H3069" s="460">
        <v>122.31341</v>
      </c>
      <c r="I3069" s="460">
        <v>4.3978200000000003</v>
      </c>
      <c r="J3069" s="460">
        <v>16.901399999999999</v>
      </c>
      <c r="K3069" s="460">
        <v>1692.6579200000001</v>
      </c>
      <c r="L3069" s="459" t="s">
        <v>538</v>
      </c>
      <c r="O3069">
        <v>4.5540000000000003</v>
      </c>
      <c r="P3069" t="s">
        <v>8888</v>
      </c>
    </row>
    <row r="3070" spans="1:16" ht="14.4" x14ac:dyDescent="0.3">
      <c r="A3070">
        <v>276735</v>
      </c>
      <c r="B3070" t="str">
        <f t="shared" si="94"/>
        <v>SEVROLL kątownik Mini 17x11 mm 1,7 m, biały połysk</v>
      </c>
      <c r="C3070" s="185">
        <f t="shared" si="95"/>
        <v>12.2094</v>
      </c>
      <c r="D3070" s="407" t="s">
        <v>3600</v>
      </c>
      <c r="E3070" s="407" t="s">
        <v>3601</v>
      </c>
      <c r="F3070" s="407" t="s">
        <v>3602</v>
      </c>
      <c r="G3070" s="407" t="s">
        <v>3603</v>
      </c>
      <c r="H3070" s="460">
        <v>88.297250000000005</v>
      </c>
      <c r="I3070" s="460">
        <v>3.17476</v>
      </c>
      <c r="J3070" s="460">
        <v>12.2094</v>
      </c>
      <c r="K3070" s="460">
        <v>1221.9187199999999</v>
      </c>
      <c r="L3070" s="459" t="s">
        <v>538</v>
      </c>
      <c r="O3070">
        <v>3.2559999999999998</v>
      </c>
      <c r="P3070" t="s">
        <v>8864</v>
      </c>
    </row>
    <row r="3071" spans="1:16" ht="14.4" x14ac:dyDescent="0.3">
      <c r="A3071">
        <v>276736</v>
      </c>
      <c r="B3071" t="str">
        <f t="shared" si="94"/>
        <v>SEVROLL 04062 Gemini 10 dolna maskownica 1,7 m 10 mm, biały połysk</v>
      </c>
      <c r="C3071" s="185">
        <f t="shared" si="95"/>
        <v>70.369799999999998</v>
      </c>
      <c r="D3071" s="407" t="s">
        <v>3212</v>
      </c>
      <c r="E3071" s="407" t="s">
        <v>5488</v>
      </c>
      <c r="F3071" s="407" t="s">
        <v>5489</v>
      </c>
      <c r="G3071" s="407" t="s">
        <v>5490</v>
      </c>
      <c r="H3071" s="460">
        <v>529.78351999999995</v>
      </c>
      <c r="I3071" s="460">
        <v>19.048539999999999</v>
      </c>
      <c r="J3071" s="460">
        <v>70.369799999999998</v>
      </c>
      <c r="K3071" s="460">
        <v>7331.51181</v>
      </c>
      <c r="L3071" s="459" t="s">
        <v>538</v>
      </c>
      <c r="O3071">
        <v>18.282</v>
      </c>
      <c r="P3071" t="s">
        <v>9458</v>
      </c>
    </row>
    <row r="3072" spans="1:16" ht="14.4" x14ac:dyDescent="0.3">
      <c r="A3072">
        <v>276737</v>
      </c>
      <c r="B3072" t="str">
        <f t="shared" si="94"/>
        <v>SEVROLL listwa pozioma górna 1,7m biały połysk</v>
      </c>
      <c r="C3072" s="185">
        <f t="shared" si="95"/>
        <v>59.986199999999997</v>
      </c>
      <c r="D3072" s="407" t="s">
        <v>3213</v>
      </c>
      <c r="E3072" s="407" t="s">
        <v>5302</v>
      </c>
      <c r="F3072" s="407" t="s">
        <v>5303</v>
      </c>
      <c r="G3072" s="407" t="s">
        <v>5304</v>
      </c>
      <c r="H3072" s="460">
        <v>291.67043000000001</v>
      </c>
      <c r="I3072" s="460">
        <v>10.487109999999999</v>
      </c>
      <c r="J3072" s="460">
        <v>59.986199999999997</v>
      </c>
      <c r="K3072" s="460">
        <v>4036.3376800000001</v>
      </c>
      <c r="L3072" s="459" t="s">
        <v>538</v>
      </c>
      <c r="O3072">
        <v>11.33</v>
      </c>
      <c r="P3072" t="s">
        <v>9395</v>
      </c>
    </row>
    <row r="3073" spans="1:16" ht="14.4" x14ac:dyDescent="0.3">
      <c r="A3073">
        <v>276738</v>
      </c>
      <c r="B3073" t="str">
        <f t="shared" si="94"/>
        <v>SEVROLL listwa łącząca H08/18, 3 m, biała matowa</v>
      </c>
      <c r="C3073" s="185">
        <f t="shared" si="95"/>
        <v>42.829799999999999</v>
      </c>
      <c r="D3073" s="407" t="s">
        <v>3214</v>
      </c>
      <c r="E3073" s="407" t="s">
        <v>4193</v>
      </c>
      <c r="F3073" s="407" t="s">
        <v>4194</v>
      </c>
      <c r="G3073" s="407" t="s">
        <v>4195</v>
      </c>
      <c r="H3073" s="460">
        <v>319.17286000000001</v>
      </c>
      <c r="I3073" s="460">
        <v>11.47597</v>
      </c>
      <c r="J3073" s="460">
        <v>42.829799999999999</v>
      </c>
      <c r="K3073" s="460">
        <v>4416.9351999999999</v>
      </c>
      <c r="L3073" s="459" t="s">
        <v>539</v>
      </c>
      <c r="O3073">
        <v>11.506</v>
      </c>
      <c r="P3073" t="s">
        <v>9059</v>
      </c>
    </row>
    <row r="3074" spans="1:16" ht="14.4" x14ac:dyDescent="0.3">
      <c r="A3074">
        <v>276739</v>
      </c>
      <c r="B3074" t="str">
        <f t="shared" si="94"/>
        <v>SEVROLL listwa łącząca H10 3m biały połysk</v>
      </c>
      <c r="C3074" s="185">
        <f t="shared" si="95"/>
        <v>67.289400000000001</v>
      </c>
      <c r="D3074" s="407" t="s">
        <v>3215</v>
      </c>
      <c r="E3074" s="407" t="s">
        <v>4528</v>
      </c>
      <c r="F3074" s="407" t="s">
        <v>4529</v>
      </c>
      <c r="G3074" s="407" t="s">
        <v>4530</v>
      </c>
      <c r="H3074" s="460">
        <v>440.03877999999997</v>
      </c>
      <c r="I3074" s="460">
        <v>15.82174</v>
      </c>
      <c r="J3074" s="460">
        <v>67.289400000000001</v>
      </c>
      <c r="K3074" s="460">
        <v>6089.5615900000003</v>
      </c>
      <c r="L3074" s="459" t="s">
        <v>538</v>
      </c>
      <c r="O3074">
        <v>18.062000000000001</v>
      </c>
      <c r="P3074" t="s">
        <v>9163</v>
      </c>
    </row>
    <row r="3075" spans="1:16" ht="14.4" x14ac:dyDescent="0.3">
      <c r="A3075">
        <v>276742</v>
      </c>
      <c r="B3075" t="str">
        <f t="shared" si="94"/>
        <v>SEVROLL Faworyt II rączka 2,7 m, biała matowa</v>
      </c>
      <c r="C3075" s="185">
        <f t="shared" si="95"/>
        <v>60.088200000000001</v>
      </c>
      <c r="D3075" s="407" t="s">
        <v>3216</v>
      </c>
      <c r="E3075" s="407" t="s">
        <v>4423</v>
      </c>
      <c r="F3075" s="407" t="s">
        <v>4424</v>
      </c>
      <c r="G3075" s="407" t="s">
        <v>4425</v>
      </c>
      <c r="H3075" s="460">
        <v>455.23748000000001</v>
      </c>
      <c r="I3075" s="460">
        <v>16.368220000000001</v>
      </c>
      <c r="J3075" s="460">
        <v>60.088200000000001</v>
      </c>
      <c r="K3075" s="460">
        <v>6299.8920699999999</v>
      </c>
      <c r="L3075" s="459" t="s">
        <v>538</v>
      </c>
      <c r="O3075">
        <v>16.126000000000001</v>
      </c>
      <c r="P3075" t="s">
        <v>9132</v>
      </c>
    </row>
    <row r="3076" spans="1:16" ht="14.4" x14ac:dyDescent="0.3">
      <c r="A3076">
        <v>276743</v>
      </c>
      <c r="B3076" t="str">
        <f t="shared" ref="B3076:B3139" si="96">IF($A$2=1,D3076,IF($A$2=2,F3076,IF($A$2=3,G3076,IF($A$2=4,E3076,IF($A$2&gt;4,P3076,"zadat jazyk")))))</f>
        <v>SEVROLL Elegant II tor dolny 3 m, biały matowy</v>
      </c>
      <c r="C3076" s="185">
        <f t="shared" ref="C3076:C3139" si="97">IF($A$2=1,H3076,IF($A$2=2,I3076,IF($A$2=3,J3076,IF($A$2=4,K3076,IF($A$2&gt;4,O3076,"zadat jazyk")))))</f>
        <v>71.808000000000007</v>
      </c>
      <c r="D3076" s="407" t="s">
        <v>3217</v>
      </c>
      <c r="E3076" s="407" t="s">
        <v>5183</v>
      </c>
      <c r="F3076" s="407" t="s">
        <v>5184</v>
      </c>
      <c r="G3076" s="407" t="s">
        <v>5185</v>
      </c>
      <c r="H3076" s="460">
        <v>526.88854000000003</v>
      </c>
      <c r="I3076" s="460">
        <v>18.94445</v>
      </c>
      <c r="J3076" s="460">
        <v>71.808000000000007</v>
      </c>
      <c r="K3076" s="460">
        <v>7291.4487600000002</v>
      </c>
      <c r="L3076" s="459" t="s">
        <v>538</v>
      </c>
      <c r="O3076">
        <v>18.876000000000001</v>
      </c>
      <c r="P3076" t="s">
        <v>9351</v>
      </c>
    </row>
    <row r="3077" spans="1:16" ht="14.4" x14ac:dyDescent="0.3">
      <c r="A3077">
        <v>276744</v>
      </c>
      <c r="B3077" t="str">
        <f t="shared" si="96"/>
        <v>SEVROLL Elegant II tor dolny 1,7 m, biały połysk</v>
      </c>
      <c r="C3077" s="185">
        <f t="shared" si="97"/>
        <v>40.698</v>
      </c>
      <c r="D3077" s="407" t="s">
        <v>3218</v>
      </c>
      <c r="E3077" s="407" t="s">
        <v>5145</v>
      </c>
      <c r="F3077" s="407" t="s">
        <v>5146</v>
      </c>
      <c r="G3077" s="407" t="s">
        <v>5147</v>
      </c>
      <c r="H3077" s="460">
        <v>301.80291999999997</v>
      </c>
      <c r="I3077" s="460">
        <v>10.851419999999999</v>
      </c>
      <c r="J3077" s="460">
        <v>40.698</v>
      </c>
      <c r="K3077" s="460">
        <v>4176.5579900000002</v>
      </c>
      <c r="L3077" s="459" t="s">
        <v>538</v>
      </c>
      <c r="O3077">
        <v>10.714</v>
      </c>
      <c r="P3077" t="s">
        <v>9338</v>
      </c>
    </row>
    <row r="3078" spans="1:16" ht="14.4" x14ac:dyDescent="0.3">
      <c r="A3078">
        <v>276745</v>
      </c>
      <c r="B3078" t="str">
        <f t="shared" si="96"/>
        <v>SEVROLL Elegant II tor dolny 2,35 m, biały połysk</v>
      </c>
      <c r="C3078" s="185">
        <f t="shared" si="97"/>
        <v>56.242800000000003</v>
      </c>
      <c r="D3078" s="407" t="s">
        <v>3219</v>
      </c>
      <c r="E3078" s="407" t="s">
        <v>5165</v>
      </c>
      <c r="F3078" s="407" t="s">
        <v>5166</v>
      </c>
      <c r="G3078" s="407" t="s">
        <v>5167</v>
      </c>
      <c r="H3078" s="460">
        <v>414.70758000000001</v>
      </c>
      <c r="I3078" s="460">
        <v>14.91095</v>
      </c>
      <c r="J3078" s="460">
        <v>56.242800000000003</v>
      </c>
      <c r="K3078" s="460">
        <v>5739.01116</v>
      </c>
      <c r="L3078" s="459" t="s">
        <v>538</v>
      </c>
      <c r="O3078">
        <v>14.85</v>
      </c>
      <c r="P3078" t="s">
        <v>9345</v>
      </c>
    </row>
    <row r="3079" spans="1:16" ht="14.4" x14ac:dyDescent="0.3">
      <c r="A3079">
        <v>276746</v>
      </c>
      <c r="B3079" t="str">
        <f t="shared" si="96"/>
        <v>SEVROLL Elegant II tor dolny 4,05 m, biały połysk</v>
      </c>
      <c r="C3079" s="185">
        <f t="shared" si="97"/>
        <v>96.930599999999998</v>
      </c>
      <c r="D3079" s="407" t="s">
        <v>3220</v>
      </c>
      <c r="E3079" s="407" t="s">
        <v>5198</v>
      </c>
      <c r="F3079" s="407" t="s">
        <v>5199</v>
      </c>
      <c r="G3079" s="407" t="s">
        <v>5200</v>
      </c>
      <c r="H3079" s="460">
        <v>713.61551999999995</v>
      </c>
      <c r="I3079" s="460">
        <v>25.658280000000001</v>
      </c>
      <c r="J3079" s="460">
        <v>96.930599999999998</v>
      </c>
      <c r="K3079" s="460">
        <v>9875.5060699999995</v>
      </c>
      <c r="L3079" s="459" t="s">
        <v>538</v>
      </c>
      <c r="O3079">
        <v>25.564</v>
      </c>
      <c r="P3079" t="s">
        <v>9356</v>
      </c>
    </row>
    <row r="3080" spans="1:16" ht="14.4" x14ac:dyDescent="0.3">
      <c r="A3080">
        <v>276749</v>
      </c>
      <c r="B3080" t="str">
        <f t="shared" si="96"/>
        <v>SEVROLL Gemini tor górny 4,05 m, biały połysk</v>
      </c>
      <c r="C3080" s="185">
        <f t="shared" si="97"/>
        <v>177.9186</v>
      </c>
      <c r="D3080" s="407" t="s">
        <v>3221</v>
      </c>
      <c r="E3080" s="407" t="s">
        <v>5280</v>
      </c>
      <c r="F3080" s="407" t="s">
        <v>5281</v>
      </c>
      <c r="G3080" s="407" t="s">
        <v>5282</v>
      </c>
      <c r="H3080" s="460">
        <v>1219.5153600000001</v>
      </c>
      <c r="I3080" s="460">
        <v>43.848080000000003</v>
      </c>
      <c r="J3080" s="460">
        <v>177.9186</v>
      </c>
      <c r="K3080" s="460">
        <v>16876.499019999999</v>
      </c>
      <c r="L3080" s="459" t="s">
        <v>538</v>
      </c>
      <c r="O3080">
        <v>46.353999999999999</v>
      </c>
      <c r="P3080" t="s">
        <v>9386</v>
      </c>
    </row>
    <row r="3081" spans="1:16" ht="14.4" x14ac:dyDescent="0.3">
      <c r="A3081">
        <v>276751</v>
      </c>
      <c r="B3081" t="str">
        <f t="shared" si="96"/>
        <v>SEVROLL Gemini tor górny 1,7 m, biały połysk</v>
      </c>
      <c r="C3081" s="185">
        <f t="shared" si="97"/>
        <v>74.653800000000004</v>
      </c>
      <c r="D3081" s="407" t="s">
        <v>3222</v>
      </c>
      <c r="E3081" s="407" t="s">
        <v>5247</v>
      </c>
      <c r="F3081" s="407" t="s">
        <v>5248</v>
      </c>
      <c r="G3081" s="407" t="s">
        <v>5249</v>
      </c>
      <c r="H3081" s="460">
        <v>511.68982999999997</v>
      </c>
      <c r="I3081" s="460">
        <v>18.39798</v>
      </c>
      <c r="J3081" s="460">
        <v>74.653800000000004</v>
      </c>
      <c r="K3081" s="460">
        <v>7081.1186600000001</v>
      </c>
      <c r="L3081" s="459" t="s">
        <v>538</v>
      </c>
      <c r="O3081">
        <v>19.492000000000001</v>
      </c>
      <c r="P3081" t="s">
        <v>9374</v>
      </c>
    </row>
    <row r="3082" spans="1:16" ht="14.4" x14ac:dyDescent="0.3">
      <c r="A3082">
        <v>278056</v>
      </c>
      <c r="B3082" t="str">
        <f t="shared" si="96"/>
        <v>SEVROLL Pax rączka 2,7m srebrny</v>
      </c>
      <c r="C3082" s="185">
        <f t="shared" si="97"/>
        <v>78.988799999999998</v>
      </c>
      <c r="D3082" s="407" t="s">
        <v>3223</v>
      </c>
      <c r="E3082" s="407" t="s">
        <v>4662</v>
      </c>
      <c r="F3082" s="407" t="s">
        <v>4663</v>
      </c>
      <c r="G3082" s="407" t="s">
        <v>4664</v>
      </c>
      <c r="H3082" s="460">
        <v>575.37965999999994</v>
      </c>
      <c r="I3082" s="460">
        <v>20.68797</v>
      </c>
      <c r="J3082" s="460">
        <v>78.988799999999998</v>
      </c>
      <c r="K3082" s="460">
        <v>7962.5024999999996</v>
      </c>
      <c r="L3082" s="459" t="s">
        <v>538</v>
      </c>
      <c r="O3082">
        <v>21.207999999999998</v>
      </c>
      <c r="P3082" t="s">
        <v>9203</v>
      </c>
    </row>
    <row r="3083" spans="1:16" ht="14.4" x14ac:dyDescent="0.3">
      <c r="A3083">
        <v>278057</v>
      </c>
      <c r="B3083" t="str">
        <f t="shared" si="96"/>
        <v>SEVROLL Pax rączka 3m srebrny</v>
      </c>
      <c r="C3083" s="185">
        <f t="shared" si="97"/>
        <v>87.771000000000001</v>
      </c>
      <c r="D3083" s="407" t="s">
        <v>3224</v>
      </c>
      <c r="E3083" s="407" t="s">
        <v>4700</v>
      </c>
      <c r="F3083" s="407" t="s">
        <v>1117</v>
      </c>
      <c r="G3083" s="407" t="s">
        <v>4701</v>
      </c>
      <c r="H3083" s="460">
        <v>639.79319999999996</v>
      </c>
      <c r="I3083" s="460">
        <v>23.003979999999999</v>
      </c>
      <c r="J3083" s="460">
        <v>87.771000000000001</v>
      </c>
      <c r="K3083" s="460">
        <v>8853.9022999999997</v>
      </c>
      <c r="L3083" s="459" t="s">
        <v>539</v>
      </c>
      <c r="O3083">
        <v>23.562000000000001</v>
      </c>
      <c r="P3083" t="s">
        <v>9216</v>
      </c>
    </row>
    <row r="3084" spans="1:16" ht="14.4" x14ac:dyDescent="0.3">
      <c r="A3084">
        <v>278058</v>
      </c>
      <c r="B3084" t="str">
        <f t="shared" si="96"/>
        <v>SEVROLL Pax listwa pozioma górna 3m srebrny</v>
      </c>
      <c r="C3084" s="185">
        <f t="shared" si="97"/>
        <v>86.302199999999999</v>
      </c>
      <c r="D3084" s="407" t="s">
        <v>3225</v>
      </c>
      <c r="E3084" s="407" t="s">
        <v>4708</v>
      </c>
      <c r="F3084" s="407" t="s">
        <v>4709</v>
      </c>
      <c r="G3084" s="407" t="s">
        <v>4710</v>
      </c>
      <c r="H3084" s="460">
        <v>628.21325000000002</v>
      </c>
      <c r="I3084" s="460">
        <v>22.587620000000001</v>
      </c>
      <c r="J3084" s="460">
        <v>86.302199999999999</v>
      </c>
      <c r="K3084" s="460">
        <v>8693.6504600000007</v>
      </c>
      <c r="L3084" s="459" t="s">
        <v>538</v>
      </c>
      <c r="O3084">
        <v>23.166</v>
      </c>
      <c r="P3084" t="s">
        <v>9220</v>
      </c>
    </row>
    <row r="3085" spans="1:16" ht="14.4" x14ac:dyDescent="0.3">
      <c r="A3085">
        <v>278059</v>
      </c>
      <c r="B3085" t="str">
        <f t="shared" si="96"/>
        <v>SEVROLL 04095 Gemini 4 maskownica dolna 3 m 4 mm, srebrna</v>
      </c>
      <c r="C3085" s="185">
        <f t="shared" si="97"/>
        <v>99.296999999999997</v>
      </c>
      <c r="D3085" s="407" t="s">
        <v>3226</v>
      </c>
      <c r="E3085" s="407" t="s">
        <v>5465</v>
      </c>
      <c r="F3085" s="407" t="s">
        <v>5466</v>
      </c>
      <c r="G3085" s="407" t="s">
        <v>5467</v>
      </c>
      <c r="H3085" s="460">
        <v>723.74797999999998</v>
      </c>
      <c r="I3085" s="460">
        <v>26.022600000000001</v>
      </c>
      <c r="J3085" s="460">
        <v>99.296999999999997</v>
      </c>
      <c r="K3085" s="460">
        <v>10015.726420000001</v>
      </c>
      <c r="L3085" s="459" t="s">
        <v>539</v>
      </c>
      <c r="O3085">
        <v>26.664000000000001</v>
      </c>
      <c r="P3085" t="s">
        <v>9449</v>
      </c>
    </row>
    <row r="3086" spans="1:16" ht="14.4" x14ac:dyDescent="0.3">
      <c r="A3086">
        <v>278060</v>
      </c>
      <c r="B3086" t="str">
        <f t="shared" si="96"/>
        <v>SEVROLL Pax záslepka do rączki (4 szt) srebrny</v>
      </c>
      <c r="C3086" s="185">
        <f t="shared" si="97"/>
        <v>26.683199999999999</v>
      </c>
      <c r="D3086" s="407" t="s">
        <v>3227</v>
      </c>
      <c r="E3086" s="407" t="s">
        <v>3937</v>
      </c>
      <c r="F3086" s="407" t="s">
        <v>3938</v>
      </c>
      <c r="G3086" s="407" t="s">
        <v>3939</v>
      </c>
      <c r="H3086" s="460">
        <v>205.82560000000001</v>
      </c>
      <c r="I3086" s="460">
        <v>6.9740599999999997</v>
      </c>
      <c r="J3086" s="460">
        <v>26.683199999999999</v>
      </c>
      <c r="K3086" s="460">
        <v>2747.3726000000001</v>
      </c>
      <c r="L3086" s="459" t="s">
        <v>538</v>
      </c>
      <c r="O3086">
        <v>7.1719999999999997</v>
      </c>
      <c r="P3086" t="s">
        <v>8979</v>
      </c>
    </row>
    <row r="3087" spans="1:16" ht="14.4" x14ac:dyDescent="0.3">
      <c r="A3087">
        <v>278164</v>
      </c>
      <c r="B3087" t="str">
        <f t="shared" si="96"/>
        <v>SEVROLL Gemini rączka 2,7m czarny mat</v>
      </c>
      <c r="C3087" s="185">
        <f t="shared" si="97"/>
        <v>102.67319999999999</v>
      </c>
      <c r="D3087" s="407" t="s">
        <v>1322</v>
      </c>
      <c r="E3087" s="407" t="s">
        <v>1773</v>
      </c>
      <c r="F3087" s="407" t="s">
        <v>5782</v>
      </c>
      <c r="G3087" s="407" t="s">
        <v>2352</v>
      </c>
      <c r="H3087" s="460">
        <v>683.21807999999999</v>
      </c>
      <c r="I3087" s="460">
        <v>24.560120000000001</v>
      </c>
      <c r="J3087" s="460">
        <v>102.67319999999999</v>
      </c>
      <c r="K3087" s="460">
        <v>9454.8458900000005</v>
      </c>
      <c r="L3087" s="459" t="s">
        <v>539</v>
      </c>
      <c r="O3087">
        <v>24.2</v>
      </c>
      <c r="P3087" t="s">
        <v>9616</v>
      </c>
    </row>
    <row r="3088" spans="1:16" ht="14.4" x14ac:dyDescent="0.3">
      <c r="A3088">
        <v>279077</v>
      </c>
      <c r="B3088" t="str">
        <f t="shared" si="96"/>
        <v>SEVROLL Single tor górny 6m srebrny</v>
      </c>
      <c r="C3088" s="185">
        <f t="shared" si="97"/>
        <v>0</v>
      </c>
      <c r="D3088" s="407" t="s">
        <v>3228</v>
      </c>
      <c r="E3088" s="407" t="s">
        <v>5000</v>
      </c>
      <c r="F3088" s="407" t="s">
        <v>5001</v>
      </c>
      <c r="G3088" s="407" t="s">
        <v>5002</v>
      </c>
      <c r="H3088" s="460">
        <v>1467.76091</v>
      </c>
      <c r="I3088" s="460">
        <v>52.773829999999997</v>
      </c>
      <c r="J3088" s="460">
        <v>0</v>
      </c>
      <c r="K3088" s="460">
        <v>20311.893090000001</v>
      </c>
      <c r="L3088" s="459" t="s">
        <v>539</v>
      </c>
      <c r="O3088">
        <v>49.433999999999997</v>
      </c>
      <c r="P3088" t="s">
        <v>9298</v>
      </c>
    </row>
    <row r="3089" spans="1:16" ht="14.4" x14ac:dyDescent="0.3">
      <c r="A3089">
        <v>279078</v>
      </c>
      <c r="B3089" t="str">
        <f t="shared" si="96"/>
        <v>SEVROLL Hide N tor dolny 6 m, jasny brąz</v>
      </c>
      <c r="C3089" s="185">
        <f t="shared" si="97"/>
        <v>0</v>
      </c>
      <c r="D3089" s="407" t="s">
        <v>3229</v>
      </c>
      <c r="E3089" s="407" t="s">
        <v>4731</v>
      </c>
      <c r="F3089" s="407" t="s">
        <v>4732</v>
      </c>
      <c r="G3089" s="407" t="s">
        <v>4733</v>
      </c>
      <c r="H3089" s="460">
        <v>790.62959000000001</v>
      </c>
      <c r="I3089" s="460">
        <v>29.821899999999999</v>
      </c>
      <c r="J3089" s="460">
        <v>0</v>
      </c>
      <c r="K3089" s="460">
        <v>11252.96305</v>
      </c>
      <c r="L3089" s="459" t="s">
        <v>539</v>
      </c>
      <c r="O3089">
        <v>25.321999999999999</v>
      </c>
      <c r="P3089" t="s">
        <v>9226</v>
      </c>
    </row>
    <row r="3090" spans="1:16" ht="14.4" x14ac:dyDescent="0.3">
      <c r="A3090">
        <v>279082</v>
      </c>
      <c r="B3090" t="str">
        <f t="shared" si="96"/>
        <v>SEVROLL tor górny INTER S 35kg do sufitu 2m</v>
      </c>
      <c r="C3090" s="185" t="e">
        <f t="shared" si="97"/>
        <v>#N/A</v>
      </c>
      <c r="D3090" s="407" t="s">
        <v>3230</v>
      </c>
      <c r="E3090" s="407" t="s">
        <v>5673</v>
      </c>
      <c r="F3090" s="407" t="s">
        <v>5674</v>
      </c>
      <c r="G3090" s="407" t="s">
        <v>5675</v>
      </c>
      <c r="H3090" s="460" t="e">
        <v>#N/A</v>
      </c>
      <c r="I3090" s="460" t="e">
        <v>#N/A</v>
      </c>
      <c r="J3090" s="460" t="e">
        <v>#N/A</v>
      </c>
      <c r="K3090" s="460" t="e">
        <v>#N/A</v>
      </c>
      <c r="L3090" s="459" t="e">
        <v>#N/A</v>
      </c>
      <c r="O3090">
        <v>10.273999999999999</v>
      </c>
      <c r="P3090" t="s">
        <v>9522</v>
      </c>
    </row>
    <row r="3091" spans="1:16" ht="14.4" x14ac:dyDescent="0.3">
      <c r="A3091">
        <v>279083</v>
      </c>
      <c r="B3091" t="str">
        <f t="shared" si="96"/>
        <v>SEVROLL tor górny INTER S 35kg do sufitu 3m</v>
      </c>
      <c r="C3091" s="185" t="e">
        <f t="shared" si="97"/>
        <v>#N/A</v>
      </c>
      <c r="D3091" s="407" t="s">
        <v>3231</v>
      </c>
      <c r="E3091" s="407" t="s">
        <v>5655</v>
      </c>
      <c r="F3091" s="407" t="s">
        <v>1079</v>
      </c>
      <c r="G3091" s="407" t="s">
        <v>5656</v>
      </c>
      <c r="H3091" s="460" t="e">
        <v>#N/A</v>
      </c>
      <c r="I3091" s="460" t="e">
        <v>#N/A</v>
      </c>
      <c r="J3091" s="460" t="e">
        <v>#N/A</v>
      </c>
      <c r="K3091" s="460" t="e">
        <v>#N/A</v>
      </c>
      <c r="L3091" s="459" t="e">
        <v>#N/A</v>
      </c>
      <c r="O3091" t="e">
        <v>#N/A</v>
      </c>
      <c r="P3091" t="e">
        <v>#N/A</v>
      </c>
    </row>
    <row r="3092" spans="1:16" ht="14.4" x14ac:dyDescent="0.3">
      <c r="A3092">
        <v>279084</v>
      </c>
      <c r="B3092" t="str">
        <f t="shared" si="96"/>
        <v>SEVROLL tor górny INTER S 35kg do sufitu 6m</v>
      </c>
      <c r="C3092" s="185" t="e">
        <f t="shared" si="97"/>
        <v>#N/A</v>
      </c>
      <c r="D3092" s="407" t="s">
        <v>3232</v>
      </c>
      <c r="E3092" s="407" t="s">
        <v>5653</v>
      </c>
      <c r="F3092" s="407" t="s">
        <v>1078</v>
      </c>
      <c r="G3092" s="407" t="s">
        <v>5654</v>
      </c>
      <c r="H3092" s="460" t="e">
        <v>#N/A</v>
      </c>
      <c r="I3092" s="460" t="e">
        <v>#N/A</v>
      </c>
      <c r="J3092" s="460" t="e">
        <v>#N/A</v>
      </c>
      <c r="K3092" s="460" t="e">
        <v>#N/A</v>
      </c>
      <c r="L3092" s="459" t="e">
        <v>#N/A</v>
      </c>
      <c r="O3092" t="e">
        <v>#N/A</v>
      </c>
      <c r="P3092" t="e">
        <v>#N/A</v>
      </c>
    </row>
    <row r="3093" spans="1:16" ht="14.4" x14ac:dyDescent="0.3">
      <c r="A3093">
        <v>279085</v>
      </c>
      <c r="B3093" t="str">
        <f t="shared" si="96"/>
        <v>SEVROLL tor górny INTER B 35kg do ściany 2m</v>
      </c>
      <c r="C3093" s="185" t="e">
        <f t="shared" si="97"/>
        <v>#N/A</v>
      </c>
      <c r="D3093" s="407" t="s">
        <v>3233</v>
      </c>
      <c r="E3093" s="407" t="s">
        <v>5679</v>
      </c>
      <c r="F3093" s="407" t="s">
        <v>5680</v>
      </c>
      <c r="G3093" s="407" t="s">
        <v>5681</v>
      </c>
      <c r="H3093" s="460" t="e">
        <v>#N/A</v>
      </c>
      <c r="I3093" s="460" t="e">
        <v>#N/A</v>
      </c>
      <c r="J3093" s="460" t="e">
        <v>#N/A</v>
      </c>
      <c r="K3093" s="460" t="e">
        <v>#N/A</v>
      </c>
      <c r="L3093" s="459" t="e">
        <v>#N/A</v>
      </c>
      <c r="O3093">
        <v>10.273999999999999</v>
      </c>
      <c r="P3093" t="s">
        <v>9523</v>
      </c>
    </row>
    <row r="3094" spans="1:16" ht="14.4" x14ac:dyDescent="0.3">
      <c r="A3094">
        <v>279086</v>
      </c>
      <c r="B3094" t="str">
        <f t="shared" si="96"/>
        <v>SEVROLL tor górny INTER B 35kg do ściany 3m</v>
      </c>
      <c r="C3094" s="185" t="e">
        <f t="shared" si="97"/>
        <v>#N/A</v>
      </c>
      <c r="D3094" s="407" t="s">
        <v>3234</v>
      </c>
      <c r="E3094" s="407" t="s">
        <v>5659</v>
      </c>
      <c r="F3094" s="407" t="s">
        <v>1081</v>
      </c>
      <c r="G3094" s="407" t="s">
        <v>5660</v>
      </c>
      <c r="H3094" s="460" t="e">
        <v>#N/A</v>
      </c>
      <c r="I3094" s="460" t="e">
        <v>#N/A</v>
      </c>
      <c r="J3094" s="460" t="e">
        <v>#N/A</v>
      </c>
      <c r="K3094" s="460" t="e">
        <v>#N/A</v>
      </c>
      <c r="L3094" s="459" t="e">
        <v>#N/A</v>
      </c>
      <c r="O3094" t="e">
        <v>#N/A</v>
      </c>
      <c r="P3094" t="e">
        <v>#N/A</v>
      </c>
    </row>
    <row r="3095" spans="1:16" ht="14.4" x14ac:dyDescent="0.3">
      <c r="A3095">
        <v>279087</v>
      </c>
      <c r="B3095" t="str">
        <f t="shared" si="96"/>
        <v>SEVROLL tor górny INTER B 35kg do ściany 6m</v>
      </c>
      <c r="C3095" s="185" t="e">
        <f t="shared" si="97"/>
        <v>#N/A</v>
      </c>
      <c r="D3095" s="407" t="s">
        <v>3235</v>
      </c>
      <c r="E3095" s="407" t="s">
        <v>5657</v>
      </c>
      <c r="F3095" s="407" t="s">
        <v>1080</v>
      </c>
      <c r="G3095" s="407" t="s">
        <v>5658</v>
      </c>
      <c r="H3095" s="460" t="e">
        <v>#N/A</v>
      </c>
      <c r="I3095" s="460" t="e">
        <v>#N/A</v>
      </c>
      <c r="J3095" s="460" t="e">
        <v>#N/A</v>
      </c>
      <c r="K3095" s="460" t="e">
        <v>#N/A</v>
      </c>
      <c r="L3095" s="459" t="e">
        <v>#N/A</v>
      </c>
      <c r="O3095" t="e">
        <v>#N/A</v>
      </c>
      <c r="P3095" t="e">
        <v>#N/A</v>
      </c>
    </row>
    <row r="3096" spans="1:16" ht="14.4" x14ac:dyDescent="0.3">
      <c r="A3096">
        <v>279088</v>
      </c>
      <c r="B3096" t="str">
        <f t="shared" si="96"/>
        <v>SEVROLL tor górny Galaxy S 50kg do sufitu 2m</v>
      </c>
      <c r="C3096" s="185">
        <f t="shared" si="97"/>
        <v>42.508749999999999</v>
      </c>
      <c r="D3096" s="407" t="s">
        <v>3236</v>
      </c>
      <c r="E3096" s="407" t="s">
        <v>5691</v>
      </c>
      <c r="F3096" s="407" t="s">
        <v>5692</v>
      </c>
      <c r="G3096" s="407" t="s">
        <v>5693</v>
      </c>
      <c r="H3096" s="460">
        <v>330.46384999999998</v>
      </c>
      <c r="I3096" s="460">
        <v>12.464829999999999</v>
      </c>
      <c r="J3096" s="460">
        <v>42.508749999999999</v>
      </c>
      <c r="K3096" s="460">
        <v>4703.4638500000001</v>
      </c>
      <c r="L3096" s="459" t="s">
        <v>538</v>
      </c>
      <c r="O3096">
        <v>11.66</v>
      </c>
      <c r="P3096" t="s">
        <v>9527</v>
      </c>
    </row>
    <row r="3097" spans="1:16" ht="14.4" x14ac:dyDescent="0.3">
      <c r="A3097">
        <v>279089</v>
      </c>
      <c r="B3097" t="str">
        <f t="shared" si="96"/>
        <v>SEVROLL tor górny Galaxy S 50kg do sufitu 3m</v>
      </c>
      <c r="C3097" s="185">
        <f t="shared" si="97"/>
        <v>63.678759999999997</v>
      </c>
      <c r="D3097" s="407" t="s">
        <v>3237</v>
      </c>
      <c r="E3097" s="407" t="s">
        <v>5688</v>
      </c>
      <c r="F3097" s="407" t="s">
        <v>5689</v>
      </c>
      <c r="G3097" s="407" t="s">
        <v>5690</v>
      </c>
      <c r="H3097" s="460">
        <v>494.66093000000001</v>
      </c>
      <c r="I3097" s="460">
        <v>18.658200000000001</v>
      </c>
      <c r="J3097" s="460">
        <v>63.678759999999997</v>
      </c>
      <c r="K3097" s="460">
        <v>7040.4665999999997</v>
      </c>
      <c r="L3097" s="459" t="s">
        <v>538</v>
      </c>
      <c r="O3097">
        <v>17.489999999999998</v>
      </c>
      <c r="P3097" t="s">
        <v>9526</v>
      </c>
    </row>
    <row r="3098" spans="1:16" ht="14.4" x14ac:dyDescent="0.3">
      <c r="A3098">
        <v>279090</v>
      </c>
      <c r="B3098" t="str">
        <f t="shared" si="96"/>
        <v>SEVROLL tor górny Galaxy S 50kg do sufitu 6m</v>
      </c>
      <c r="C3098" s="185">
        <f t="shared" si="97"/>
        <v>0</v>
      </c>
      <c r="D3098" s="407" t="s">
        <v>3238</v>
      </c>
      <c r="E3098" s="407" t="s">
        <v>5685</v>
      </c>
      <c r="F3098" s="407" t="s">
        <v>5686</v>
      </c>
      <c r="G3098" s="407" t="s">
        <v>5687</v>
      </c>
      <c r="H3098" s="460">
        <v>990.01175000000001</v>
      </c>
      <c r="I3098" s="460">
        <v>37.34243</v>
      </c>
      <c r="J3098" s="460">
        <v>0</v>
      </c>
      <c r="K3098" s="460">
        <v>14090.752350000001</v>
      </c>
      <c r="L3098" s="459" t="s">
        <v>538</v>
      </c>
      <c r="O3098">
        <v>35.002000000000002</v>
      </c>
      <c r="P3098" t="s">
        <v>9525</v>
      </c>
    </row>
    <row r="3099" spans="1:16" ht="14.4" x14ac:dyDescent="0.3">
      <c r="A3099">
        <v>279091</v>
      </c>
      <c r="B3099" t="str">
        <f t="shared" si="96"/>
        <v>SEVROLL tor górny Galaxy B 50kg do ściany 2m</v>
      </c>
      <c r="C3099" s="185">
        <f t="shared" si="97"/>
        <v>44.6173</v>
      </c>
      <c r="D3099" s="407" t="s">
        <v>3239</v>
      </c>
      <c r="E3099" s="407" t="s">
        <v>5700</v>
      </c>
      <c r="F3099" s="407" t="s">
        <v>5701</v>
      </c>
      <c r="G3099" s="407" t="s">
        <v>5702</v>
      </c>
      <c r="H3099" s="460">
        <v>347.02152999999998</v>
      </c>
      <c r="I3099" s="460">
        <v>13.089370000000001</v>
      </c>
      <c r="J3099" s="460">
        <v>44.6173</v>
      </c>
      <c r="K3099" s="460">
        <v>4939.1277499999997</v>
      </c>
      <c r="L3099" s="459" t="s">
        <v>538</v>
      </c>
      <c r="O3099">
        <v>12.254</v>
      </c>
      <c r="P3099" t="s">
        <v>9530</v>
      </c>
    </row>
    <row r="3100" spans="1:16" ht="14.4" x14ac:dyDescent="0.3">
      <c r="A3100">
        <v>279092</v>
      </c>
      <c r="B3100" t="str">
        <f t="shared" si="96"/>
        <v>SEVROLL tor górny Galaxy B 50kg do ściany 3m</v>
      </c>
      <c r="C3100" s="185">
        <f t="shared" si="97"/>
        <v>66.968130000000002</v>
      </c>
      <c r="D3100" s="407" t="s">
        <v>3240</v>
      </c>
      <c r="E3100" s="407" t="s">
        <v>5697</v>
      </c>
      <c r="F3100" s="407" t="s">
        <v>5698</v>
      </c>
      <c r="G3100" s="407" t="s">
        <v>5699</v>
      </c>
      <c r="H3100" s="460">
        <v>520.18733999999995</v>
      </c>
      <c r="I3100" s="460">
        <v>19.621040000000001</v>
      </c>
      <c r="J3100" s="460">
        <v>66.968130000000002</v>
      </c>
      <c r="K3100" s="460">
        <v>7403.7822299999998</v>
      </c>
      <c r="L3100" s="459" t="s">
        <v>538</v>
      </c>
      <c r="O3100">
        <v>18.391999999999999</v>
      </c>
      <c r="P3100" t="s">
        <v>9529</v>
      </c>
    </row>
    <row r="3101" spans="1:16" ht="14.4" x14ac:dyDescent="0.3">
      <c r="A3101">
        <v>279093</v>
      </c>
      <c r="B3101" t="str">
        <f t="shared" si="96"/>
        <v>SEVROLL tor górny Galaxy B 50kg do ściany 6m</v>
      </c>
      <c r="C3101" s="185">
        <f t="shared" si="97"/>
        <v>0</v>
      </c>
      <c r="D3101" s="407" t="s">
        <v>3241</v>
      </c>
      <c r="E3101" s="407" t="s">
        <v>5694</v>
      </c>
      <c r="F3101" s="407" t="s">
        <v>5695</v>
      </c>
      <c r="G3101" s="407" t="s">
        <v>5696</v>
      </c>
      <c r="H3101" s="460">
        <v>1041.0646099999999</v>
      </c>
      <c r="I3101" s="460">
        <v>39.268099999999997</v>
      </c>
      <c r="J3101" s="460">
        <v>0</v>
      </c>
      <c r="K3101" s="460">
        <v>14817.38365</v>
      </c>
      <c r="L3101" s="459" t="s">
        <v>538</v>
      </c>
      <c r="O3101">
        <v>36.783999999999999</v>
      </c>
      <c r="P3101" t="s">
        <v>9528</v>
      </c>
    </row>
    <row r="3102" spans="1:16" ht="14.4" x14ac:dyDescent="0.3">
      <c r="A3102">
        <v>279094</v>
      </c>
      <c r="B3102" t="str">
        <f t="shared" si="96"/>
        <v>SEVROLL maskownica Galaxy 2m</v>
      </c>
      <c r="C3102" s="185">
        <f t="shared" si="97"/>
        <v>39.507919999999999</v>
      </c>
      <c r="D3102" s="407" t="s">
        <v>3242</v>
      </c>
      <c r="E3102" s="407" t="s">
        <v>4080</v>
      </c>
      <c r="F3102" s="407" t="s">
        <v>1233</v>
      </c>
      <c r="G3102" s="407" t="s">
        <v>4081</v>
      </c>
      <c r="H3102" s="460">
        <v>307.00713999999999</v>
      </c>
      <c r="I3102" s="460">
        <v>11.58006</v>
      </c>
      <c r="J3102" s="460">
        <v>39.507919999999999</v>
      </c>
      <c r="K3102" s="460">
        <v>4369.6061300000001</v>
      </c>
      <c r="L3102" s="459" t="s">
        <v>538</v>
      </c>
      <c r="O3102">
        <v>10.846</v>
      </c>
      <c r="P3102" t="s">
        <v>9025</v>
      </c>
    </row>
    <row r="3103" spans="1:16" ht="14.4" x14ac:dyDescent="0.3">
      <c r="A3103">
        <v>279095</v>
      </c>
      <c r="B3103" t="str">
        <f t="shared" si="96"/>
        <v>SEVROLL maskownica Galaxy 3m</v>
      </c>
      <c r="C3103" s="185">
        <f t="shared" si="97"/>
        <v>59.217480000000002</v>
      </c>
      <c r="D3103" s="407" t="s">
        <v>3243</v>
      </c>
      <c r="E3103" s="407" t="s">
        <v>4346</v>
      </c>
      <c r="F3103" s="407" t="s">
        <v>1232</v>
      </c>
      <c r="G3103" s="407" t="s">
        <v>4347</v>
      </c>
      <c r="H3103" s="460">
        <v>460.16574000000003</v>
      </c>
      <c r="I3103" s="460">
        <v>17.35707</v>
      </c>
      <c r="J3103" s="460">
        <v>59.217480000000002</v>
      </c>
      <c r="K3103" s="460">
        <v>6549.4996000000001</v>
      </c>
      <c r="L3103" s="459" t="s">
        <v>538</v>
      </c>
      <c r="O3103">
        <v>16.257999999999999</v>
      </c>
      <c r="P3103" t="s">
        <v>9107</v>
      </c>
    </row>
    <row r="3104" spans="1:16" ht="14.4" x14ac:dyDescent="0.3">
      <c r="A3104">
        <v>279096</v>
      </c>
      <c r="B3104" t="str">
        <f t="shared" si="96"/>
        <v>SEVROLL maskownica Galaxy 6m</v>
      </c>
      <c r="C3104" s="185">
        <f t="shared" si="97"/>
        <v>0</v>
      </c>
      <c r="D3104" s="407" t="s">
        <v>3244</v>
      </c>
      <c r="E3104" s="407" t="s">
        <v>4753</v>
      </c>
      <c r="F3104" s="407" t="s">
        <v>1142</v>
      </c>
      <c r="G3104" s="407" t="s">
        <v>4754</v>
      </c>
      <c r="H3104" s="460">
        <v>923.09109000000001</v>
      </c>
      <c r="I3104" s="460">
        <v>34.818240000000003</v>
      </c>
      <c r="J3104" s="460">
        <v>0</v>
      </c>
      <c r="K3104" s="460">
        <v>13138.27635</v>
      </c>
      <c r="L3104" s="459" t="s">
        <v>539</v>
      </c>
      <c r="O3104">
        <v>32.603999999999999</v>
      </c>
      <c r="P3104" t="s">
        <v>9233</v>
      </c>
    </row>
    <row r="3105" spans="1:16" ht="14.4" x14ac:dyDescent="0.3">
      <c r="A3105">
        <v>283904</v>
      </c>
      <c r="B3105" t="str">
        <f t="shared" si="96"/>
        <v>SEVROLL Pax listwa montażowa 3m srebrny</v>
      </c>
      <c r="C3105" s="185">
        <f t="shared" si="97"/>
        <v>101.1024</v>
      </c>
      <c r="D3105" s="407" t="s">
        <v>3245</v>
      </c>
      <c r="E3105" s="407" t="s">
        <v>4794</v>
      </c>
      <c r="F3105" s="407" t="s">
        <v>4795</v>
      </c>
      <c r="G3105" s="407" t="s">
        <v>4796</v>
      </c>
      <c r="H3105" s="460">
        <v>805.53148999999996</v>
      </c>
      <c r="I3105" s="460">
        <v>28.963149999999999</v>
      </c>
      <c r="J3105" s="460">
        <v>101.1024</v>
      </c>
      <c r="K3105" s="460">
        <v>11147.503419999999</v>
      </c>
      <c r="L3105" s="459" t="s">
        <v>538</v>
      </c>
      <c r="O3105">
        <v>27.148</v>
      </c>
      <c r="P3105" t="s">
        <v>9246</v>
      </c>
    </row>
    <row r="3106" spans="1:16" ht="14.4" x14ac:dyDescent="0.3">
      <c r="A3106">
        <v>283955</v>
      </c>
      <c r="B3106" t="str">
        <f t="shared" si="96"/>
        <v>SEVROLL tłumienie Central 10/18mm obustronne 25-40kg</v>
      </c>
      <c r="C3106" s="185">
        <f t="shared" si="97"/>
        <v>206.958</v>
      </c>
      <c r="D3106" s="407" t="s">
        <v>3246</v>
      </c>
      <c r="E3106" s="407" t="s">
        <v>4966</v>
      </c>
      <c r="F3106" s="407" t="s">
        <v>4967</v>
      </c>
      <c r="G3106" s="407" t="s">
        <v>4968</v>
      </c>
      <c r="H3106" s="460">
        <v>1450.76324</v>
      </c>
      <c r="I3106" s="460">
        <v>49.156689999999998</v>
      </c>
      <c r="J3106" s="460">
        <v>206.958</v>
      </c>
      <c r="K3106" s="460">
        <v>19364.876939999998</v>
      </c>
      <c r="L3106" s="459" t="s">
        <v>538</v>
      </c>
      <c r="O3106">
        <v>43.735999999999997</v>
      </c>
      <c r="P3106" t="s">
        <v>9291</v>
      </c>
    </row>
    <row r="3107" spans="1:16" ht="14.4" x14ac:dyDescent="0.3">
      <c r="A3107">
        <v>283956</v>
      </c>
      <c r="B3107" t="str">
        <f t="shared" si="96"/>
        <v>SEVROLL tłumienie Mini SV40 (25 - 40kg)</v>
      </c>
      <c r="C3107" s="185">
        <f t="shared" si="97"/>
        <v>96.889799999999994</v>
      </c>
      <c r="D3107" s="407" t="s">
        <v>4594</v>
      </c>
      <c r="E3107" s="407" t="s">
        <v>4595</v>
      </c>
      <c r="F3107" s="407" t="s">
        <v>4596</v>
      </c>
      <c r="G3107" s="407" t="s">
        <v>4597</v>
      </c>
      <c r="H3107" s="460">
        <v>677.38124000000005</v>
      </c>
      <c r="I3107" s="460">
        <v>22.951930000000001</v>
      </c>
      <c r="J3107" s="460">
        <v>96.889799999999994</v>
      </c>
      <c r="K3107" s="460">
        <v>9041.7265599999992</v>
      </c>
      <c r="L3107" s="459" t="s">
        <v>538</v>
      </c>
      <c r="O3107">
        <v>20.416</v>
      </c>
      <c r="P3107" t="s">
        <v>9183</v>
      </c>
    </row>
    <row r="3108" spans="1:16" ht="14.4" x14ac:dyDescent="0.3">
      <c r="A3108">
        <v>284521</v>
      </c>
      <c r="B3108" t="str">
        <f t="shared" si="96"/>
        <v>SEVROLL Pax rączka 2,7 m, biały połysk</v>
      </c>
      <c r="C3108" s="185">
        <f t="shared" si="97"/>
        <v>102.67319999999999</v>
      </c>
      <c r="D3108" s="407" t="s">
        <v>3247</v>
      </c>
      <c r="E3108" s="407" t="s">
        <v>4758</v>
      </c>
      <c r="F3108" s="407" t="s">
        <v>4759</v>
      </c>
      <c r="G3108" s="407" t="s">
        <v>4760</v>
      </c>
      <c r="H3108" s="460">
        <v>748.35540000000003</v>
      </c>
      <c r="I3108" s="460">
        <v>26.90737</v>
      </c>
      <c r="J3108" s="460">
        <v>102.67319999999999</v>
      </c>
      <c r="K3108" s="460">
        <v>10356.261270000001</v>
      </c>
      <c r="L3108" s="459" t="s">
        <v>539</v>
      </c>
      <c r="O3108">
        <v>27.565999999999999</v>
      </c>
      <c r="P3108" t="s">
        <v>9234</v>
      </c>
    </row>
    <row r="3109" spans="1:16" ht="14.4" x14ac:dyDescent="0.3">
      <c r="A3109">
        <v>284523</v>
      </c>
      <c r="B3109" t="str">
        <f t="shared" si="96"/>
        <v>SEVROLL Pax rączka 3 m, biały połysk</v>
      </c>
      <c r="C3109" s="185">
        <f t="shared" si="97"/>
        <v>114.07680000000001</v>
      </c>
      <c r="D3109" s="407" t="s">
        <v>3248</v>
      </c>
      <c r="E3109" s="407" t="s">
        <v>4828</v>
      </c>
      <c r="F3109" s="407" t="s">
        <v>4829</v>
      </c>
      <c r="G3109" s="407" t="s">
        <v>4830</v>
      </c>
      <c r="H3109" s="460">
        <v>831.58642999999995</v>
      </c>
      <c r="I3109" s="460">
        <v>29.89997</v>
      </c>
      <c r="J3109" s="460">
        <v>114.07680000000001</v>
      </c>
      <c r="K3109" s="460">
        <v>11508.069799999999</v>
      </c>
      <c r="L3109" s="459" t="s">
        <v>539</v>
      </c>
      <c r="O3109">
        <v>30.623999999999999</v>
      </c>
      <c r="P3109" t="s">
        <v>9256</v>
      </c>
    </row>
    <row r="3110" spans="1:16" ht="14.4" x14ac:dyDescent="0.3">
      <c r="A3110">
        <v>284525</v>
      </c>
      <c r="B3110" t="str">
        <f t="shared" si="96"/>
        <v>SEVROLL Pax tor dolny 3m biały połysk</v>
      </c>
      <c r="C3110" s="185">
        <f t="shared" si="97"/>
        <v>112.2</v>
      </c>
      <c r="D3110" s="407" t="s">
        <v>3249</v>
      </c>
      <c r="E3110" s="407" t="s">
        <v>4815</v>
      </c>
      <c r="F3110" s="407" t="s">
        <v>4816</v>
      </c>
      <c r="G3110" s="407" t="s">
        <v>4817</v>
      </c>
      <c r="H3110" s="460">
        <v>816.38773000000003</v>
      </c>
      <c r="I3110" s="460">
        <v>29.353490000000001</v>
      </c>
      <c r="J3110" s="460">
        <v>112.2</v>
      </c>
      <c r="K3110" s="460">
        <v>11297.73933</v>
      </c>
      <c r="L3110" s="459" t="s">
        <v>539</v>
      </c>
      <c r="O3110">
        <v>30.117999999999999</v>
      </c>
      <c r="P3110" t="s">
        <v>9253</v>
      </c>
    </row>
    <row r="3111" spans="1:16" ht="14.4" x14ac:dyDescent="0.3">
      <c r="A3111">
        <v>284526</v>
      </c>
      <c r="B3111" t="str">
        <f t="shared" si="96"/>
        <v>SEVROLL Pax maskownica dolna 3m 4mm biały połysk</v>
      </c>
      <c r="C3111" s="185">
        <f t="shared" si="97"/>
        <v>129.11160000000001</v>
      </c>
      <c r="D3111" s="407" t="s">
        <v>3250</v>
      </c>
      <c r="E3111" s="407" t="s">
        <v>4882</v>
      </c>
      <c r="F3111" s="407" t="s">
        <v>4883</v>
      </c>
      <c r="G3111" s="407" t="s">
        <v>4884</v>
      </c>
      <c r="H3111" s="460">
        <v>940.87237000000005</v>
      </c>
      <c r="I3111" s="460">
        <v>33.82938</v>
      </c>
      <c r="J3111" s="460">
        <v>129.11160000000001</v>
      </c>
      <c r="K3111" s="460">
        <v>13020.44433</v>
      </c>
      <c r="L3111" s="459" t="s">
        <v>539</v>
      </c>
      <c r="O3111">
        <v>34.671999999999997</v>
      </c>
      <c r="P3111" t="s">
        <v>9269</v>
      </c>
    </row>
    <row r="3112" spans="1:16" ht="14.4" x14ac:dyDescent="0.3">
      <c r="A3112">
        <v>284529</v>
      </c>
      <c r="B3112" t="str">
        <f t="shared" si="96"/>
        <v>SEVROLL Pax zaślepka do rączki (4 szt), biały połysk</v>
      </c>
      <c r="C3112" s="185">
        <f t="shared" si="97"/>
        <v>34.68</v>
      </c>
      <c r="D3112" s="407" t="s">
        <v>3251</v>
      </c>
      <c r="E3112" s="407" t="s">
        <v>4060</v>
      </c>
      <c r="F3112" s="407" t="s">
        <v>4061</v>
      </c>
      <c r="G3112" s="407" t="s">
        <v>4062</v>
      </c>
      <c r="H3112" s="460">
        <v>267.26607999999999</v>
      </c>
      <c r="I3112" s="460">
        <v>9.0558599999999991</v>
      </c>
      <c r="J3112" s="460">
        <v>34.68</v>
      </c>
      <c r="K3112" s="460">
        <v>3567.4838199999999</v>
      </c>
      <c r="L3112" s="459" t="s">
        <v>539</v>
      </c>
      <c r="O3112">
        <v>9.3059999999999992</v>
      </c>
      <c r="P3112" t="s">
        <v>9018</v>
      </c>
    </row>
    <row r="3113" spans="1:16" ht="14.4" x14ac:dyDescent="0.3">
      <c r="A3113">
        <v>284539</v>
      </c>
      <c r="B3113" t="str">
        <f t="shared" si="96"/>
        <v>SEVROLL Rex rączka 2,7m srebrny</v>
      </c>
      <c r="C3113" s="185" t="e">
        <f t="shared" si="97"/>
        <v>#N/A</v>
      </c>
      <c r="D3113" s="407" t="s">
        <v>3252</v>
      </c>
      <c r="E3113" s="407" t="s">
        <v>4667</v>
      </c>
      <c r="F3113" s="407" t="s">
        <v>1212</v>
      </c>
      <c r="G3113" s="407" t="s">
        <v>4668</v>
      </c>
      <c r="H3113" s="460" t="e">
        <v>#N/A</v>
      </c>
      <c r="I3113" s="460" t="e">
        <v>#N/A</v>
      </c>
      <c r="J3113" s="460" t="e">
        <v>#N/A</v>
      </c>
      <c r="K3113" s="460" t="e">
        <v>#N/A</v>
      </c>
      <c r="L3113" s="459" t="e">
        <v>#N/A</v>
      </c>
      <c r="O3113" t="e">
        <v>#N/A</v>
      </c>
      <c r="P3113" t="e">
        <v>#N/A</v>
      </c>
    </row>
    <row r="3114" spans="1:16" ht="14.4" x14ac:dyDescent="0.3">
      <c r="A3114">
        <v>284540</v>
      </c>
      <c r="B3114" t="str">
        <f t="shared" si="96"/>
        <v>SEVROLL Maxim wózek górny 18mm asymetryczny - 2szt</v>
      </c>
      <c r="C3114" s="185">
        <f t="shared" si="97"/>
        <v>24.2668</v>
      </c>
      <c r="D3114" s="407" t="s">
        <v>3253</v>
      </c>
      <c r="E3114" s="407" t="s">
        <v>3921</v>
      </c>
      <c r="F3114" s="407" t="s">
        <v>3922</v>
      </c>
      <c r="G3114" s="407" t="s">
        <v>3923</v>
      </c>
      <c r="H3114" s="460">
        <v>199.57113000000001</v>
      </c>
      <c r="I3114" s="460">
        <v>7.1822600000000003</v>
      </c>
      <c r="J3114" s="460">
        <v>24.2668</v>
      </c>
      <c r="K3114" s="460">
        <v>2849.8865099999998</v>
      </c>
      <c r="L3114" s="459" t="s">
        <v>540</v>
      </c>
      <c r="O3114">
        <v>6.4459999999999997</v>
      </c>
      <c r="P3114" t="s">
        <v>8973</v>
      </c>
    </row>
    <row r="3115" spans="1:16" ht="14.4" x14ac:dyDescent="0.3">
      <c r="A3115">
        <v>284589</v>
      </c>
      <c r="B3115" t="str">
        <f t="shared" si="96"/>
        <v>SEVROLL tor górny INTER S 35kg do sufitu 1,5m</v>
      </c>
      <c r="C3115" s="185" t="e">
        <f t="shared" si="97"/>
        <v>#N/A</v>
      </c>
      <c r="D3115" s="407" t="s">
        <v>3254</v>
      </c>
      <c r="E3115" s="407" t="s">
        <v>5676</v>
      </c>
      <c r="F3115" s="407" t="s">
        <v>5677</v>
      </c>
      <c r="G3115" s="407" t="s">
        <v>5678</v>
      </c>
      <c r="H3115" s="460" t="e">
        <v>#N/A</v>
      </c>
      <c r="I3115" s="460" t="e">
        <v>#N/A</v>
      </c>
      <c r="J3115" s="460" t="e">
        <v>#N/A</v>
      </c>
      <c r="K3115" s="460" t="e">
        <v>#N/A</v>
      </c>
      <c r="L3115" s="459" t="e">
        <v>#N/A</v>
      </c>
      <c r="O3115" t="e">
        <v>#N/A</v>
      </c>
      <c r="P3115" t="e">
        <v>#N/A</v>
      </c>
    </row>
    <row r="3116" spans="1:16" ht="14.4" x14ac:dyDescent="0.3">
      <c r="A3116">
        <v>284590</v>
      </c>
      <c r="B3116" t="str">
        <f t="shared" si="96"/>
        <v>SEVROLL tor górny INTER B 35kg do ściany 1,5m</v>
      </c>
      <c r="C3116" s="185" t="e">
        <f t="shared" si="97"/>
        <v>#N/A</v>
      </c>
      <c r="D3116" s="407" t="s">
        <v>3255</v>
      </c>
      <c r="E3116" s="407" t="s">
        <v>5682</v>
      </c>
      <c r="F3116" s="407" t="s">
        <v>5683</v>
      </c>
      <c r="G3116" s="407" t="s">
        <v>5684</v>
      </c>
      <c r="H3116" s="460" t="e">
        <v>#N/A</v>
      </c>
      <c r="I3116" s="460" t="e">
        <v>#N/A</v>
      </c>
      <c r="J3116" s="460" t="e">
        <v>#N/A</v>
      </c>
      <c r="K3116" s="460" t="e">
        <v>#N/A</v>
      </c>
      <c r="L3116" s="459" t="e">
        <v>#N/A</v>
      </c>
      <c r="O3116">
        <v>7.6779999999999999</v>
      </c>
      <c r="P3116" t="s">
        <v>9524</v>
      </c>
    </row>
    <row r="3117" spans="1:16" ht="14.4" x14ac:dyDescent="0.3">
      <c r="A3117">
        <v>284592</v>
      </c>
      <c r="B3117" t="str">
        <f t="shared" si="96"/>
        <v>SEVROLL Rex rączka 2,7m jasny brąz</v>
      </c>
      <c r="C3117" s="185" t="e">
        <f t="shared" si="97"/>
        <v>#N/A</v>
      </c>
      <c r="D3117" s="407" t="s">
        <v>3256</v>
      </c>
      <c r="E3117" s="407" t="s">
        <v>4721</v>
      </c>
      <c r="F3117" s="407" t="s">
        <v>1105</v>
      </c>
      <c r="G3117" s="407" t="s">
        <v>4722</v>
      </c>
      <c r="H3117" s="460" t="e">
        <v>#N/A</v>
      </c>
      <c r="I3117" s="460" t="e">
        <v>#N/A</v>
      </c>
      <c r="J3117" s="460" t="e">
        <v>#N/A</v>
      </c>
      <c r="K3117" s="460" t="e">
        <v>#N/A</v>
      </c>
      <c r="L3117" s="459" t="e">
        <v>#N/A</v>
      </c>
      <c r="O3117" t="e">
        <v>#N/A</v>
      </c>
      <c r="P3117" t="e">
        <v>#N/A</v>
      </c>
    </row>
    <row r="3118" spans="1:16" ht="14.4" x14ac:dyDescent="0.3">
      <c r="A3118">
        <v>284597</v>
      </c>
      <c r="B3118" t="str">
        <f t="shared" si="96"/>
        <v>SEVROLL Focus II 16 mm rączka 2,7 m, złota</v>
      </c>
      <c r="C3118" s="185">
        <f t="shared" si="97"/>
        <v>36.509929999999997</v>
      </c>
      <c r="D3118" s="407" t="s">
        <v>3257</v>
      </c>
      <c r="E3118" s="407" t="s">
        <v>5237</v>
      </c>
      <c r="F3118" s="407" t="s">
        <v>1167</v>
      </c>
      <c r="G3118" s="407" t="s">
        <v>5238</v>
      </c>
      <c r="H3118" s="460">
        <v>295.28917999999999</v>
      </c>
      <c r="I3118" s="460">
        <v>10.61722</v>
      </c>
      <c r="J3118" s="460">
        <v>36.509929999999997</v>
      </c>
      <c r="K3118" s="460">
        <v>4086.4163100000001</v>
      </c>
      <c r="L3118" s="459" t="s">
        <v>539</v>
      </c>
      <c r="O3118">
        <v>8.9760000000000009</v>
      </c>
      <c r="P3118" t="s">
        <v>9370</v>
      </c>
    </row>
    <row r="3119" spans="1:16" ht="14.4" x14ac:dyDescent="0.3">
      <c r="A3119">
        <v>284598</v>
      </c>
      <c r="B3119" t="str">
        <f t="shared" si="96"/>
        <v>SEVROLL Focus II 18 mm rączka 2,7 m, złota</v>
      </c>
      <c r="C3119" s="185">
        <f t="shared" si="97"/>
        <v>36.509929999999997</v>
      </c>
      <c r="D3119" s="407" t="s">
        <v>3258</v>
      </c>
      <c r="E3119" s="407" t="s">
        <v>3904</v>
      </c>
      <c r="F3119" s="407" t="s">
        <v>3258</v>
      </c>
      <c r="G3119" s="407" t="s">
        <v>3905</v>
      </c>
      <c r="H3119" s="460">
        <v>295.28917999999999</v>
      </c>
      <c r="I3119" s="460">
        <v>10.61722</v>
      </c>
      <c r="J3119" s="460">
        <v>36.509929999999997</v>
      </c>
      <c r="K3119" s="460">
        <v>4086.4163100000001</v>
      </c>
      <c r="L3119" s="459" t="s">
        <v>539</v>
      </c>
      <c r="O3119">
        <v>8.9760000000000009</v>
      </c>
      <c r="P3119" t="s">
        <v>8969</v>
      </c>
    </row>
    <row r="3120" spans="1:16" ht="14.4" x14ac:dyDescent="0.3">
      <c r="A3120">
        <v>284599</v>
      </c>
      <c r="B3120" t="str">
        <f t="shared" si="96"/>
        <v>SEVROLL Uno rączka 18 mm 2,70 m, srebrna</v>
      </c>
      <c r="C3120" s="185">
        <f t="shared" si="97"/>
        <v>40.982089999999999</v>
      </c>
      <c r="D3120" s="407" t="s">
        <v>3259</v>
      </c>
      <c r="E3120" s="407" t="s">
        <v>4109</v>
      </c>
      <c r="F3120" s="407" t="s">
        <v>4110</v>
      </c>
      <c r="G3120" s="407" t="s">
        <v>4111</v>
      </c>
      <c r="H3120" s="460">
        <v>327.89949999999999</v>
      </c>
      <c r="I3120" s="460">
        <v>11.91835</v>
      </c>
      <c r="J3120" s="460">
        <v>40.982089999999999</v>
      </c>
      <c r="K3120" s="460">
        <v>4659.1587399999999</v>
      </c>
      <c r="L3120" s="459" t="s">
        <v>539</v>
      </c>
      <c r="O3120">
        <v>11.154</v>
      </c>
      <c r="P3120" t="s">
        <v>9033</v>
      </c>
    </row>
    <row r="3121" spans="1:16" ht="14.4" x14ac:dyDescent="0.3">
      <c r="A3121">
        <v>284600</v>
      </c>
      <c r="B3121" t="str">
        <f t="shared" si="96"/>
        <v>SEVROLL Uno rączka 18mm 2,70m, jasny brąz</v>
      </c>
      <c r="C3121" s="185">
        <f t="shared" si="97"/>
        <v>48.53633</v>
      </c>
      <c r="D3121" s="407" t="s">
        <v>3260</v>
      </c>
      <c r="E3121" s="407" t="s">
        <v>4205</v>
      </c>
      <c r="F3121" s="407" t="s">
        <v>1088</v>
      </c>
      <c r="G3121" s="407" t="s">
        <v>4206</v>
      </c>
      <c r="H3121" s="460">
        <v>398.06139999999999</v>
      </c>
      <c r="I3121" s="460">
        <v>14.46857</v>
      </c>
      <c r="J3121" s="460">
        <v>48.53633</v>
      </c>
      <c r="K3121" s="460">
        <v>5656.0965699999997</v>
      </c>
      <c r="L3121" s="459" t="s">
        <v>539</v>
      </c>
      <c r="O3121">
        <v>12.231999999999999</v>
      </c>
      <c r="P3121" t="s">
        <v>9063</v>
      </c>
    </row>
    <row r="3122" spans="1:16" ht="14.4" x14ac:dyDescent="0.3">
      <c r="A3122">
        <v>284601</v>
      </c>
      <c r="B3122" t="str">
        <f t="shared" si="96"/>
        <v>SEVROLL wózek górny Simple 18mm symetryczny L+P</v>
      </c>
      <c r="C3122" s="185">
        <f t="shared" si="97"/>
        <v>7.5828699999999998</v>
      </c>
      <c r="D3122" s="407" t="s">
        <v>3261</v>
      </c>
      <c r="E3122" s="407" t="s">
        <v>6200</v>
      </c>
      <c r="F3122" s="407" t="s">
        <v>1237</v>
      </c>
      <c r="G3122" s="407" t="s">
        <v>6201</v>
      </c>
      <c r="H3122" s="460">
        <v>60.943179999999998</v>
      </c>
      <c r="I3122" s="460">
        <v>2.16614</v>
      </c>
      <c r="J3122" s="460">
        <v>7.5828699999999998</v>
      </c>
      <c r="K3122" s="460">
        <v>778.25313000000006</v>
      </c>
      <c r="L3122" s="459" t="s">
        <v>540</v>
      </c>
      <c r="O3122">
        <v>1.87</v>
      </c>
      <c r="P3122" t="s">
        <v>8849</v>
      </c>
    </row>
    <row r="3123" spans="1:16" ht="14.4" x14ac:dyDescent="0.3">
      <c r="A3123">
        <v>284957</v>
      </c>
      <c r="B3123" t="str">
        <f t="shared" si="96"/>
        <v>SEVROLL Maxim tor 2,5 m, jsny brąz</v>
      </c>
      <c r="C3123" s="185" t="e">
        <f t="shared" si="97"/>
        <v>#N/A</v>
      </c>
      <c r="D3123" s="407" t="s">
        <v>3262</v>
      </c>
      <c r="E3123" s="407" t="s">
        <v>4655</v>
      </c>
      <c r="F3123" s="407" t="s">
        <v>4656</v>
      </c>
      <c r="G3123" s="407" t="s">
        <v>4657</v>
      </c>
      <c r="H3123" s="460" t="e">
        <v>#N/A</v>
      </c>
      <c r="I3123" s="460" t="e">
        <v>#N/A</v>
      </c>
      <c r="J3123" s="460" t="e">
        <v>#N/A</v>
      </c>
      <c r="K3123" s="460" t="e">
        <v>#N/A</v>
      </c>
      <c r="L3123" s="459" t="e">
        <v>#N/A</v>
      </c>
      <c r="O3123" t="e">
        <v>#N/A</v>
      </c>
      <c r="P3123" t="e">
        <v>#N/A</v>
      </c>
    </row>
    <row r="3124" spans="1:16" ht="14.4" x14ac:dyDescent="0.3">
      <c r="A3124">
        <v>284958</v>
      </c>
      <c r="B3124" t="str">
        <f t="shared" si="96"/>
        <v>SEVROLL Maxim maskownica dolna 2,5 m, jasny brąz</v>
      </c>
      <c r="C3124" s="185" t="e">
        <f t="shared" si="97"/>
        <v>#N/A</v>
      </c>
      <c r="D3124" s="407" t="s">
        <v>3263</v>
      </c>
      <c r="E3124" s="407" t="s">
        <v>4859</v>
      </c>
      <c r="F3124" s="407" t="s">
        <v>4860</v>
      </c>
      <c r="G3124" s="407" t="s">
        <v>4861</v>
      </c>
      <c r="H3124" s="460" t="e">
        <v>#N/A</v>
      </c>
      <c r="I3124" s="460" t="e">
        <v>#N/A</v>
      </c>
      <c r="J3124" s="460" t="e">
        <v>#N/A</v>
      </c>
      <c r="K3124" s="460" t="e">
        <v>#N/A</v>
      </c>
      <c r="L3124" s="459" t="e">
        <v>#N/A</v>
      </c>
      <c r="O3124" t="e">
        <v>#N/A</v>
      </c>
      <c r="P3124" t="e">
        <v>#N/A</v>
      </c>
    </row>
    <row r="3125" spans="1:16" ht="14.4" x14ac:dyDescent="0.3">
      <c r="A3125">
        <v>284970</v>
      </c>
      <c r="B3125" t="str">
        <f t="shared" si="96"/>
        <v>SEVROLL Maxim tor 3,5m, jasny brąz</v>
      </c>
      <c r="C3125" s="185" t="e">
        <f t="shared" si="97"/>
        <v>#N/A</v>
      </c>
      <c r="D3125" s="407" t="s">
        <v>3264</v>
      </c>
      <c r="E3125" s="407" t="s">
        <v>4862</v>
      </c>
      <c r="F3125" s="407" t="s">
        <v>4863</v>
      </c>
      <c r="G3125" s="407" t="s">
        <v>4864</v>
      </c>
      <c r="H3125" s="460" t="e">
        <v>#N/A</v>
      </c>
      <c r="I3125" s="460" t="e">
        <v>#N/A</v>
      </c>
      <c r="J3125" s="460" t="e">
        <v>#N/A</v>
      </c>
      <c r="K3125" s="460" t="e">
        <v>#N/A</v>
      </c>
      <c r="L3125" s="459" t="e">
        <v>#N/A</v>
      </c>
      <c r="O3125" t="e">
        <v>#N/A</v>
      </c>
      <c r="P3125" t="e">
        <v>#N/A</v>
      </c>
    </row>
    <row r="3126" spans="1:16" ht="14.4" x14ac:dyDescent="0.3">
      <c r="A3126">
        <v>284971</v>
      </c>
      <c r="B3126" t="str">
        <f t="shared" si="96"/>
        <v>SEVROLL Maxim maskownica dolna 3,5m 18mm, jasny brąz</v>
      </c>
      <c r="C3126" s="185" t="e">
        <f t="shared" si="97"/>
        <v>#N/A</v>
      </c>
      <c r="D3126" s="407" t="s">
        <v>3265</v>
      </c>
      <c r="E3126" s="407" t="s">
        <v>4984</v>
      </c>
      <c r="F3126" s="407" t="s">
        <v>4985</v>
      </c>
      <c r="G3126" s="407" t="s">
        <v>4986</v>
      </c>
      <c r="H3126" s="460" t="e">
        <v>#N/A</v>
      </c>
      <c r="I3126" s="460" t="e">
        <v>#N/A</v>
      </c>
      <c r="J3126" s="460" t="e">
        <v>#N/A</v>
      </c>
      <c r="K3126" s="460" t="e">
        <v>#N/A</v>
      </c>
      <c r="L3126" s="459" t="e">
        <v>#N/A</v>
      </c>
      <c r="O3126" t="e">
        <v>#N/A</v>
      </c>
      <c r="P3126" t="e">
        <v>#N/A</v>
      </c>
    </row>
    <row r="3127" spans="1:16" ht="14.4" x14ac:dyDescent="0.3">
      <c r="A3127">
        <v>284972</v>
      </c>
      <c r="B3127" t="str">
        <f t="shared" si="96"/>
        <v>SEVROLL Maxim tor górny 2,5m jasny brąz</v>
      </c>
      <c r="C3127" s="185" t="e">
        <f t="shared" si="97"/>
        <v>#N/A</v>
      </c>
      <c r="D3127" s="407" t="s">
        <v>3266</v>
      </c>
      <c r="E3127" s="407" t="s">
        <v>4840</v>
      </c>
      <c r="F3127" s="407" t="s">
        <v>1133</v>
      </c>
      <c r="G3127" s="407" t="s">
        <v>4841</v>
      </c>
      <c r="H3127" s="460" t="e">
        <v>#N/A</v>
      </c>
      <c r="I3127" s="460" t="e">
        <v>#N/A</v>
      </c>
      <c r="J3127" s="460" t="e">
        <v>#N/A</v>
      </c>
      <c r="K3127" s="460" t="e">
        <v>#N/A</v>
      </c>
      <c r="L3127" s="459" t="e">
        <v>#N/A</v>
      </c>
      <c r="O3127" t="e">
        <v>#N/A</v>
      </c>
      <c r="P3127" t="e">
        <v>#N/A</v>
      </c>
    </row>
    <row r="3128" spans="1:16" ht="14.4" x14ac:dyDescent="0.3">
      <c r="A3128">
        <v>284973</v>
      </c>
      <c r="B3128" t="str">
        <f t="shared" si="96"/>
        <v>SEVROLL Maxim tor górny 3,5m jasny brąz</v>
      </c>
      <c r="C3128" s="185" t="e">
        <f t="shared" si="97"/>
        <v>#N/A</v>
      </c>
      <c r="D3128" s="407" t="s">
        <v>3267</v>
      </c>
      <c r="E3128" s="407" t="s">
        <v>4969</v>
      </c>
      <c r="F3128" s="407" t="s">
        <v>1132</v>
      </c>
      <c r="G3128" s="407" t="s">
        <v>4970</v>
      </c>
      <c r="H3128" s="460" t="e">
        <v>#N/A</v>
      </c>
      <c r="I3128" s="460" t="e">
        <v>#N/A</v>
      </c>
      <c r="J3128" s="460" t="e">
        <v>#N/A</v>
      </c>
      <c r="K3128" s="460" t="e">
        <v>#N/A</v>
      </c>
      <c r="L3128" s="459" t="e">
        <v>#N/A</v>
      </c>
      <c r="O3128" t="e">
        <v>#N/A</v>
      </c>
      <c r="P3128" t="e">
        <v>#N/A</v>
      </c>
    </row>
    <row r="3129" spans="1:16" ht="14.4" x14ac:dyDescent="0.3">
      <c r="A3129">
        <v>284974</v>
      </c>
      <c r="B3129" t="str">
        <f t="shared" si="96"/>
        <v>SEVROLL Maxim II tor dolny 2,5m jasny brąz</v>
      </c>
      <c r="C3129" s="185" t="e">
        <f t="shared" si="97"/>
        <v>#N/A</v>
      </c>
      <c r="D3129" s="407" t="s">
        <v>3268</v>
      </c>
      <c r="E3129" s="407" t="s">
        <v>4472</v>
      </c>
      <c r="F3129" s="407" t="s">
        <v>1129</v>
      </c>
      <c r="G3129" s="407" t="s">
        <v>4473</v>
      </c>
      <c r="H3129" s="460" t="e">
        <v>#N/A</v>
      </c>
      <c r="I3129" s="460" t="e">
        <v>#N/A</v>
      </c>
      <c r="J3129" s="460" t="e">
        <v>#N/A</v>
      </c>
      <c r="K3129" s="460" t="e">
        <v>#N/A</v>
      </c>
      <c r="L3129" s="459" t="e">
        <v>#N/A</v>
      </c>
      <c r="O3129" t="e">
        <v>#N/A</v>
      </c>
      <c r="P3129" t="e">
        <v>#N/A</v>
      </c>
    </row>
    <row r="3130" spans="1:16" ht="14.4" x14ac:dyDescent="0.3">
      <c r="A3130">
        <v>284975</v>
      </c>
      <c r="B3130" t="str">
        <f t="shared" si="96"/>
        <v>SEVROLL Maxim II tor dolny 3,5m jasny brąz</v>
      </c>
      <c r="C3130" s="185" t="e">
        <f t="shared" si="97"/>
        <v>#N/A</v>
      </c>
      <c r="D3130" s="407" t="s">
        <v>3269</v>
      </c>
      <c r="E3130" s="407" t="s">
        <v>4723</v>
      </c>
      <c r="F3130" s="407" t="s">
        <v>1128</v>
      </c>
      <c r="G3130" s="407" t="s">
        <v>4724</v>
      </c>
      <c r="H3130" s="460" t="e">
        <v>#N/A</v>
      </c>
      <c r="I3130" s="460" t="e">
        <v>#N/A</v>
      </c>
      <c r="J3130" s="460" t="e">
        <v>#N/A</v>
      </c>
      <c r="K3130" s="460" t="e">
        <v>#N/A</v>
      </c>
      <c r="L3130" s="459" t="e">
        <v>#N/A</v>
      </c>
      <c r="O3130" t="e">
        <v>#N/A</v>
      </c>
      <c r="P3130" t="e">
        <v>#N/A</v>
      </c>
    </row>
    <row r="3131" spans="1:16" ht="14.4" x14ac:dyDescent="0.3">
      <c r="A3131">
        <v>284976</v>
      </c>
      <c r="B3131" t="str">
        <f t="shared" si="96"/>
        <v>SEVROLL Maxim II maskownica 2,5m, jasny brąz</v>
      </c>
      <c r="C3131" s="185" t="e">
        <f t="shared" si="97"/>
        <v>#N/A</v>
      </c>
      <c r="D3131" s="407" t="s">
        <v>3270</v>
      </c>
      <c r="E3131" s="407" t="s">
        <v>3946</v>
      </c>
      <c r="F3131" s="407" t="s">
        <v>3270</v>
      </c>
      <c r="G3131" s="407" t="s">
        <v>3947</v>
      </c>
      <c r="H3131" s="460" t="e">
        <v>#N/A</v>
      </c>
      <c r="I3131" s="460" t="e">
        <v>#N/A</v>
      </c>
      <c r="J3131" s="460" t="e">
        <v>#N/A</v>
      </c>
      <c r="K3131" s="460" t="e">
        <v>#N/A</v>
      </c>
      <c r="L3131" s="459" t="e">
        <v>#N/A</v>
      </c>
      <c r="O3131" t="e">
        <v>#N/A</v>
      </c>
      <c r="P3131" t="e">
        <v>#N/A</v>
      </c>
    </row>
    <row r="3132" spans="1:16" ht="14.4" x14ac:dyDescent="0.3">
      <c r="A3132">
        <v>284977</v>
      </c>
      <c r="B3132" t="str">
        <f t="shared" si="96"/>
        <v>SEVROLL Maxim II maskownica 3,5m, jasny brąz</v>
      </c>
      <c r="C3132" s="185" t="e">
        <f t="shared" si="97"/>
        <v>#N/A</v>
      </c>
      <c r="D3132" s="407" t="s">
        <v>3271</v>
      </c>
      <c r="E3132" s="407" t="s">
        <v>4191</v>
      </c>
      <c r="F3132" s="407" t="s">
        <v>3271</v>
      </c>
      <c r="G3132" s="407" t="s">
        <v>4192</v>
      </c>
      <c r="H3132" s="460" t="e">
        <v>#N/A</v>
      </c>
      <c r="I3132" s="460" t="e">
        <v>#N/A</v>
      </c>
      <c r="J3132" s="460" t="e">
        <v>#N/A</v>
      </c>
      <c r="K3132" s="460" t="e">
        <v>#N/A</v>
      </c>
      <c r="L3132" s="459" t="e">
        <v>#N/A</v>
      </c>
      <c r="O3132" t="e">
        <v>#N/A</v>
      </c>
      <c r="P3132" t="e">
        <v>#N/A</v>
      </c>
    </row>
    <row r="3133" spans="1:16" ht="14.4" x14ac:dyDescent="0.3">
      <c r="A3133">
        <v>288125</v>
      </c>
      <c r="B3133" t="str">
        <f t="shared" si="96"/>
        <v>SEVROLL Pax uchwyt przyklejany biały</v>
      </c>
      <c r="C3133" s="185">
        <f t="shared" si="97"/>
        <v>31.518000000000001</v>
      </c>
      <c r="D3133" s="407" t="s">
        <v>3272</v>
      </c>
      <c r="E3133" s="407" t="s">
        <v>4082</v>
      </c>
      <c r="F3133" s="407" t="s">
        <v>4083</v>
      </c>
      <c r="G3133" s="407" t="s">
        <v>4084</v>
      </c>
      <c r="H3133" s="460">
        <v>222.91437999999999</v>
      </c>
      <c r="I3133" s="460">
        <v>8.0149600000000003</v>
      </c>
      <c r="J3133" s="460">
        <v>31.518000000000001</v>
      </c>
      <c r="K3133" s="460">
        <v>3084.84366</v>
      </c>
      <c r="L3133" s="459" t="s">
        <v>538</v>
      </c>
      <c r="O3133">
        <v>8.4700000000000006</v>
      </c>
      <c r="P3133" t="s">
        <v>9026</v>
      </c>
    </row>
    <row r="3134" spans="1:16" ht="14.4" x14ac:dyDescent="0.3">
      <c r="A3134">
        <v>288126</v>
      </c>
      <c r="B3134" t="str">
        <f t="shared" si="96"/>
        <v>SEVROLL Pax uchwyt przyklejany srebrny</v>
      </c>
      <c r="C3134" s="185">
        <f t="shared" si="97"/>
        <v>24.255600000000001</v>
      </c>
      <c r="D3134" s="407" t="s">
        <v>3273</v>
      </c>
      <c r="E3134" s="407" t="s">
        <v>3940</v>
      </c>
      <c r="F3134" s="407" t="s">
        <v>3941</v>
      </c>
      <c r="G3134" s="407" t="s">
        <v>3942</v>
      </c>
      <c r="H3134" s="460">
        <v>171.52828</v>
      </c>
      <c r="I3134" s="460">
        <v>6.1673600000000004</v>
      </c>
      <c r="J3134" s="460">
        <v>24.255600000000001</v>
      </c>
      <c r="K3134" s="460">
        <v>2373.7272499999999</v>
      </c>
      <c r="L3134" s="459" t="s">
        <v>538</v>
      </c>
      <c r="O3134">
        <v>6.5119999999999996</v>
      </c>
      <c r="P3134" t="s">
        <v>8980</v>
      </c>
    </row>
    <row r="3135" spans="1:16" ht="14.4" x14ac:dyDescent="0.3">
      <c r="A3135">
        <v>288252</v>
      </c>
      <c r="B3135" t="str">
        <f t="shared" si="96"/>
        <v>SEVROLL Alfa II rączka 18mm 2,7m czarny mat</v>
      </c>
      <c r="C3135" s="185">
        <f t="shared" si="97"/>
        <v>66.463200000000001</v>
      </c>
      <c r="D3135" s="407" t="s">
        <v>1543</v>
      </c>
      <c r="E3135" s="407" t="s">
        <v>1971</v>
      </c>
      <c r="F3135" s="407" t="s">
        <v>6054</v>
      </c>
      <c r="G3135" s="407" t="s">
        <v>2480</v>
      </c>
      <c r="H3135" s="460">
        <v>457.40872000000002</v>
      </c>
      <c r="I3135" s="460">
        <v>16.44107</v>
      </c>
      <c r="J3135" s="460">
        <v>66.463200000000001</v>
      </c>
      <c r="K3135" s="460">
        <v>6329.9391800000003</v>
      </c>
      <c r="L3135" s="459" t="s">
        <v>538</v>
      </c>
      <c r="O3135">
        <v>17.666</v>
      </c>
      <c r="P3135" t="s">
        <v>10160</v>
      </c>
    </row>
    <row r="3136" spans="1:16" ht="14.4" x14ac:dyDescent="0.3">
      <c r="A3136">
        <v>288675</v>
      </c>
      <c r="B3136" t="str">
        <f t="shared" si="96"/>
        <v>SEVROLL Linea drążek meblowy owalny 3m srebrny</v>
      </c>
      <c r="C3136" s="185">
        <f t="shared" si="97"/>
        <v>50.887799999999999</v>
      </c>
      <c r="D3136" s="407" t="s">
        <v>1544</v>
      </c>
      <c r="E3136" s="407" t="s">
        <v>1972</v>
      </c>
      <c r="F3136" s="407" t="s">
        <v>2183</v>
      </c>
      <c r="G3136" s="407" t="s">
        <v>2481</v>
      </c>
      <c r="H3136" s="460">
        <v>406.02260999999999</v>
      </c>
      <c r="I3136" s="460">
        <v>14.59868</v>
      </c>
      <c r="J3136" s="460">
        <v>50.887799999999999</v>
      </c>
      <c r="K3136" s="460">
        <v>5618.8223600000001</v>
      </c>
      <c r="L3136" s="459" t="s">
        <v>539</v>
      </c>
      <c r="O3136">
        <v>13.662000000000001</v>
      </c>
      <c r="P3136" t="s">
        <v>10163</v>
      </c>
    </row>
    <row r="3137" spans="1:16" ht="14.4" x14ac:dyDescent="0.3">
      <c r="A3137">
        <v>288676</v>
      </c>
      <c r="B3137" t="str">
        <f t="shared" si="96"/>
        <v>SEVROLL Linea łącznik kątowy profili</v>
      </c>
      <c r="C3137" s="185">
        <f t="shared" si="97"/>
        <v>4.5084</v>
      </c>
      <c r="D3137" s="407" t="s">
        <v>3274</v>
      </c>
      <c r="E3137" s="407" t="s">
        <v>1973</v>
      </c>
      <c r="F3137" s="407" t="s">
        <v>1545</v>
      </c>
      <c r="G3137" s="407" t="s">
        <v>2482</v>
      </c>
      <c r="H3137" s="460">
        <v>36.187399999999997</v>
      </c>
      <c r="I3137" s="460">
        <v>1.3011299999999999</v>
      </c>
      <c r="J3137" s="460">
        <v>4.5084</v>
      </c>
      <c r="K3137" s="460">
        <v>500.78631000000001</v>
      </c>
      <c r="L3137" s="459" t="s">
        <v>539</v>
      </c>
      <c r="O3137">
        <v>1.21</v>
      </c>
      <c r="P3137" t="s">
        <v>10164</v>
      </c>
    </row>
    <row r="3138" spans="1:16" ht="14.4" x14ac:dyDescent="0.3">
      <c r="A3138">
        <v>288677</v>
      </c>
      <c r="B3138" t="str">
        <f t="shared" si="96"/>
        <v>SEVROLL Linea mocowanie ścienne / sufitowe</v>
      </c>
      <c r="C3138" s="185">
        <f t="shared" si="97"/>
        <v>3.9066000000000001</v>
      </c>
      <c r="D3138" s="407" t="s">
        <v>1546</v>
      </c>
      <c r="E3138" s="407" t="s">
        <v>1974</v>
      </c>
      <c r="F3138" s="407" t="s">
        <v>2184</v>
      </c>
      <c r="G3138" s="407" t="s">
        <v>2483</v>
      </c>
      <c r="H3138" s="460">
        <v>31.12115</v>
      </c>
      <c r="I3138" s="460">
        <v>1.11897</v>
      </c>
      <c r="J3138" s="460">
        <v>3.9066000000000001</v>
      </c>
      <c r="K3138" s="460">
        <v>430.67615999999998</v>
      </c>
      <c r="L3138" s="459" t="s">
        <v>539</v>
      </c>
      <c r="O3138">
        <v>1.056</v>
      </c>
      <c r="P3138" t="s">
        <v>10165</v>
      </c>
    </row>
    <row r="3139" spans="1:16" ht="14.4" x14ac:dyDescent="0.3">
      <c r="A3139">
        <v>288678</v>
      </c>
      <c r="B3139" t="str">
        <f t="shared" si="96"/>
        <v>SEVROLL Linea nóżka z regulacją</v>
      </c>
      <c r="C3139" s="185">
        <f t="shared" si="97"/>
        <v>9.9857999999999993</v>
      </c>
      <c r="D3139" s="407" t="s">
        <v>1547</v>
      </c>
      <c r="E3139" s="407" t="s">
        <v>1975</v>
      </c>
      <c r="F3139" s="407" t="s">
        <v>2185</v>
      </c>
      <c r="G3139" s="407" t="s">
        <v>2484</v>
      </c>
      <c r="H3139" s="460">
        <v>79.612279999999998</v>
      </c>
      <c r="I3139" s="460">
        <v>2.8624900000000002</v>
      </c>
      <c r="J3139" s="460">
        <v>9.9857999999999993</v>
      </c>
      <c r="K3139" s="460">
        <v>1101.7299</v>
      </c>
      <c r="L3139" s="459" t="s">
        <v>539</v>
      </c>
      <c r="O3139">
        <v>2.6840000000000002</v>
      </c>
      <c r="P3139" t="s">
        <v>10166</v>
      </c>
    </row>
    <row r="3140" spans="1:16" ht="14.4" x14ac:dyDescent="0.3">
      <c r="A3140">
        <v>288679</v>
      </c>
      <c r="B3140" t="str">
        <f t="shared" ref="B3140:B3203" si="98">IF($A$2=1,D3140,IF($A$2=2,F3140,IF($A$2=3,G3140,IF($A$2=4,E3140,IF($A$2&gt;4,P3140,"zadat jazyk")))))</f>
        <v>SEVROLL Linea drążek meblowy okrągły 3 m alu srebrny</v>
      </c>
      <c r="C3140" s="185">
        <f t="shared" ref="C3140:C3203" si="99">IF($A$2=1,H3140,IF($A$2=2,I3140,IF($A$2=3,J3140,IF($A$2=4,K3140,IF($A$2&gt;4,O3140,"zadat jazyk")))))</f>
        <v>32.4831</v>
      </c>
      <c r="D3140" s="407" t="s">
        <v>1548</v>
      </c>
      <c r="E3140" s="407" t="s">
        <v>1976</v>
      </c>
      <c r="F3140" s="407" t="s">
        <v>2186</v>
      </c>
      <c r="G3140" s="407" t="s">
        <v>2485</v>
      </c>
      <c r="H3140" s="460">
        <v>262.72050999999999</v>
      </c>
      <c r="I3140" s="460">
        <v>9.4461999999999993</v>
      </c>
      <c r="J3140" s="460">
        <v>32.4831</v>
      </c>
      <c r="K3140" s="460">
        <v>3635.7085999999999</v>
      </c>
      <c r="L3140" s="459" t="s">
        <v>539</v>
      </c>
      <c r="O3140">
        <v>8.4039999999999999</v>
      </c>
      <c r="P3140" t="s">
        <v>10167</v>
      </c>
    </row>
    <row r="3141" spans="1:16" ht="14.4" x14ac:dyDescent="0.3">
      <c r="A3141">
        <v>288680</v>
      </c>
      <c r="B3141" t="str">
        <f t="shared" si="98"/>
        <v>SEVROLL Linea drążek meblowy okrągły 4 m, srebrny</v>
      </c>
      <c r="C3141" s="185" t="e">
        <f t="shared" si="99"/>
        <v>#N/A</v>
      </c>
      <c r="D3141" s="407" t="s">
        <v>1549</v>
      </c>
      <c r="E3141" s="407" t="s">
        <v>1977</v>
      </c>
      <c r="F3141" s="407" t="s">
        <v>2187</v>
      </c>
      <c r="G3141" s="407" t="s">
        <v>2486</v>
      </c>
      <c r="H3141" s="460" t="e">
        <v>#N/A</v>
      </c>
      <c r="I3141" s="460" t="e">
        <v>#N/A</v>
      </c>
      <c r="J3141" s="460" t="e">
        <v>#N/A</v>
      </c>
      <c r="K3141" s="460" t="e">
        <v>#N/A</v>
      </c>
      <c r="L3141" s="459" t="e">
        <v>#N/A</v>
      </c>
      <c r="O3141">
        <v>0</v>
      </c>
      <c r="P3141" t="s">
        <v>10168</v>
      </c>
    </row>
    <row r="3142" spans="1:16" ht="14.4" x14ac:dyDescent="0.3">
      <c r="A3142">
        <v>288681</v>
      </c>
      <c r="B3142" t="str">
        <f t="shared" si="98"/>
        <v>SEVROLL Linea Profil wnętrza 3 m, srebrny</v>
      </c>
      <c r="C3142" s="185">
        <f t="shared" si="99"/>
        <v>117.40448000000001</v>
      </c>
      <c r="D3142" s="407" t="s">
        <v>1550</v>
      </c>
      <c r="E3142" s="407" t="s">
        <v>1978</v>
      </c>
      <c r="F3142" s="407" t="s">
        <v>2188</v>
      </c>
      <c r="G3142" s="407" t="s">
        <v>6055</v>
      </c>
      <c r="H3142" s="460">
        <v>949.55733999999995</v>
      </c>
      <c r="I3142" s="460">
        <v>34.141649999999998</v>
      </c>
      <c r="J3142" s="460">
        <v>117.40448000000001</v>
      </c>
      <c r="K3142" s="460">
        <v>13140.63315</v>
      </c>
      <c r="L3142" s="459" t="s">
        <v>539</v>
      </c>
      <c r="O3142">
        <v>30.382000000000001</v>
      </c>
      <c r="P3142" t="s">
        <v>10169</v>
      </c>
    </row>
    <row r="3143" spans="1:16" ht="14.4" x14ac:dyDescent="0.3">
      <c r="A3143">
        <v>288682</v>
      </c>
      <c r="B3143" t="str">
        <f t="shared" si="98"/>
        <v>SEVROLL Linea wspornik drążka</v>
      </c>
      <c r="C3143" s="185">
        <f t="shared" si="99"/>
        <v>5.1901400000000004</v>
      </c>
      <c r="D3143" s="407" t="s">
        <v>1551</v>
      </c>
      <c r="E3143" s="407" t="s">
        <v>1979</v>
      </c>
      <c r="F3143" s="407" t="s">
        <v>2189</v>
      </c>
      <c r="G3143" s="407" t="s">
        <v>2487</v>
      </c>
      <c r="H3143" s="460">
        <v>41.97739</v>
      </c>
      <c r="I3143" s="460">
        <v>1.5093099999999999</v>
      </c>
      <c r="J3143" s="460">
        <v>5.1901400000000004</v>
      </c>
      <c r="K3143" s="460">
        <v>580.91206</v>
      </c>
      <c r="L3143" s="459" t="s">
        <v>539</v>
      </c>
      <c r="O3143">
        <v>1.3420000000000001</v>
      </c>
      <c r="P3143" t="s">
        <v>10170</v>
      </c>
    </row>
    <row r="3144" spans="1:16" ht="14.4" x14ac:dyDescent="0.3">
      <c r="A3144">
        <v>288683</v>
      </c>
      <c r="B3144" t="str">
        <f t="shared" si="98"/>
        <v>SEVROLL Linea wspornik półki</v>
      </c>
      <c r="C3144" s="185">
        <f t="shared" si="99"/>
        <v>9.5749200000000005</v>
      </c>
      <c r="D3144" s="407" t="s">
        <v>1552</v>
      </c>
      <c r="E3144" s="407" t="s">
        <v>1980</v>
      </c>
      <c r="F3144" s="407" t="s">
        <v>2190</v>
      </c>
      <c r="G3144" s="407" t="s">
        <v>2488</v>
      </c>
      <c r="H3144" s="460">
        <v>77.441040000000001</v>
      </c>
      <c r="I3144" s="460">
        <v>2.7844199999999999</v>
      </c>
      <c r="J3144" s="460">
        <v>9.5749200000000005</v>
      </c>
      <c r="K3144" s="460">
        <v>1071.68281</v>
      </c>
      <c r="L3144" s="459" t="s">
        <v>539</v>
      </c>
      <c r="O3144">
        <v>2.4860000000000002</v>
      </c>
      <c r="P3144" t="s">
        <v>10171</v>
      </c>
    </row>
    <row r="3145" spans="1:16" ht="14.4" x14ac:dyDescent="0.3">
      <c r="A3145">
        <v>288684</v>
      </c>
      <c r="B3145" t="str">
        <f t="shared" si="98"/>
        <v>SEVROLL Linea wspornik półki na buty</v>
      </c>
      <c r="C3145" s="185">
        <f t="shared" si="99"/>
        <v>11.81203</v>
      </c>
      <c r="D3145" s="407" t="s">
        <v>1553</v>
      </c>
      <c r="E3145" s="407" t="s">
        <v>1981</v>
      </c>
      <c r="F3145" s="407" t="s">
        <v>2191</v>
      </c>
      <c r="G3145" s="407" t="s">
        <v>2489</v>
      </c>
      <c r="H3145" s="460">
        <v>95.534729999999996</v>
      </c>
      <c r="I3145" s="460">
        <v>3.4349799999999999</v>
      </c>
      <c r="J3145" s="460">
        <v>11.81203</v>
      </c>
      <c r="K3145" s="460">
        <v>1322.0759599999999</v>
      </c>
      <c r="L3145" s="459" t="s">
        <v>539</v>
      </c>
      <c r="O3145">
        <v>3.0579999999999998</v>
      </c>
      <c r="P3145" t="s">
        <v>10172</v>
      </c>
    </row>
    <row r="3146" spans="1:16" ht="14.4" x14ac:dyDescent="0.3">
      <c r="A3146">
        <v>288685</v>
      </c>
      <c r="B3146" t="str">
        <f t="shared" si="98"/>
        <v>SEVROLL Linea záslepka okrągłego drążka meblowego</v>
      </c>
      <c r="C3146" s="185">
        <f t="shared" si="99"/>
        <v>1.1832</v>
      </c>
      <c r="D3146" s="407" t="s">
        <v>1554</v>
      </c>
      <c r="E3146" s="407" t="s">
        <v>1982</v>
      </c>
      <c r="F3146" s="407" t="s">
        <v>2192</v>
      </c>
      <c r="G3146" s="407" t="s">
        <v>2490</v>
      </c>
      <c r="H3146" s="460">
        <v>9.9840699999999991</v>
      </c>
      <c r="I3146" s="460">
        <v>0.33828999999999998</v>
      </c>
      <c r="J3146" s="460">
        <v>1.1832</v>
      </c>
      <c r="K3146" s="460">
        <v>133.26801</v>
      </c>
      <c r="L3146" s="459" t="s">
        <v>539</v>
      </c>
      <c r="O3146">
        <v>0.308</v>
      </c>
      <c r="P3146" t="s">
        <v>10173</v>
      </c>
    </row>
    <row r="3147" spans="1:16" ht="14.4" x14ac:dyDescent="0.3">
      <c r="A3147">
        <v>288686</v>
      </c>
      <c r="B3147" t="str">
        <f t="shared" si="98"/>
        <v>SEVROLL Linea Zaślepka do profilu wewnętrznego</v>
      </c>
      <c r="C3147" s="185">
        <f t="shared" si="99"/>
        <v>4.6104000000000003</v>
      </c>
      <c r="D3147" s="407" t="s">
        <v>1555</v>
      </c>
      <c r="E3147" s="407" t="s">
        <v>1983</v>
      </c>
      <c r="F3147" s="407" t="s">
        <v>2193</v>
      </c>
      <c r="G3147" s="407" t="s">
        <v>6056</v>
      </c>
      <c r="H3147" s="460">
        <v>39.936300000000003</v>
      </c>
      <c r="I3147" s="460">
        <v>1.35318</v>
      </c>
      <c r="J3147" s="460">
        <v>4.6104000000000003</v>
      </c>
      <c r="K3147" s="460">
        <v>533.07240000000002</v>
      </c>
      <c r="L3147" s="459" t="s">
        <v>539</v>
      </c>
      <c r="O3147">
        <v>1.21</v>
      </c>
      <c r="P3147" t="s">
        <v>10174</v>
      </c>
    </row>
    <row r="3148" spans="1:16" ht="14.4" x14ac:dyDescent="0.3">
      <c r="A3148">
        <v>288687</v>
      </c>
      <c r="B3148" t="str">
        <f t="shared" si="98"/>
        <v>SEVROLL Linea sada 8 szt kątowników mocujących</v>
      </c>
      <c r="C3148" s="185">
        <f t="shared" si="99"/>
        <v>69.261480000000006</v>
      </c>
      <c r="D3148" s="407" t="s">
        <v>1556</v>
      </c>
      <c r="E3148" s="407" t="s">
        <v>1984</v>
      </c>
      <c r="F3148" s="407" t="s">
        <v>2194</v>
      </c>
      <c r="G3148" s="407" t="s">
        <v>6057</v>
      </c>
      <c r="H3148" s="460">
        <v>560.18092999999999</v>
      </c>
      <c r="I3148" s="460">
        <v>20.141490000000001</v>
      </c>
      <c r="J3148" s="460">
        <v>69.261480000000006</v>
      </c>
      <c r="K3148" s="460">
        <v>7752.1724100000001</v>
      </c>
      <c r="L3148" s="459" t="s">
        <v>539</v>
      </c>
      <c r="O3148">
        <v>17.027999999999999</v>
      </c>
      <c r="P3148" t="s">
        <v>10175</v>
      </c>
    </row>
    <row r="3149" spans="1:16" ht="14.4" x14ac:dyDescent="0.3">
      <c r="A3149">
        <v>288822</v>
      </c>
      <c r="B3149" t="str">
        <f t="shared" si="98"/>
        <v>SEVROLL tłumienie Top SV60 - 2szt</v>
      </c>
      <c r="C3149" s="185">
        <f t="shared" si="99"/>
        <v>170.82550000000001</v>
      </c>
      <c r="D3149" s="407" t="s">
        <v>3275</v>
      </c>
      <c r="E3149" s="407" t="s">
        <v>5014</v>
      </c>
      <c r="F3149" s="407" t="s">
        <v>1094</v>
      </c>
      <c r="G3149" s="407" t="s">
        <v>5015</v>
      </c>
      <c r="H3149" s="460">
        <v>1506.0596700000001</v>
      </c>
      <c r="I3149" s="460">
        <v>51.030320000000003</v>
      </c>
      <c r="J3149" s="460">
        <v>170.82550000000001</v>
      </c>
      <c r="K3149" s="460">
        <v>20102.976739999998</v>
      </c>
      <c r="L3149" s="459" t="s">
        <v>539</v>
      </c>
      <c r="O3149">
        <v>45.408000000000001</v>
      </c>
      <c r="P3149" t="s">
        <v>9301</v>
      </c>
    </row>
    <row r="3150" spans="1:16" ht="14.4" x14ac:dyDescent="0.3">
      <c r="A3150">
        <v>289095</v>
      </c>
      <c r="B3150" t="str">
        <f t="shared" si="98"/>
        <v>SEVROLL Porto rączka 2,7m srebrny</v>
      </c>
      <c r="C3150" s="185" t="e">
        <f t="shared" si="99"/>
        <v>#N/A</v>
      </c>
      <c r="D3150" s="407" t="s">
        <v>3276</v>
      </c>
      <c r="E3150" s="407" t="s">
        <v>4618</v>
      </c>
      <c r="F3150" s="407" t="s">
        <v>1113</v>
      </c>
      <c r="G3150" s="407" t="s">
        <v>4619</v>
      </c>
      <c r="H3150" s="460" t="e">
        <v>#N/A</v>
      </c>
      <c r="I3150" s="460" t="e">
        <v>#N/A</v>
      </c>
      <c r="J3150" s="460" t="e">
        <v>#N/A</v>
      </c>
      <c r="K3150" s="460" t="e">
        <v>#N/A</v>
      </c>
      <c r="L3150" s="459" t="e">
        <v>#N/A</v>
      </c>
      <c r="O3150" t="e">
        <v>#N/A</v>
      </c>
      <c r="P3150" t="e">
        <v>#N/A</v>
      </c>
    </row>
    <row r="3151" spans="1:16" ht="14.4" x14ac:dyDescent="0.3">
      <c r="A3151">
        <v>291822</v>
      </c>
      <c r="B3151" t="str">
        <f t="shared" si="98"/>
        <v>SEVROLL szablon reklamowy do wózków do płyty laminowanej 18mm</v>
      </c>
      <c r="C3151" s="185">
        <f t="shared" si="99"/>
        <v>0</v>
      </c>
      <c r="D3151" s="407" t="s">
        <v>3277</v>
      </c>
      <c r="E3151" s="407" t="s">
        <v>1814</v>
      </c>
      <c r="F3151" s="407" t="s">
        <v>5709</v>
      </c>
      <c r="G3151" s="407" t="s">
        <v>2380</v>
      </c>
      <c r="H3151" s="460">
        <v>0</v>
      </c>
      <c r="I3151" s="460">
        <v>0</v>
      </c>
      <c r="J3151" s="460">
        <v>0</v>
      </c>
      <c r="K3151" s="460">
        <v>0</v>
      </c>
      <c r="L3151" s="459" t="s">
        <v>540</v>
      </c>
      <c r="O3151">
        <v>0</v>
      </c>
      <c r="P3151" t="s">
        <v>9534</v>
      </c>
    </row>
    <row r="3152" spans="1:16" ht="14.4" x14ac:dyDescent="0.3">
      <c r="A3152">
        <v>293776</v>
      </c>
      <c r="B3152" t="str">
        <f t="shared" si="98"/>
        <v>SEVROLL tłumienie Simple/Blue 10/18, 25 - 40kg, L+P</v>
      </c>
      <c r="C3152" s="185">
        <f t="shared" si="99"/>
        <v>109.51739999999999</v>
      </c>
      <c r="D3152" s="407" t="s">
        <v>3278</v>
      </c>
      <c r="E3152" s="407" t="s">
        <v>4652</v>
      </c>
      <c r="F3152" s="407" t="s">
        <v>4653</v>
      </c>
      <c r="G3152" s="407" t="s">
        <v>4654</v>
      </c>
      <c r="H3152" s="460">
        <v>728.83765000000005</v>
      </c>
      <c r="I3152" s="460">
        <v>24.695450000000001</v>
      </c>
      <c r="J3152" s="460">
        <v>109.51739999999999</v>
      </c>
      <c r="K3152" s="460">
        <v>9728.5697999999993</v>
      </c>
      <c r="L3152" s="459" t="s">
        <v>539</v>
      </c>
      <c r="O3152">
        <v>21.978000000000002</v>
      </c>
      <c r="P3152" t="s">
        <v>9200</v>
      </c>
    </row>
    <row r="3153" spans="1:16" ht="14.4" x14ac:dyDescent="0.3">
      <c r="A3153">
        <v>298035</v>
      </c>
      <c r="B3153" t="str">
        <f t="shared" si="98"/>
        <v>SEVROLL Fix pozycjoner wózka górnego transparentny</v>
      </c>
      <c r="C3153" s="185">
        <f t="shared" si="99"/>
        <v>3.74519</v>
      </c>
      <c r="D3153" s="407" t="s">
        <v>3279</v>
      </c>
      <c r="E3153" s="407" t="s">
        <v>6202</v>
      </c>
      <c r="F3153" s="407" t="s">
        <v>6203</v>
      </c>
      <c r="G3153" s="407" t="s">
        <v>6204</v>
      </c>
      <c r="H3153" s="460">
        <v>30.759650000000001</v>
      </c>
      <c r="I3153" s="460">
        <v>1.0929500000000001</v>
      </c>
      <c r="J3153" s="460">
        <v>3.74519</v>
      </c>
      <c r="K3153" s="460">
        <v>481.81545</v>
      </c>
      <c r="L3153" s="459" t="s">
        <v>538</v>
      </c>
      <c r="O3153">
        <v>0.92400000000000004</v>
      </c>
      <c r="P3153" t="s">
        <v>8846</v>
      </c>
    </row>
    <row r="3154" spans="1:16" ht="14.4" x14ac:dyDescent="0.3">
      <c r="A3154">
        <v>298399</v>
      </c>
      <c r="B3154" t="str">
        <f t="shared" si="98"/>
        <v>SEVROLL kątownik 18x36mm 3 m srebrny</v>
      </c>
      <c r="C3154" s="185">
        <f t="shared" si="99"/>
        <v>39.565800000000003</v>
      </c>
      <c r="D3154" s="407" t="s">
        <v>3280</v>
      </c>
      <c r="E3154" s="407" t="s">
        <v>4166</v>
      </c>
      <c r="F3154" s="407" t="s">
        <v>4167</v>
      </c>
      <c r="G3154" s="407" t="s">
        <v>4168</v>
      </c>
      <c r="H3154" s="460">
        <v>298.90791000000002</v>
      </c>
      <c r="I3154" s="460">
        <v>10.74733</v>
      </c>
      <c r="J3154" s="460">
        <v>39.565800000000003</v>
      </c>
      <c r="K3154" s="460">
        <v>4136.4949200000001</v>
      </c>
      <c r="L3154" s="459" t="s">
        <v>538</v>
      </c>
      <c r="O3154">
        <v>10.625999999999999</v>
      </c>
      <c r="P3154" t="s">
        <v>9051</v>
      </c>
    </row>
    <row r="3155" spans="1:16" ht="14.4" x14ac:dyDescent="0.3">
      <c r="A3155">
        <v>299757</v>
      </c>
      <c r="B3155" t="str">
        <f t="shared" si="98"/>
        <v>SEVROLL 04190 Idea tor górny/dolny 2m, srebrny</v>
      </c>
      <c r="C3155" s="185" t="e">
        <f t="shared" si="99"/>
        <v>#N/A</v>
      </c>
      <c r="D3155" s="407" t="s">
        <v>3281</v>
      </c>
      <c r="E3155" s="407" t="s">
        <v>4328</v>
      </c>
      <c r="F3155" s="407" t="s">
        <v>4329</v>
      </c>
      <c r="G3155" s="407" t="s">
        <v>4330</v>
      </c>
      <c r="H3155" s="460" t="e">
        <v>#N/A</v>
      </c>
      <c r="I3155" s="460" t="e">
        <v>#N/A</v>
      </c>
      <c r="J3155" s="460" t="e">
        <v>#N/A</v>
      </c>
      <c r="K3155" s="460" t="e">
        <v>#N/A</v>
      </c>
      <c r="L3155" s="459" t="e">
        <v>#N/A</v>
      </c>
      <c r="O3155">
        <v>14.234</v>
      </c>
      <c r="P3155" t="s">
        <v>9103</v>
      </c>
    </row>
    <row r="3156" spans="1:16" ht="14.4" x14ac:dyDescent="0.3">
      <c r="A3156">
        <v>299758</v>
      </c>
      <c r="B3156" t="str">
        <f t="shared" si="98"/>
        <v>SEVROLL 04097 Idea tor górny/dolny 3m, srebrny</v>
      </c>
      <c r="C3156" s="185" t="e">
        <f t="shared" si="99"/>
        <v>#N/A</v>
      </c>
      <c r="D3156" s="407" t="s">
        <v>3282</v>
      </c>
      <c r="E3156" s="407" t="s">
        <v>4572</v>
      </c>
      <c r="F3156" s="407" t="s">
        <v>4573</v>
      </c>
      <c r="G3156" s="407" t="s">
        <v>4574</v>
      </c>
      <c r="H3156" s="460" t="e">
        <v>#N/A</v>
      </c>
      <c r="I3156" s="460" t="e">
        <v>#N/A</v>
      </c>
      <c r="J3156" s="460" t="e">
        <v>#N/A</v>
      </c>
      <c r="K3156" s="460" t="e">
        <v>#N/A</v>
      </c>
      <c r="L3156" s="459" t="e">
        <v>#N/A</v>
      </c>
      <c r="O3156">
        <v>21.01</v>
      </c>
      <c r="P3156" t="s">
        <v>9178</v>
      </c>
    </row>
    <row r="3157" spans="1:16" ht="14.4" x14ac:dyDescent="0.3">
      <c r="A3157">
        <v>299759</v>
      </c>
      <c r="B3157" t="str">
        <f t="shared" si="98"/>
        <v>SEVROLL 04191 Idea tor górny/dolny 6m, srebrny</v>
      </c>
      <c r="C3157" s="185" t="e">
        <f t="shared" si="99"/>
        <v>#N/A</v>
      </c>
      <c r="D3157" s="407" t="s">
        <v>3283</v>
      </c>
      <c r="E3157" s="407" t="s">
        <v>4952</v>
      </c>
      <c r="F3157" s="407" t="s">
        <v>4953</v>
      </c>
      <c r="G3157" s="407" t="s">
        <v>4954</v>
      </c>
      <c r="H3157" s="460" t="e">
        <v>#N/A</v>
      </c>
      <c r="I3157" s="460" t="e">
        <v>#N/A</v>
      </c>
      <c r="J3157" s="460" t="e">
        <v>#N/A</v>
      </c>
      <c r="K3157" s="460" t="e">
        <v>#N/A</v>
      </c>
      <c r="L3157" s="459" t="e">
        <v>#N/A</v>
      </c>
      <c r="O3157">
        <v>42.042000000000002</v>
      </c>
      <c r="P3157" t="s">
        <v>9288</v>
      </c>
    </row>
    <row r="3158" spans="1:16" ht="14.4" x14ac:dyDescent="0.3">
      <c r="A3158">
        <v>299760</v>
      </c>
      <c r="B3158" t="str">
        <f t="shared" si="98"/>
        <v>SEVROLL Idea zestaw okuć dla 2 drzwi 50kg</v>
      </c>
      <c r="C3158" s="185" t="e">
        <f t="shared" si="99"/>
        <v>#N/A</v>
      </c>
      <c r="D3158" s="407" t="s">
        <v>3284</v>
      </c>
      <c r="E3158" s="407" t="s">
        <v>5016</v>
      </c>
      <c r="F3158" s="407" t="s">
        <v>5017</v>
      </c>
      <c r="G3158" s="407" t="s">
        <v>5018</v>
      </c>
      <c r="H3158" s="460" t="e">
        <v>#N/A</v>
      </c>
      <c r="I3158" s="460" t="e">
        <v>#N/A</v>
      </c>
      <c r="J3158" s="460" t="e">
        <v>#N/A</v>
      </c>
      <c r="K3158" s="460" t="e">
        <v>#N/A</v>
      </c>
      <c r="L3158" s="459" t="e">
        <v>#N/A</v>
      </c>
      <c r="O3158">
        <v>47.19</v>
      </c>
      <c r="P3158" t="s">
        <v>9302</v>
      </c>
    </row>
    <row r="3159" spans="1:16" ht="14.4" x14ac:dyDescent="0.3">
      <c r="A3159">
        <v>299761</v>
      </c>
      <c r="B3159" t="str">
        <f t="shared" si="98"/>
        <v>SEVROLL Idea zestaw okuć dla drzwi wewnętrznych 50kg</v>
      </c>
      <c r="C3159" s="185" t="e">
        <f t="shared" si="99"/>
        <v>#N/A</v>
      </c>
      <c r="D3159" s="407" t="s">
        <v>3285</v>
      </c>
      <c r="E3159" s="407" t="s">
        <v>4551</v>
      </c>
      <c r="F3159" s="407" t="s">
        <v>4552</v>
      </c>
      <c r="G3159" s="407" t="s">
        <v>4553</v>
      </c>
      <c r="H3159" s="460" t="e">
        <v>#N/A</v>
      </c>
      <c r="I3159" s="460" t="e">
        <v>#N/A</v>
      </c>
      <c r="J3159" s="460" t="e">
        <v>#N/A</v>
      </c>
      <c r="K3159" s="460" t="e">
        <v>#N/A</v>
      </c>
      <c r="L3159" s="459" t="e">
        <v>#N/A</v>
      </c>
      <c r="O3159">
        <v>18.128</v>
      </c>
      <c r="P3159" t="s">
        <v>9171</v>
      </c>
    </row>
    <row r="3160" spans="1:16" ht="14.4" x14ac:dyDescent="0.3">
      <c r="A3160">
        <v>303394</v>
      </c>
      <c r="B3160" t="str">
        <f t="shared" si="98"/>
        <v>SEVROLL pozycjoner Simple Start</v>
      </c>
      <c r="C3160" s="185" t="e">
        <f t="shared" si="99"/>
        <v>#N/A</v>
      </c>
      <c r="D3160" s="407" t="s">
        <v>3286</v>
      </c>
      <c r="E3160" s="407" t="s">
        <v>5470</v>
      </c>
      <c r="F3160" s="407" t="s">
        <v>3286</v>
      </c>
      <c r="G3160" s="407" t="s">
        <v>5471</v>
      </c>
      <c r="H3160" s="460" t="e">
        <v>#N/A</v>
      </c>
      <c r="I3160" s="460" t="e">
        <v>#N/A</v>
      </c>
      <c r="J3160" s="460" t="e">
        <v>#N/A</v>
      </c>
      <c r="K3160" s="460" t="e">
        <v>#N/A</v>
      </c>
      <c r="L3160" s="459" t="e">
        <v>#N/A</v>
      </c>
      <c r="O3160">
        <v>0.19800000000000001</v>
      </c>
      <c r="P3160" t="s">
        <v>9451</v>
      </c>
    </row>
    <row r="3161" spans="1:16" ht="14.4" x14ac:dyDescent="0.3">
      <c r="A3161">
        <v>303463</v>
      </c>
      <c r="B3161" t="str">
        <f t="shared" si="98"/>
        <v>SEVROLL uchwyt Push 90mm nikiel szlifowany</v>
      </c>
      <c r="C3161" s="185" t="e">
        <f t="shared" si="99"/>
        <v>#N/A</v>
      </c>
      <c r="D3161" s="407" t="s">
        <v>3287</v>
      </c>
      <c r="E3161" s="407" t="s">
        <v>4180</v>
      </c>
      <c r="F3161" s="407" t="s">
        <v>1090</v>
      </c>
      <c r="G3161" s="407" t="s">
        <v>4181</v>
      </c>
      <c r="H3161" s="460" t="e">
        <v>#N/A</v>
      </c>
      <c r="I3161" s="460" t="e">
        <v>#N/A</v>
      </c>
      <c r="J3161" s="460" t="e">
        <v>#N/A</v>
      </c>
      <c r="K3161" s="460" t="e">
        <v>#N/A</v>
      </c>
      <c r="L3161" s="459" t="e">
        <v>#N/A</v>
      </c>
      <c r="O3161">
        <v>11.506</v>
      </c>
      <c r="P3161" t="s">
        <v>9055</v>
      </c>
    </row>
    <row r="3162" spans="1:16" ht="14.4" x14ac:dyDescent="0.3">
      <c r="A3162">
        <v>304006</v>
      </c>
      <c r="B3162" t="str">
        <f t="shared" si="98"/>
        <v>SEVROLL folia ochronna 300mm/50m przeźroczysta</v>
      </c>
      <c r="C3162" s="185" t="e">
        <f t="shared" si="99"/>
        <v>#N/A</v>
      </c>
      <c r="D3162" s="407" t="s">
        <v>3288</v>
      </c>
      <c r="E3162" s="407" t="s">
        <v>4949</v>
      </c>
      <c r="F3162" s="407" t="s">
        <v>4950</v>
      </c>
      <c r="G3162" s="407" t="s">
        <v>4951</v>
      </c>
      <c r="H3162" s="460" t="e">
        <v>#N/A</v>
      </c>
      <c r="I3162" s="460" t="e">
        <v>#N/A</v>
      </c>
      <c r="J3162" s="460" t="e">
        <v>#N/A</v>
      </c>
      <c r="K3162" s="460" t="e">
        <v>#N/A</v>
      </c>
      <c r="L3162" s="459" t="e">
        <v>#N/A</v>
      </c>
      <c r="O3162">
        <v>38.06</v>
      </c>
      <c r="P3162" t="s">
        <v>9287</v>
      </c>
    </row>
    <row r="3163" spans="1:16" ht="14.4" x14ac:dyDescent="0.3">
      <c r="A3163">
        <v>304010</v>
      </c>
      <c r="B3163" t="str">
        <f t="shared" si="98"/>
        <v>SEVROLL folia ochronna 500mm/50m przeźroczysta</v>
      </c>
      <c r="C3163" s="185">
        <f t="shared" si="99"/>
        <v>238.62010000000001</v>
      </c>
      <c r="D3163" s="407" t="s">
        <v>3289</v>
      </c>
      <c r="E3163" s="407" t="s">
        <v>5073</v>
      </c>
      <c r="F3163" s="407" t="s">
        <v>5074</v>
      </c>
      <c r="G3163" s="407" t="s">
        <v>5075</v>
      </c>
      <c r="H3163" s="460">
        <v>2104.3362999999999</v>
      </c>
      <c r="I3163" s="460">
        <v>71.301919999999996</v>
      </c>
      <c r="J3163" s="460">
        <v>238.62010000000001</v>
      </c>
      <c r="K3163" s="460">
        <v>28088.810160000001</v>
      </c>
      <c r="L3163" s="459" t="s">
        <v>539</v>
      </c>
      <c r="O3163">
        <v>63.448</v>
      </c>
      <c r="P3163" t="s">
        <v>9311</v>
      </c>
    </row>
    <row r="3164" spans="1:16" ht="14.4" x14ac:dyDescent="0.3">
      <c r="A3164">
        <v>305137</v>
      </c>
      <c r="B3164" t="str">
        <f t="shared" si="98"/>
        <v>SEVROLL szczotka odbojowa bez kleju 4,8x4mm biała</v>
      </c>
      <c r="C3164" s="185">
        <f t="shared" si="99"/>
        <v>0.59363999999999995</v>
      </c>
      <c r="D3164" s="407" t="s">
        <v>3290</v>
      </c>
      <c r="E3164" s="407" t="s">
        <v>5134</v>
      </c>
      <c r="F3164" s="407" t="s">
        <v>5135</v>
      </c>
      <c r="G3164" s="407" t="s">
        <v>5136</v>
      </c>
      <c r="H3164" s="460">
        <v>4.6080500000000004</v>
      </c>
      <c r="I3164" s="460">
        <v>0.15629999999999999</v>
      </c>
      <c r="J3164" s="460">
        <v>0.59363999999999995</v>
      </c>
      <c r="K3164" s="460">
        <v>61.50817</v>
      </c>
      <c r="L3164" s="459" t="s">
        <v>538</v>
      </c>
      <c r="O3164">
        <v>0.15576000000000001</v>
      </c>
      <c r="P3164" t="s">
        <v>9334</v>
      </c>
    </row>
    <row r="3165" spans="1:16" ht="14.4" x14ac:dyDescent="0.3">
      <c r="A3165">
        <v>305348</v>
      </c>
      <c r="B3165" t="str">
        <f t="shared" si="98"/>
        <v>SEVROLL szczotka przeciw kurzowa bez kleju 4,8x9 mm, szara</v>
      </c>
      <c r="C3165" s="185">
        <f t="shared" si="99"/>
        <v>0.89759999999999995</v>
      </c>
      <c r="D3165" s="407" t="s">
        <v>3291</v>
      </c>
      <c r="E3165" s="407" t="s">
        <v>5140</v>
      </c>
      <c r="F3165" s="407" t="s">
        <v>3291</v>
      </c>
      <c r="G3165" s="407" t="s">
        <v>5141</v>
      </c>
      <c r="H3165" s="460">
        <v>6.9120600000000003</v>
      </c>
      <c r="I3165" s="460">
        <v>0.23419999999999999</v>
      </c>
      <c r="J3165" s="460">
        <v>0.89759999999999995</v>
      </c>
      <c r="K3165" s="460">
        <v>92.262690000000006</v>
      </c>
      <c r="L3165" s="459" t="s">
        <v>538</v>
      </c>
      <c r="O3165">
        <v>0.22</v>
      </c>
      <c r="P3165" t="s">
        <v>9336</v>
      </c>
    </row>
    <row r="3166" spans="1:16" ht="14.4" x14ac:dyDescent="0.3">
      <c r="A3166">
        <v>306089</v>
      </c>
      <c r="B3166" t="str">
        <f t="shared" si="98"/>
        <v>SEVROLL tłumienie Top SV80 - 2szt</v>
      </c>
      <c r="C3166" s="185">
        <f t="shared" si="99"/>
        <v>182.6087</v>
      </c>
      <c r="D3166" s="407" t="s">
        <v>3292</v>
      </c>
      <c r="E3166" s="407" t="s">
        <v>5023</v>
      </c>
      <c r="F3166" s="407" t="s">
        <v>1093</v>
      </c>
      <c r="G3166" s="407" t="s">
        <v>5024</v>
      </c>
      <c r="H3166" s="460">
        <v>1610.5084899999999</v>
      </c>
      <c r="I3166" s="460">
        <v>54.569389999999999</v>
      </c>
      <c r="J3166" s="460">
        <v>182.6087</v>
      </c>
      <c r="K3166" s="460">
        <v>21497.166109999998</v>
      </c>
      <c r="L3166" s="459" t="s">
        <v>539</v>
      </c>
      <c r="O3166">
        <v>48.554000000000002</v>
      </c>
      <c r="P3166" t="s">
        <v>9303</v>
      </c>
    </row>
    <row r="3167" spans="1:16" ht="14.4" x14ac:dyDescent="0.3">
      <c r="A3167">
        <v>306523</v>
      </c>
      <c r="B3167" t="str">
        <f t="shared" si="98"/>
        <v>SEVROLL szczotka odbojowa bez kleju 14x4mm biała</v>
      </c>
      <c r="C3167" s="185">
        <f t="shared" si="99"/>
        <v>1.43</v>
      </c>
      <c r="D3167" s="407" t="s">
        <v>3293</v>
      </c>
      <c r="E3167" s="407" t="s">
        <v>5142</v>
      </c>
      <c r="F3167" s="407" t="s">
        <v>5143</v>
      </c>
      <c r="G3167" s="407" t="s">
        <v>5144</v>
      </c>
      <c r="H3167" s="460">
        <v>11.520099999999999</v>
      </c>
      <c r="I3167" s="460">
        <v>0.39034000000000002</v>
      </c>
      <c r="J3167" s="460">
        <v>1.43</v>
      </c>
      <c r="K3167" s="460">
        <v>149.05521999999999</v>
      </c>
      <c r="L3167" s="459" t="s">
        <v>538</v>
      </c>
      <c r="O3167">
        <v>0.37444</v>
      </c>
      <c r="P3167" t="s">
        <v>9337</v>
      </c>
    </row>
    <row r="3168" spans="1:16" ht="14.4" x14ac:dyDescent="0.3">
      <c r="A3168">
        <v>307703</v>
      </c>
      <c r="B3168" t="str">
        <f t="shared" si="98"/>
        <v>SEVROLL Everest tor 3m jasny brąz</v>
      </c>
      <c r="C3168" s="185" t="e">
        <f t="shared" si="99"/>
        <v>#N/A</v>
      </c>
      <c r="D3168" s="407" t="s">
        <v>3294</v>
      </c>
      <c r="E3168" s="407" t="s">
        <v>4734</v>
      </c>
      <c r="F3168" s="407" t="s">
        <v>1176</v>
      </c>
      <c r="G3168" s="407" t="s">
        <v>4735</v>
      </c>
      <c r="H3168" s="460" t="e">
        <v>#N/A</v>
      </c>
      <c r="I3168" s="460" t="e">
        <v>#N/A</v>
      </c>
      <c r="J3168" s="460" t="e">
        <v>#N/A</v>
      </c>
      <c r="K3168" s="460" t="e">
        <v>#N/A</v>
      </c>
      <c r="L3168" s="459" t="e">
        <v>#N/A</v>
      </c>
      <c r="O3168">
        <v>25.277999999999999</v>
      </c>
      <c r="P3168" t="s">
        <v>9227</v>
      </c>
    </row>
    <row r="3169" spans="1:16" ht="14.4" x14ac:dyDescent="0.3">
      <c r="A3169">
        <v>308528</v>
      </c>
      <c r="B3169" t="str">
        <f t="shared" si="98"/>
        <v>SEVROLL profil "U" do płyty laminowanej 36mm 3m jasny brąz</v>
      </c>
      <c r="C3169" s="185">
        <f t="shared" si="99"/>
        <v>58.075839999999999</v>
      </c>
      <c r="D3169" s="407" t="s">
        <v>3295</v>
      </c>
      <c r="E3169" s="407" t="s">
        <v>4374</v>
      </c>
      <c r="F3169" s="407" t="s">
        <v>1107</v>
      </c>
      <c r="G3169" s="407" t="s">
        <v>4375</v>
      </c>
      <c r="H3169" s="460">
        <v>469.71244000000002</v>
      </c>
      <c r="I3169" s="460">
        <v>16.888670000000001</v>
      </c>
      <c r="J3169" s="460">
        <v>58.075839999999999</v>
      </c>
      <c r="K3169" s="460">
        <v>6500.2066100000002</v>
      </c>
      <c r="L3169" s="459" t="s">
        <v>539</v>
      </c>
      <c r="O3169">
        <v>14.542</v>
      </c>
      <c r="P3169" t="s">
        <v>9115</v>
      </c>
    </row>
    <row r="3170" spans="1:16" ht="14.4" x14ac:dyDescent="0.3">
      <c r="A3170">
        <v>308595</v>
      </c>
      <c r="B3170" t="str">
        <f t="shared" si="98"/>
        <v>SEVROLL profil "U" Mini do płyty laminowanej 18mm 3m jasny brąz</v>
      </c>
      <c r="C3170" s="185">
        <f t="shared" si="99"/>
        <v>16.01784</v>
      </c>
      <c r="D3170" s="407" t="s">
        <v>3296</v>
      </c>
      <c r="E3170" s="407" t="s">
        <v>3644</v>
      </c>
      <c r="F3170" s="407" t="s">
        <v>1109</v>
      </c>
      <c r="G3170" s="407" t="s">
        <v>3645</v>
      </c>
      <c r="H3170" s="460">
        <v>129.55089000000001</v>
      </c>
      <c r="I3170" s="460">
        <v>4.6580500000000002</v>
      </c>
      <c r="J3170" s="460">
        <v>16.01784</v>
      </c>
      <c r="K3170" s="460">
        <v>1792.81519</v>
      </c>
      <c r="L3170" s="459" t="s">
        <v>539</v>
      </c>
      <c r="O3170">
        <v>4.0259999999999998</v>
      </c>
      <c r="P3170" t="s">
        <v>8879</v>
      </c>
    </row>
    <row r="3171" spans="1:16" ht="14.4" x14ac:dyDescent="0.3">
      <c r="A3171">
        <v>308627</v>
      </c>
      <c r="B3171" t="str">
        <f t="shared" si="98"/>
        <v>SEVROLL listwa łącząca H30 3m biały połysk</v>
      </c>
      <c r="C3171" s="185" t="e">
        <f t="shared" si="99"/>
        <v>#N/A</v>
      </c>
      <c r="D3171" s="407" t="s">
        <v>3297</v>
      </c>
      <c r="E3171" s="407" t="s">
        <v>4750</v>
      </c>
      <c r="F3171" s="407" t="s">
        <v>4751</v>
      </c>
      <c r="G3171" s="407" t="s">
        <v>4752</v>
      </c>
      <c r="H3171" s="460" t="e">
        <v>#N/A</v>
      </c>
      <c r="I3171" s="460" t="e">
        <v>#N/A</v>
      </c>
      <c r="J3171" s="460" t="e">
        <v>#N/A</v>
      </c>
      <c r="K3171" s="460" t="e">
        <v>#N/A</v>
      </c>
      <c r="L3171" s="459" t="e">
        <v>#N/A</v>
      </c>
      <c r="O3171">
        <v>27.434000000000001</v>
      </c>
      <c r="P3171" t="s">
        <v>9232</v>
      </c>
    </row>
    <row r="3172" spans="1:16" ht="14.4" x14ac:dyDescent="0.3">
      <c r="A3172">
        <v>308628</v>
      </c>
      <c r="B3172" t="str">
        <f t="shared" si="98"/>
        <v>SEVROLL kątownik 18x36mm 3m jasny brąz</v>
      </c>
      <c r="C3172" s="185">
        <f t="shared" si="99"/>
        <v>46.174309999999998</v>
      </c>
      <c r="D3172" s="407" t="s">
        <v>3298</v>
      </c>
      <c r="E3172" s="407" t="s">
        <v>4245</v>
      </c>
      <c r="F3172" s="407" t="s">
        <v>4246</v>
      </c>
      <c r="G3172" s="407" t="s">
        <v>4247</v>
      </c>
      <c r="H3172" s="460">
        <v>373.45397000000003</v>
      </c>
      <c r="I3172" s="460">
        <v>13.427659999999999</v>
      </c>
      <c r="J3172" s="460">
        <v>46.174309999999998</v>
      </c>
      <c r="K3172" s="460">
        <v>5168.1146799999997</v>
      </c>
      <c r="L3172" s="459" t="s">
        <v>539</v>
      </c>
      <c r="O3172">
        <v>12.364000000000001</v>
      </c>
      <c r="P3172" t="s">
        <v>9076</v>
      </c>
    </row>
    <row r="3173" spans="1:16" ht="14.4" x14ac:dyDescent="0.3">
      <c r="A3173">
        <v>308629</v>
      </c>
      <c r="B3173" t="str">
        <f t="shared" si="98"/>
        <v>SEVROLL kątownik 36x36mm 3m jasny brąz</v>
      </c>
      <c r="C3173" s="185" t="e">
        <f t="shared" si="99"/>
        <v>#N/A</v>
      </c>
      <c r="D3173" s="407" t="s">
        <v>3299</v>
      </c>
      <c r="E3173" s="407" t="s">
        <v>4434</v>
      </c>
      <c r="F3173" s="407" t="s">
        <v>4435</v>
      </c>
      <c r="G3173" s="407" t="s">
        <v>4436</v>
      </c>
      <c r="H3173" s="460" t="e">
        <v>#N/A</v>
      </c>
      <c r="I3173" s="460" t="e">
        <v>#N/A</v>
      </c>
      <c r="J3173" s="460" t="e">
        <v>#N/A</v>
      </c>
      <c r="K3173" s="460" t="e">
        <v>#N/A</v>
      </c>
      <c r="L3173" s="459" t="e">
        <v>#N/A</v>
      </c>
      <c r="O3173">
        <v>16.28</v>
      </c>
      <c r="P3173" t="s">
        <v>9137</v>
      </c>
    </row>
    <row r="3174" spans="1:16" ht="14.4" x14ac:dyDescent="0.3">
      <c r="A3174">
        <v>308630</v>
      </c>
      <c r="B3174" t="str">
        <f t="shared" si="98"/>
        <v>SEVROLL kątownik 36x36mm 3 m srebrny</v>
      </c>
      <c r="C3174" s="185">
        <f t="shared" si="99"/>
        <v>52.53</v>
      </c>
      <c r="D3174" s="407" t="s">
        <v>3300</v>
      </c>
      <c r="E3174" s="407" t="s">
        <v>4366</v>
      </c>
      <c r="F3174" s="407" t="s">
        <v>4367</v>
      </c>
      <c r="G3174" s="407" t="s">
        <v>4368</v>
      </c>
      <c r="H3174" s="460">
        <v>395.89015000000001</v>
      </c>
      <c r="I3174" s="460">
        <v>14.234360000000001</v>
      </c>
      <c r="J3174" s="460">
        <v>52.53</v>
      </c>
      <c r="K3174" s="460">
        <v>5478.6024299999999</v>
      </c>
      <c r="L3174" s="459" t="s">
        <v>538</v>
      </c>
      <c r="O3174">
        <v>14.08</v>
      </c>
      <c r="P3174" t="s">
        <v>9113</v>
      </c>
    </row>
    <row r="3175" spans="1:16" ht="14.4" x14ac:dyDescent="0.3">
      <c r="A3175">
        <v>308631</v>
      </c>
      <c r="B3175" t="str">
        <f t="shared" si="98"/>
        <v>SEVROLL klin do płyty laminowanej grubość 2 mm (100 szt.)</v>
      </c>
      <c r="C3175" s="185">
        <f t="shared" si="99"/>
        <v>30.24597</v>
      </c>
      <c r="D3175" s="407" t="s">
        <v>3301</v>
      </c>
      <c r="E3175" s="407" t="s">
        <v>4044</v>
      </c>
      <c r="F3175" s="407" t="s">
        <v>4045</v>
      </c>
      <c r="G3175" s="407" t="s">
        <v>4046</v>
      </c>
      <c r="H3175" s="460">
        <v>244.62682000000001</v>
      </c>
      <c r="I3175" s="460">
        <v>8.7956400000000006</v>
      </c>
      <c r="J3175" s="460">
        <v>30.24597</v>
      </c>
      <c r="K3175" s="460">
        <v>3385.3154599999998</v>
      </c>
      <c r="L3175" s="459" t="s">
        <v>538</v>
      </c>
      <c r="O3175">
        <v>7.8319999999999999</v>
      </c>
      <c r="P3175" t="s">
        <v>9014</v>
      </c>
    </row>
    <row r="3176" spans="1:16" ht="14.4" x14ac:dyDescent="0.3">
      <c r="A3176">
        <v>308632</v>
      </c>
      <c r="B3176" t="str">
        <f t="shared" si="98"/>
        <v>SEVROLL Porto rączka 2,7m jasny brąz</v>
      </c>
      <c r="C3176" s="185" t="e">
        <f t="shared" si="99"/>
        <v>#N/A</v>
      </c>
      <c r="D3176" s="407" t="s">
        <v>3302</v>
      </c>
      <c r="E3176" s="407" t="s">
        <v>4717</v>
      </c>
      <c r="F3176" s="407" t="s">
        <v>1114</v>
      </c>
      <c r="G3176" s="407" t="s">
        <v>4718</v>
      </c>
      <c r="H3176" s="460" t="e">
        <v>#N/A</v>
      </c>
      <c r="I3176" s="460" t="e">
        <v>#N/A</v>
      </c>
      <c r="J3176" s="460" t="e">
        <v>#N/A</v>
      </c>
      <c r="K3176" s="460" t="e">
        <v>#N/A</v>
      </c>
      <c r="L3176" s="459" t="e">
        <v>#N/A</v>
      </c>
      <c r="O3176" t="e">
        <v>#N/A</v>
      </c>
      <c r="P3176" t="e">
        <v>#N/A</v>
      </c>
    </row>
    <row r="3177" spans="1:16" ht="14.4" x14ac:dyDescent="0.3">
      <c r="A3177">
        <v>308635</v>
      </c>
      <c r="B3177" t="str">
        <f t="shared" si="98"/>
        <v>SEVROLL tłumienie Mini SV-60 (40 - 60kg)</v>
      </c>
      <c r="C3177" s="185">
        <f t="shared" si="99"/>
        <v>38.056199999999997</v>
      </c>
      <c r="D3177" s="407" t="s">
        <v>3303</v>
      </c>
      <c r="E3177" s="407" t="s">
        <v>4028</v>
      </c>
      <c r="F3177" s="407" t="s">
        <v>4029</v>
      </c>
      <c r="G3177" s="407" t="s">
        <v>4030</v>
      </c>
      <c r="H3177" s="460">
        <v>282.62619999999998</v>
      </c>
      <c r="I3177" s="460">
        <v>9.5763200000000008</v>
      </c>
      <c r="J3177" s="460">
        <v>38.056199999999997</v>
      </c>
      <c r="K3177" s="460">
        <v>3772.5116400000002</v>
      </c>
      <c r="L3177" s="459" t="s">
        <v>539</v>
      </c>
      <c r="O3177">
        <v>8.9540000000000006</v>
      </c>
      <c r="P3177" t="s">
        <v>9009</v>
      </c>
    </row>
    <row r="3178" spans="1:16" ht="14.4" x14ac:dyDescent="0.3">
      <c r="A3178">
        <v>308639</v>
      </c>
      <c r="B3178" t="str">
        <f t="shared" si="98"/>
        <v>SEVROLL szczotka przeciwkurzowa z klejem 6,7x13mm szara</v>
      </c>
      <c r="C3178" s="185">
        <f t="shared" si="99"/>
        <v>1.2647999999999999</v>
      </c>
      <c r="D3178" s="407" t="s">
        <v>1191</v>
      </c>
      <c r="E3178" s="407" t="s">
        <v>5117</v>
      </c>
      <c r="F3178" s="407" t="s">
        <v>1192</v>
      </c>
      <c r="G3178" s="407" t="s">
        <v>5118</v>
      </c>
      <c r="H3178" s="460">
        <v>10.475239999999999</v>
      </c>
      <c r="I3178" s="460">
        <v>0.34048</v>
      </c>
      <c r="J3178" s="460">
        <v>1.2647999999999999</v>
      </c>
      <c r="K3178" s="460">
        <v>149.22027</v>
      </c>
      <c r="L3178" s="459" t="s">
        <v>538</v>
      </c>
      <c r="O3178">
        <v>0.19009999999999999</v>
      </c>
      <c r="P3178" t="s">
        <v>9328</v>
      </c>
    </row>
    <row r="3179" spans="1:16" ht="14.4" x14ac:dyDescent="0.3">
      <c r="A3179">
        <v>308640</v>
      </c>
      <c r="B3179" t="str">
        <f t="shared" si="98"/>
        <v>SEVROLL Szpros S18 z klejem 3m srebrny</v>
      </c>
      <c r="C3179" s="185">
        <f t="shared" si="99"/>
        <v>39.552430000000001</v>
      </c>
      <c r="D3179" s="407" t="s">
        <v>3304</v>
      </c>
      <c r="E3179" s="407" t="s">
        <v>4047</v>
      </c>
      <c r="F3179" s="407" t="s">
        <v>4048</v>
      </c>
      <c r="G3179" s="407" t="s">
        <v>4049</v>
      </c>
      <c r="H3179" s="460">
        <v>319.89659999999998</v>
      </c>
      <c r="I3179" s="460">
        <v>11.501989999999999</v>
      </c>
      <c r="J3179" s="460">
        <v>39.552430000000001</v>
      </c>
      <c r="K3179" s="460">
        <v>4426.9511599999996</v>
      </c>
      <c r="L3179" s="459" t="s">
        <v>539</v>
      </c>
      <c r="O3179">
        <v>8.8879999999999999</v>
      </c>
      <c r="P3179" t="s">
        <v>9015</v>
      </c>
    </row>
    <row r="3180" spans="1:16" ht="14.4" x14ac:dyDescent="0.3">
      <c r="A3180">
        <v>308641</v>
      </c>
      <c r="B3180" t="str">
        <f t="shared" si="98"/>
        <v>SEVROLL zestaw Fold do 2 skrzydeł lewy</v>
      </c>
      <c r="C3180" s="185">
        <f t="shared" si="99"/>
        <v>47.248139999999999</v>
      </c>
      <c r="D3180" s="407" t="s">
        <v>3305</v>
      </c>
      <c r="E3180" s="407" t="s">
        <v>4119</v>
      </c>
      <c r="F3180" s="407" t="s">
        <v>4120</v>
      </c>
      <c r="G3180" s="407" t="s">
        <v>2367</v>
      </c>
      <c r="H3180" s="460">
        <v>382.13893999999999</v>
      </c>
      <c r="I3180" s="460">
        <v>13.739929999999999</v>
      </c>
      <c r="J3180" s="460">
        <v>47.248139999999999</v>
      </c>
      <c r="K3180" s="460">
        <v>5288.3034799999996</v>
      </c>
      <c r="L3180" s="459" t="s">
        <v>539</v>
      </c>
      <c r="O3180">
        <v>10.098000000000001</v>
      </c>
      <c r="P3180" t="s">
        <v>9037</v>
      </c>
    </row>
    <row r="3181" spans="1:16" ht="14.4" x14ac:dyDescent="0.3">
      <c r="A3181">
        <v>308645</v>
      </c>
      <c r="B3181" t="str">
        <f t="shared" si="98"/>
        <v>SEVROLL Elegant II tor dolny 6m biały połysk</v>
      </c>
      <c r="C3181" s="185">
        <f t="shared" si="99"/>
        <v>0</v>
      </c>
      <c r="D3181" s="407" t="s">
        <v>3306</v>
      </c>
      <c r="E3181" s="407" t="s">
        <v>4896</v>
      </c>
      <c r="F3181" s="407" t="s">
        <v>4897</v>
      </c>
      <c r="G3181" s="407" t="s">
        <v>4898</v>
      </c>
      <c r="H3181" s="460">
        <v>1054.50082</v>
      </c>
      <c r="I3181" s="460">
        <v>37.914929999999998</v>
      </c>
      <c r="J3181" s="460">
        <v>0</v>
      </c>
      <c r="K3181" s="460">
        <v>14592.91346</v>
      </c>
      <c r="L3181" s="459" t="s">
        <v>539</v>
      </c>
      <c r="O3181">
        <v>37.752000000000002</v>
      </c>
      <c r="P3181" t="s">
        <v>9273</v>
      </c>
    </row>
    <row r="3182" spans="1:16" ht="14.4" x14ac:dyDescent="0.3">
      <c r="A3182">
        <v>308647</v>
      </c>
      <c r="B3182" t="str">
        <f t="shared" si="98"/>
        <v>SEVROLL Gemini II tor dolny 1,7m jasny brąz</v>
      </c>
      <c r="C3182" s="185">
        <f t="shared" si="99"/>
        <v>36.778399999999998</v>
      </c>
      <c r="D3182" s="407" t="s">
        <v>3307</v>
      </c>
      <c r="E3182" s="407" t="s">
        <v>4072</v>
      </c>
      <c r="F3182" s="407" t="s">
        <v>4073</v>
      </c>
      <c r="G3182" s="407" t="s">
        <v>4074</v>
      </c>
      <c r="H3182" s="460">
        <v>297.46042</v>
      </c>
      <c r="I3182" s="460">
        <v>10.69529</v>
      </c>
      <c r="J3182" s="460">
        <v>36.778399999999998</v>
      </c>
      <c r="K3182" s="460">
        <v>4116.4633899999999</v>
      </c>
      <c r="L3182" s="459" t="s">
        <v>538</v>
      </c>
      <c r="O3182">
        <v>9.5920000000000005</v>
      </c>
      <c r="P3182" t="s">
        <v>9022</v>
      </c>
    </row>
    <row r="3183" spans="1:16" ht="14.4" x14ac:dyDescent="0.3">
      <c r="A3183">
        <v>308653</v>
      </c>
      <c r="B3183" t="str">
        <f t="shared" si="98"/>
        <v>SEVROLL Gemini II tor dolny 2,35m jasny brąz</v>
      </c>
      <c r="C3183" s="185">
        <f t="shared" si="99"/>
        <v>50.91704</v>
      </c>
      <c r="D3183" s="407" t="s">
        <v>3308</v>
      </c>
      <c r="E3183" s="407" t="s">
        <v>4298</v>
      </c>
      <c r="F3183" s="407" t="s">
        <v>4299</v>
      </c>
      <c r="G3183" s="407" t="s">
        <v>4300</v>
      </c>
      <c r="H3183" s="460">
        <v>411.81259999999997</v>
      </c>
      <c r="I3183" s="460">
        <v>14.80686</v>
      </c>
      <c r="J3183" s="460">
        <v>50.91704</v>
      </c>
      <c r="K3183" s="460">
        <v>5698.9484899999998</v>
      </c>
      <c r="L3183" s="459" t="s">
        <v>538</v>
      </c>
      <c r="O3183">
        <v>13.266</v>
      </c>
      <c r="P3183" t="s">
        <v>9093</v>
      </c>
    </row>
    <row r="3184" spans="1:16" ht="14.4" x14ac:dyDescent="0.3">
      <c r="A3184">
        <v>308657</v>
      </c>
      <c r="B3184" t="str">
        <f t="shared" si="98"/>
        <v>SEVROLL Gemini II tor dolny 3m jasny brąz</v>
      </c>
      <c r="C3184" s="185">
        <f t="shared" si="99"/>
        <v>64.966210000000004</v>
      </c>
      <c r="D3184" s="407" t="s">
        <v>3309</v>
      </c>
      <c r="E3184" s="407" t="s">
        <v>4453</v>
      </c>
      <c r="F3184" s="407" t="s">
        <v>4454</v>
      </c>
      <c r="G3184" s="407" t="s">
        <v>4455</v>
      </c>
      <c r="H3184" s="460">
        <v>525.44104000000004</v>
      </c>
      <c r="I3184" s="460">
        <v>18.892410000000002</v>
      </c>
      <c r="J3184" s="460">
        <v>64.966210000000004</v>
      </c>
      <c r="K3184" s="460">
        <v>7271.4172099999996</v>
      </c>
      <c r="L3184" s="459" t="s">
        <v>538</v>
      </c>
      <c r="O3184">
        <v>16.940000000000001</v>
      </c>
      <c r="P3184" t="s">
        <v>9142</v>
      </c>
    </row>
    <row r="3185" spans="1:16" ht="14.4" x14ac:dyDescent="0.3">
      <c r="A3185">
        <v>308666</v>
      </c>
      <c r="B3185" t="str">
        <f t="shared" si="98"/>
        <v>SEVROLL Gemini II tor dolny 4,05m jasny brąz</v>
      </c>
      <c r="C3185" s="185">
        <f t="shared" si="99"/>
        <v>87.695409999999995</v>
      </c>
      <c r="D3185" s="407" t="s">
        <v>3310</v>
      </c>
      <c r="E3185" s="407" t="s">
        <v>4646</v>
      </c>
      <c r="F3185" s="407" t="s">
        <v>4647</v>
      </c>
      <c r="G3185" s="407" t="s">
        <v>4648</v>
      </c>
      <c r="H3185" s="460">
        <v>709.27301999999997</v>
      </c>
      <c r="I3185" s="460">
        <v>25.50215</v>
      </c>
      <c r="J3185" s="460">
        <v>87.695409999999995</v>
      </c>
      <c r="K3185" s="460">
        <v>9815.4118799999997</v>
      </c>
      <c r="L3185" s="459" t="s">
        <v>538</v>
      </c>
      <c r="O3185">
        <v>22.835999999999999</v>
      </c>
      <c r="P3185" t="s">
        <v>9198</v>
      </c>
    </row>
    <row r="3186" spans="1:16" ht="14.4" x14ac:dyDescent="0.3">
      <c r="A3186">
        <v>308668</v>
      </c>
      <c r="B3186" t="str">
        <f t="shared" si="98"/>
        <v>SEVROLL Gemini II tor dolny 6m jasny brąz</v>
      </c>
      <c r="C3186" s="185">
        <f t="shared" si="99"/>
        <v>0</v>
      </c>
      <c r="D3186" s="407" t="s">
        <v>3311</v>
      </c>
      <c r="E3186" s="407" t="s">
        <v>4865</v>
      </c>
      <c r="F3186" s="407" t="s">
        <v>4866</v>
      </c>
      <c r="G3186" s="407" t="s">
        <v>4867</v>
      </c>
      <c r="H3186" s="460">
        <v>1050.8820599999999</v>
      </c>
      <c r="I3186" s="460">
        <v>37.784820000000003</v>
      </c>
      <c r="J3186" s="460">
        <v>0</v>
      </c>
      <c r="K3186" s="460">
        <v>14542.83482</v>
      </c>
      <c r="L3186" s="459" t="s">
        <v>538</v>
      </c>
      <c r="O3186">
        <v>33.857999999999997</v>
      </c>
      <c r="P3186" t="s">
        <v>9265</v>
      </c>
    </row>
    <row r="3187" spans="1:16" ht="14.4" x14ac:dyDescent="0.3">
      <c r="A3187">
        <v>308670</v>
      </c>
      <c r="B3187" t="str">
        <f t="shared" si="98"/>
        <v>SEVROLL Hide M tor dolny 1,7m srebrny</v>
      </c>
      <c r="C3187" s="185" t="e">
        <f t="shared" si="99"/>
        <v>#N/A</v>
      </c>
      <c r="D3187" s="407" t="s">
        <v>3312</v>
      </c>
      <c r="E3187" s="407" t="s">
        <v>3703</v>
      </c>
      <c r="F3187" s="407" t="s">
        <v>3704</v>
      </c>
      <c r="G3187" s="407" t="s">
        <v>3705</v>
      </c>
      <c r="H3187" s="460" t="e">
        <v>#N/A</v>
      </c>
      <c r="I3187" s="460" t="e">
        <v>#N/A</v>
      </c>
      <c r="J3187" s="460" t="e">
        <v>#N/A</v>
      </c>
      <c r="K3187" s="460" t="e">
        <v>#N/A</v>
      </c>
      <c r="L3187" s="459" t="e">
        <v>#N/A</v>
      </c>
      <c r="O3187">
        <v>4.6420000000000003</v>
      </c>
      <c r="P3187" t="s">
        <v>8900</v>
      </c>
    </row>
    <row r="3188" spans="1:16" ht="14.4" x14ac:dyDescent="0.3">
      <c r="A3188">
        <v>308671</v>
      </c>
      <c r="B3188" t="str">
        <f t="shared" si="98"/>
        <v>SEVROLL Hide M tor dolny 2,35m srebrny</v>
      </c>
      <c r="C3188" s="185" t="e">
        <f t="shared" si="99"/>
        <v>#N/A</v>
      </c>
      <c r="D3188" s="407" t="s">
        <v>3313</v>
      </c>
      <c r="E3188" s="407" t="s">
        <v>3837</v>
      </c>
      <c r="F3188" s="407" t="s">
        <v>3838</v>
      </c>
      <c r="G3188" s="407" t="s">
        <v>3839</v>
      </c>
      <c r="H3188" s="460" t="e">
        <v>#N/A</v>
      </c>
      <c r="I3188" s="460" t="e">
        <v>#N/A</v>
      </c>
      <c r="J3188" s="460" t="e">
        <v>#N/A</v>
      </c>
      <c r="K3188" s="460" t="e">
        <v>#N/A</v>
      </c>
      <c r="L3188" s="459" t="e">
        <v>#N/A</v>
      </c>
      <c r="O3188">
        <v>6.4240000000000004</v>
      </c>
      <c r="P3188" t="s">
        <v>8945</v>
      </c>
    </row>
    <row r="3189" spans="1:16" ht="14.4" x14ac:dyDescent="0.3">
      <c r="A3189">
        <v>308673</v>
      </c>
      <c r="B3189" t="str">
        <f t="shared" si="98"/>
        <v>SEVROLL Hide M tor dolny 6m srebrny</v>
      </c>
      <c r="C3189" s="185">
        <f t="shared" si="99"/>
        <v>0</v>
      </c>
      <c r="D3189" s="407" t="s">
        <v>3314</v>
      </c>
      <c r="E3189" s="407" t="s">
        <v>4469</v>
      </c>
      <c r="F3189" s="407" t="s">
        <v>4470</v>
      </c>
      <c r="G3189" s="407" t="s">
        <v>4471</v>
      </c>
      <c r="H3189" s="460">
        <v>464.99504999999999</v>
      </c>
      <c r="I3189" s="460">
        <v>17.53923</v>
      </c>
      <c r="J3189" s="460">
        <v>0</v>
      </c>
      <c r="K3189" s="460">
        <v>6618.2350800000004</v>
      </c>
      <c r="L3189" s="459" t="s">
        <v>539</v>
      </c>
      <c r="O3189">
        <v>16.411999999999999</v>
      </c>
      <c r="P3189" t="s">
        <v>9145</v>
      </c>
    </row>
    <row r="3190" spans="1:16" ht="14.4" x14ac:dyDescent="0.3">
      <c r="A3190">
        <v>308681</v>
      </c>
      <c r="B3190" t="str">
        <f t="shared" si="98"/>
        <v>SEVROLL zestaw Fold do 2 skrzydeł lewy</v>
      </c>
      <c r="C3190" s="185" t="e">
        <f t="shared" si="99"/>
        <v>#N/A</v>
      </c>
      <c r="D3190" s="407" t="s">
        <v>1344</v>
      </c>
      <c r="E3190" s="407" t="s">
        <v>1795</v>
      </c>
      <c r="F3190" s="407" t="s">
        <v>5808</v>
      </c>
      <c r="G3190" s="407" t="s">
        <v>2367</v>
      </c>
      <c r="H3190" s="460" t="e">
        <v>#N/A</v>
      </c>
      <c r="I3190" s="460" t="e">
        <v>#N/A</v>
      </c>
      <c r="J3190" s="460" t="e">
        <v>#N/A</v>
      </c>
      <c r="K3190" s="460" t="e">
        <v>#N/A</v>
      </c>
      <c r="L3190" s="459" t="e">
        <v>#N/A</v>
      </c>
      <c r="O3190">
        <v>53.305999999999997</v>
      </c>
      <c r="P3190" t="s">
        <v>9658</v>
      </c>
    </row>
    <row r="3191" spans="1:16" ht="14.4" x14ac:dyDescent="0.3">
      <c r="A3191">
        <v>308682</v>
      </c>
      <c r="B3191" t="str">
        <f t="shared" si="98"/>
        <v>SEVROLL zestaw Fold do 2 skrzydeł prawy</v>
      </c>
      <c r="C3191" s="185" t="e">
        <f t="shared" si="99"/>
        <v>#N/A</v>
      </c>
      <c r="D3191" s="407" t="s">
        <v>1345</v>
      </c>
      <c r="E3191" s="407" t="s">
        <v>1796</v>
      </c>
      <c r="F3191" s="407" t="s">
        <v>5809</v>
      </c>
      <c r="G3191" s="407" t="s">
        <v>2368</v>
      </c>
      <c r="H3191" s="460" t="e">
        <v>#N/A</v>
      </c>
      <c r="I3191" s="460" t="e">
        <v>#N/A</v>
      </c>
      <c r="J3191" s="460" t="e">
        <v>#N/A</v>
      </c>
      <c r="K3191" s="460" t="e">
        <v>#N/A</v>
      </c>
      <c r="L3191" s="459" t="e">
        <v>#N/A</v>
      </c>
      <c r="O3191">
        <v>53.305999999999997</v>
      </c>
      <c r="P3191" t="s">
        <v>9659</v>
      </c>
    </row>
    <row r="3192" spans="1:16" ht="14.4" x14ac:dyDescent="0.3">
      <c r="A3192">
        <v>308683</v>
      </c>
      <c r="B3192" t="str">
        <f t="shared" si="98"/>
        <v>SEVROLL maskownica Galaxy 1,5m srebrny</v>
      </c>
      <c r="C3192" s="185" t="e">
        <f t="shared" si="99"/>
        <v>#N/A</v>
      </c>
      <c r="D3192" s="407" t="s">
        <v>3315</v>
      </c>
      <c r="E3192" s="407" t="s">
        <v>3892</v>
      </c>
      <c r="F3192" s="407" t="s">
        <v>3893</v>
      </c>
      <c r="G3192" s="407" t="s">
        <v>3894</v>
      </c>
      <c r="H3192" s="460" t="e">
        <v>#N/A</v>
      </c>
      <c r="I3192" s="460" t="e">
        <v>#N/A</v>
      </c>
      <c r="J3192" s="460" t="e">
        <v>#N/A</v>
      </c>
      <c r="K3192" s="460" t="e">
        <v>#N/A</v>
      </c>
      <c r="L3192" s="459" t="e">
        <v>#N/A</v>
      </c>
      <c r="O3192">
        <v>0</v>
      </c>
      <c r="P3192" t="s">
        <v>8964</v>
      </c>
    </row>
    <row r="3193" spans="1:16" ht="14.4" x14ac:dyDescent="0.3">
      <c r="A3193">
        <v>308687</v>
      </c>
      <c r="B3193" t="str">
        <f t="shared" si="98"/>
        <v>SEVROLL Fala rączka 10mm 2,5m srebrny</v>
      </c>
      <c r="C3193" s="185" t="e">
        <f t="shared" si="99"/>
        <v>#N/A</v>
      </c>
      <c r="D3193" s="407" t="s">
        <v>3316</v>
      </c>
      <c r="E3193" s="407" t="s">
        <v>4042</v>
      </c>
      <c r="F3193" s="407" t="s">
        <v>1169</v>
      </c>
      <c r="G3193" s="407" t="s">
        <v>4043</v>
      </c>
      <c r="H3193" s="460" t="e">
        <v>#N/A</v>
      </c>
      <c r="I3193" s="460" t="e">
        <v>#N/A</v>
      </c>
      <c r="J3193" s="460" t="e">
        <v>#N/A</v>
      </c>
      <c r="K3193" s="460" t="e">
        <v>#N/A</v>
      </c>
      <c r="L3193" s="459" t="e">
        <v>#N/A</v>
      </c>
      <c r="O3193">
        <v>8.6240000000000006</v>
      </c>
      <c r="P3193" t="s">
        <v>9013</v>
      </c>
    </row>
    <row r="3194" spans="1:16" ht="14.4" x14ac:dyDescent="0.3">
      <c r="A3194">
        <v>308690</v>
      </c>
      <c r="B3194" t="str">
        <f t="shared" si="98"/>
        <v>SEVROLL Polo rączka 10mm 2,5m srebrny</v>
      </c>
      <c r="C3194" s="185" t="e">
        <f t="shared" si="99"/>
        <v>#N/A</v>
      </c>
      <c r="D3194" s="407" t="s">
        <v>3317</v>
      </c>
      <c r="E3194" s="407" t="s">
        <v>4088</v>
      </c>
      <c r="F3194" s="407" t="s">
        <v>1116</v>
      </c>
      <c r="G3194" s="407" t="s">
        <v>4089</v>
      </c>
      <c r="H3194" s="460" t="e">
        <v>#N/A</v>
      </c>
      <c r="I3194" s="460" t="e">
        <v>#N/A</v>
      </c>
      <c r="J3194" s="460" t="e">
        <v>#N/A</v>
      </c>
      <c r="K3194" s="460" t="e">
        <v>#N/A</v>
      </c>
      <c r="L3194" s="459" t="e">
        <v>#N/A</v>
      </c>
      <c r="O3194" t="e">
        <v>#N/A</v>
      </c>
      <c r="P3194" t="e">
        <v>#N/A</v>
      </c>
    </row>
    <row r="3195" spans="1:16" ht="14.4" x14ac:dyDescent="0.3">
      <c r="A3195">
        <v>308694</v>
      </c>
      <c r="B3195" t="str">
        <f t="shared" si="98"/>
        <v>SEVROLL tor górny Galaxy B 50kg do ściany 1,5m</v>
      </c>
      <c r="C3195" s="185">
        <f t="shared" si="99"/>
        <v>33.484079999999999</v>
      </c>
      <c r="D3195" s="407" t="s">
        <v>3318</v>
      </c>
      <c r="E3195" s="407" t="s">
        <v>3935</v>
      </c>
      <c r="F3195" s="407" t="s">
        <v>1087</v>
      </c>
      <c r="G3195" s="407" t="s">
        <v>3936</v>
      </c>
      <c r="H3195" s="460">
        <v>260.09368000000001</v>
      </c>
      <c r="I3195" s="460">
        <v>9.8105200000000004</v>
      </c>
      <c r="J3195" s="460">
        <v>33.484079999999999</v>
      </c>
      <c r="K3195" s="460">
        <v>3701.89113</v>
      </c>
      <c r="L3195" s="459" t="s">
        <v>539</v>
      </c>
      <c r="O3195">
        <v>9.1959999999999997</v>
      </c>
      <c r="P3195" t="s">
        <v>8978</v>
      </c>
    </row>
    <row r="3196" spans="1:16" ht="14.4" x14ac:dyDescent="0.3">
      <c r="A3196">
        <v>308695</v>
      </c>
      <c r="B3196" t="str">
        <f t="shared" si="98"/>
        <v>SEVROLL tor górny Galaxy B 50kg do ściany 2,5m</v>
      </c>
      <c r="C3196" s="185" t="e">
        <f t="shared" si="99"/>
        <v>#N/A</v>
      </c>
      <c r="D3196" s="407" t="s">
        <v>3319</v>
      </c>
      <c r="E3196" s="407" t="s">
        <v>5669</v>
      </c>
      <c r="F3196" s="407" t="s">
        <v>1086</v>
      </c>
      <c r="G3196" s="407" t="s">
        <v>5670</v>
      </c>
      <c r="H3196" s="460" t="e">
        <v>#N/A</v>
      </c>
      <c r="I3196" s="460" t="e">
        <v>#N/A</v>
      </c>
      <c r="J3196" s="460" t="e">
        <v>#N/A</v>
      </c>
      <c r="K3196" s="460" t="e">
        <v>#N/A</v>
      </c>
      <c r="L3196" s="459" t="e">
        <v>#N/A</v>
      </c>
      <c r="O3196">
        <v>0</v>
      </c>
      <c r="P3196" t="s">
        <v>9520</v>
      </c>
    </row>
    <row r="3197" spans="1:16" ht="14.4" x14ac:dyDescent="0.3">
      <c r="A3197">
        <v>308696</v>
      </c>
      <c r="B3197" t="str">
        <f t="shared" si="98"/>
        <v>SEVROLL tor górny Galaxy B 50kg do ściany 4m</v>
      </c>
      <c r="C3197" s="185">
        <f t="shared" si="99"/>
        <v>89.2346</v>
      </c>
      <c r="D3197" s="407" t="s">
        <v>3320</v>
      </c>
      <c r="E3197" s="407" t="s">
        <v>5667</v>
      </c>
      <c r="F3197" s="407" t="s">
        <v>1085</v>
      </c>
      <c r="G3197" s="407" t="s">
        <v>5668</v>
      </c>
      <c r="H3197" s="460">
        <v>693.35317999999995</v>
      </c>
      <c r="I3197" s="460">
        <v>26.152709999999999</v>
      </c>
      <c r="J3197" s="460">
        <v>89.2346</v>
      </c>
      <c r="K3197" s="460">
        <v>9868.4363300000005</v>
      </c>
      <c r="L3197" s="459" t="s">
        <v>539</v>
      </c>
      <c r="O3197">
        <v>24.507999999999999</v>
      </c>
      <c r="P3197" t="s">
        <v>9519</v>
      </c>
    </row>
    <row r="3198" spans="1:16" ht="14.4" x14ac:dyDescent="0.3">
      <c r="A3198">
        <v>308697</v>
      </c>
      <c r="B3198" t="str">
        <f t="shared" si="98"/>
        <v>SEVROLL tor górny Galaxy S 50kg do sufitu 1,5m</v>
      </c>
      <c r="C3198" s="185">
        <f t="shared" si="99"/>
        <v>31.881550000000001</v>
      </c>
      <c r="D3198" s="407" t="s">
        <v>3321</v>
      </c>
      <c r="E3198" s="407" t="s">
        <v>5665</v>
      </c>
      <c r="F3198" s="407" t="s">
        <v>1084</v>
      </c>
      <c r="G3198" s="407" t="s">
        <v>5666</v>
      </c>
      <c r="H3198" s="460">
        <v>247.67541</v>
      </c>
      <c r="I3198" s="460">
        <v>9.3421099999999999</v>
      </c>
      <c r="J3198" s="460">
        <v>31.881550000000001</v>
      </c>
      <c r="K3198" s="460">
        <v>3525.1430799999998</v>
      </c>
      <c r="L3198" s="459" t="s">
        <v>539</v>
      </c>
      <c r="O3198">
        <v>8.7560000000000002</v>
      </c>
      <c r="P3198" t="s">
        <v>9518</v>
      </c>
    </row>
    <row r="3199" spans="1:16" ht="14.4" x14ac:dyDescent="0.3">
      <c r="A3199">
        <v>308698</v>
      </c>
      <c r="B3199" t="str">
        <f t="shared" si="98"/>
        <v>SEVROLL tor górny Galaxy S 50kg do sufitu 2,5m</v>
      </c>
      <c r="C3199" s="185" t="e">
        <f t="shared" si="99"/>
        <v>#N/A</v>
      </c>
      <c r="D3199" s="407" t="s">
        <v>3322</v>
      </c>
      <c r="E3199" s="407" t="s">
        <v>5663</v>
      </c>
      <c r="F3199" s="407" t="s">
        <v>1083</v>
      </c>
      <c r="G3199" s="407" t="s">
        <v>5664</v>
      </c>
      <c r="H3199" s="460" t="e">
        <v>#N/A</v>
      </c>
      <c r="I3199" s="460" t="e">
        <v>#N/A</v>
      </c>
      <c r="J3199" s="460" t="e">
        <v>#N/A</v>
      </c>
      <c r="K3199" s="460" t="e">
        <v>#N/A</v>
      </c>
      <c r="L3199" s="459" t="e">
        <v>#N/A</v>
      </c>
      <c r="O3199">
        <v>0</v>
      </c>
      <c r="P3199" t="s">
        <v>9517</v>
      </c>
    </row>
    <row r="3200" spans="1:16" ht="14.4" x14ac:dyDescent="0.3">
      <c r="A3200">
        <v>308699</v>
      </c>
      <c r="B3200" t="str">
        <f t="shared" si="98"/>
        <v>SEVROLL tor górny Galaxy S 50kg do sufitu 4m</v>
      </c>
      <c r="C3200" s="185">
        <f t="shared" si="99"/>
        <v>84.933130000000006</v>
      </c>
      <c r="D3200" s="407" t="s">
        <v>3323</v>
      </c>
      <c r="E3200" s="407" t="s">
        <v>5661</v>
      </c>
      <c r="F3200" s="407" t="s">
        <v>1082</v>
      </c>
      <c r="G3200" s="407" t="s">
        <v>5662</v>
      </c>
      <c r="H3200" s="460">
        <v>660.23779999999999</v>
      </c>
      <c r="I3200" s="460">
        <v>24.90363</v>
      </c>
      <c r="J3200" s="460">
        <v>84.933130000000006</v>
      </c>
      <c r="K3200" s="460">
        <v>9397.1080999999995</v>
      </c>
      <c r="L3200" s="459" t="s">
        <v>539</v>
      </c>
      <c r="O3200">
        <v>23.32</v>
      </c>
      <c r="P3200" t="s">
        <v>9516</v>
      </c>
    </row>
    <row r="3201" spans="1:16" ht="14.4" x14ac:dyDescent="0.3">
      <c r="A3201">
        <v>311586</v>
      </c>
      <c r="B3201" t="str">
        <f t="shared" si="98"/>
        <v>SEVROLL Gemini tor górny 6m biały połysk</v>
      </c>
      <c r="C3201" s="185">
        <f t="shared" si="99"/>
        <v>0</v>
      </c>
      <c r="D3201" s="407" t="s">
        <v>3324</v>
      </c>
      <c r="E3201" s="407" t="s">
        <v>5291</v>
      </c>
      <c r="F3201" s="407" t="s">
        <v>5292</v>
      </c>
      <c r="G3201" s="407" t="s">
        <v>5293</v>
      </c>
      <c r="H3201" s="460">
        <v>1806.47497</v>
      </c>
      <c r="I3201" s="460">
        <v>64.95241</v>
      </c>
      <c r="J3201" s="460">
        <v>0</v>
      </c>
      <c r="K3201" s="460">
        <v>24999.252980000001</v>
      </c>
      <c r="L3201" s="459" t="s">
        <v>539</v>
      </c>
      <c r="O3201">
        <v>68.706000000000003</v>
      </c>
      <c r="P3201" t="s">
        <v>9390</v>
      </c>
    </row>
    <row r="3202" spans="1:16" ht="14.4" x14ac:dyDescent="0.3">
      <c r="A3202">
        <v>312097</v>
      </c>
      <c r="B3202" t="str">
        <f t="shared" si="98"/>
        <v>K-SEVROLL komplet wózków do 2 skrzydeł 18mm + szablon</v>
      </c>
      <c r="C3202" s="185" t="e">
        <f t="shared" si="99"/>
        <v>#N/A</v>
      </c>
      <c r="D3202" s="407" t="s">
        <v>1319</v>
      </c>
      <c r="E3202" s="407" t="s">
        <v>5778</v>
      </c>
      <c r="F3202" s="407" t="s">
        <v>68</v>
      </c>
      <c r="G3202" s="407" t="s">
        <v>5779</v>
      </c>
      <c r="H3202" s="460" t="e">
        <v>#N/A</v>
      </c>
      <c r="I3202" s="460" t="e">
        <v>#N/A</v>
      </c>
      <c r="J3202" s="460" t="e">
        <v>#N/A</v>
      </c>
      <c r="K3202" s="460" t="e">
        <v>#N/A</v>
      </c>
      <c r="L3202" s="459" t="e">
        <v>#N/A</v>
      </c>
      <c r="O3202" t="e">
        <v>#N/A</v>
      </c>
      <c r="P3202" t="e">
        <v>#N/A</v>
      </c>
    </row>
    <row r="3203" spans="1:16" ht="14.4" x14ac:dyDescent="0.3">
      <c r="A3203">
        <v>315863</v>
      </c>
      <c r="B3203" t="str">
        <f t="shared" si="98"/>
        <v>SEVROLL zestaw Herkules plus 25kg HP2/25 1,2m</v>
      </c>
      <c r="C3203" s="185" t="e">
        <f t="shared" si="99"/>
        <v>#N/A</v>
      </c>
      <c r="D3203" s="407" t="s">
        <v>1417</v>
      </c>
      <c r="E3203" s="407" t="s">
        <v>1862</v>
      </c>
      <c r="F3203" s="407" t="s">
        <v>1417</v>
      </c>
      <c r="G3203" s="407" t="s">
        <v>2409</v>
      </c>
      <c r="H3203" s="460" t="e">
        <v>#N/A</v>
      </c>
      <c r="I3203" s="460" t="e">
        <v>#N/A</v>
      </c>
      <c r="J3203" s="460" t="e">
        <v>#N/A</v>
      </c>
      <c r="K3203" s="460" t="e">
        <v>#N/A</v>
      </c>
      <c r="L3203" s="459" t="e">
        <v>#N/A</v>
      </c>
      <c r="O3203" t="e">
        <v>#N/A</v>
      </c>
      <c r="P3203" t="e">
        <v>#N/A</v>
      </c>
    </row>
    <row r="3204" spans="1:16" ht="14.4" x14ac:dyDescent="0.3">
      <c r="A3204">
        <v>317377</v>
      </c>
      <c r="B3204" t="str">
        <f t="shared" ref="B3204:B3267" si="100">IF($A$2=1,D3204,IF($A$2=2,F3204,IF($A$2=3,G3204,IF($A$2=4,E3204,IF($A$2&gt;4,P3204,"zadat jazyk")))))</f>
        <v>SEVROLL Herkules Glass zestaw okuć 100kg</v>
      </c>
      <c r="C3204" s="185" t="e">
        <f t="shared" ref="C3204:C3267" si="101">IF($A$2=1,H3204,IF($A$2=2,I3204,IF($A$2=3,J3204,IF($A$2=4,K3204,IF($A$2&gt;4,O3204,"zadat jazyk")))))</f>
        <v>#N/A</v>
      </c>
      <c r="D3204" s="407" t="s">
        <v>3325</v>
      </c>
      <c r="E3204" s="407" t="s">
        <v>5078</v>
      </c>
      <c r="F3204" s="407" t="s">
        <v>5079</v>
      </c>
      <c r="G3204" s="407" t="s">
        <v>5080</v>
      </c>
      <c r="H3204" s="460" t="e">
        <v>#N/A</v>
      </c>
      <c r="I3204" s="460" t="e">
        <v>#N/A</v>
      </c>
      <c r="J3204" s="460" t="e">
        <v>#N/A</v>
      </c>
      <c r="K3204" s="460" t="e">
        <v>#N/A</v>
      </c>
      <c r="L3204" s="459" t="e">
        <v>#N/A</v>
      </c>
      <c r="O3204" t="e">
        <v>#N/A</v>
      </c>
      <c r="P3204" t="e">
        <v>#N/A</v>
      </c>
    </row>
    <row r="3205" spans="1:16" ht="14.4" x14ac:dyDescent="0.3">
      <c r="A3205">
        <v>318447</v>
      </c>
      <c r="B3205" t="str">
        <f t="shared" si="100"/>
        <v>SEVROLL mocowanie do sufitu ukośnego</v>
      </c>
      <c r="C3205" s="185" t="e">
        <f t="shared" si="101"/>
        <v>#N/A</v>
      </c>
      <c r="D3205" s="407" t="s">
        <v>3326</v>
      </c>
      <c r="E3205" s="407" t="s">
        <v>4809</v>
      </c>
      <c r="F3205" s="407" t="s">
        <v>4810</v>
      </c>
      <c r="G3205" s="407" t="s">
        <v>4811</v>
      </c>
      <c r="H3205" s="460" t="e">
        <v>#N/A</v>
      </c>
      <c r="I3205" s="460" t="e">
        <v>#N/A</v>
      </c>
      <c r="J3205" s="460" t="e">
        <v>#N/A</v>
      </c>
      <c r="K3205" s="460" t="e">
        <v>#N/A</v>
      </c>
      <c r="L3205" s="459" t="e">
        <v>#N/A</v>
      </c>
      <c r="O3205">
        <v>26.466000000000001</v>
      </c>
      <c r="P3205" t="s">
        <v>9251</v>
      </c>
    </row>
    <row r="3206" spans="1:16" ht="14.4" x14ac:dyDescent="0.3">
      <c r="A3206">
        <v>318638</v>
      </c>
      <c r="B3206" t="str">
        <f t="shared" si="100"/>
        <v>SEVROLL zaślepka do toru Elegant II 1,7m złoty</v>
      </c>
      <c r="C3206" s="185">
        <f t="shared" si="101"/>
        <v>11.006679999999999</v>
      </c>
      <c r="D3206" s="407" t="s">
        <v>3327</v>
      </c>
      <c r="E3206" s="407" t="s">
        <v>5431</v>
      </c>
      <c r="F3206" s="407" t="s">
        <v>1137</v>
      </c>
      <c r="G3206" s="407" t="s">
        <v>5432</v>
      </c>
      <c r="H3206" s="460">
        <v>89.020989999999998</v>
      </c>
      <c r="I3206" s="460">
        <v>3.20078</v>
      </c>
      <c r="J3206" s="460">
        <v>11.006679999999999</v>
      </c>
      <c r="K3206" s="460">
        <v>1231.93427</v>
      </c>
      <c r="L3206" s="459" t="s">
        <v>539</v>
      </c>
      <c r="O3206">
        <v>2.9039999999999999</v>
      </c>
      <c r="P3206" t="s">
        <v>9435</v>
      </c>
    </row>
    <row r="3207" spans="1:16" ht="14.4" x14ac:dyDescent="0.3">
      <c r="A3207">
        <v>318643</v>
      </c>
      <c r="B3207" t="str">
        <f t="shared" si="100"/>
        <v>SEVROLL zaślepka do toru Elegant II 2,35m złoty</v>
      </c>
      <c r="C3207" s="185">
        <f t="shared" si="101"/>
        <v>15.21246</v>
      </c>
      <c r="D3207" s="407" t="s">
        <v>3328</v>
      </c>
      <c r="E3207" s="407" t="s">
        <v>5438</v>
      </c>
      <c r="F3207" s="407" t="s">
        <v>1136</v>
      </c>
      <c r="G3207" s="407" t="s">
        <v>5439</v>
      </c>
      <c r="H3207" s="460">
        <v>123.03716</v>
      </c>
      <c r="I3207" s="460">
        <v>4.4238400000000002</v>
      </c>
      <c r="J3207" s="460">
        <v>15.21246</v>
      </c>
      <c r="K3207" s="460">
        <v>1702.6734799999999</v>
      </c>
      <c r="L3207" s="459" t="s">
        <v>539</v>
      </c>
      <c r="O3207">
        <v>4.0039999999999996</v>
      </c>
      <c r="P3207" t="s">
        <v>9438</v>
      </c>
    </row>
    <row r="3208" spans="1:16" ht="14.4" x14ac:dyDescent="0.3">
      <c r="A3208">
        <v>318644</v>
      </c>
      <c r="B3208" t="str">
        <f t="shared" si="100"/>
        <v>SEVROLL maska do toru Elegant II 3m złoty</v>
      </c>
      <c r="C3208" s="185">
        <f t="shared" si="101"/>
        <v>19.507760000000001</v>
      </c>
      <c r="D3208" s="407" t="s">
        <v>3329</v>
      </c>
      <c r="E3208" s="407" t="s">
        <v>5445</v>
      </c>
      <c r="F3208" s="407" t="s">
        <v>1135</v>
      </c>
      <c r="G3208" s="407" t="s">
        <v>5446</v>
      </c>
      <c r="H3208" s="460">
        <v>210.05124000000001</v>
      </c>
      <c r="I3208" s="460">
        <v>7.6506400000000001</v>
      </c>
      <c r="J3208" s="460">
        <v>19.507760000000001</v>
      </c>
      <c r="K3208" s="460">
        <v>2183.4282699999999</v>
      </c>
      <c r="L3208" s="459" t="s">
        <v>539</v>
      </c>
      <c r="O3208">
        <v>5.2140000000000004</v>
      </c>
      <c r="P3208" t="s">
        <v>9441</v>
      </c>
    </row>
    <row r="3209" spans="1:16" ht="14.4" x14ac:dyDescent="0.3">
      <c r="A3209">
        <v>318645</v>
      </c>
      <c r="B3209" t="str">
        <f t="shared" si="100"/>
        <v>SEVROLL maska do toru Elegant II 4,05m złoty</v>
      </c>
      <c r="C3209" s="185">
        <f t="shared" si="101"/>
        <v>26.30864</v>
      </c>
      <c r="D3209" s="407" t="s">
        <v>3330</v>
      </c>
      <c r="E3209" s="407" t="s">
        <v>5452</v>
      </c>
      <c r="F3209" s="407" t="s">
        <v>1134</v>
      </c>
      <c r="G3209" s="407" t="s">
        <v>5453</v>
      </c>
      <c r="H3209" s="460">
        <v>212.78190000000001</v>
      </c>
      <c r="I3209" s="460">
        <v>7.6506400000000001</v>
      </c>
      <c r="J3209" s="460">
        <v>26.30864</v>
      </c>
      <c r="K3209" s="460">
        <v>2944.62372</v>
      </c>
      <c r="L3209" s="459" t="s">
        <v>539</v>
      </c>
      <c r="O3209">
        <v>6.9080000000000004</v>
      </c>
      <c r="P3209" t="s">
        <v>9444</v>
      </c>
    </row>
    <row r="3210" spans="1:16" ht="14.4" x14ac:dyDescent="0.3">
      <c r="A3210">
        <v>318646</v>
      </c>
      <c r="B3210" t="str">
        <f t="shared" si="100"/>
        <v>SEVROLL zaślepka do toru Elegant II 6m złoty</v>
      </c>
      <c r="C3210" s="185">
        <f t="shared" si="101"/>
        <v>0</v>
      </c>
      <c r="D3210" s="407" t="s">
        <v>3331</v>
      </c>
      <c r="E3210" s="407" t="s">
        <v>5459</v>
      </c>
      <c r="F3210" s="407" t="s">
        <v>5460</v>
      </c>
      <c r="G3210" s="407" t="s">
        <v>5461</v>
      </c>
      <c r="H3210" s="460">
        <v>314.83039000000002</v>
      </c>
      <c r="I3210" s="460">
        <v>11.31983</v>
      </c>
      <c r="J3210" s="460">
        <v>0</v>
      </c>
      <c r="K3210" s="460">
        <v>4356.8409799999999</v>
      </c>
      <c r="L3210" s="459" t="s">
        <v>539</v>
      </c>
      <c r="O3210">
        <v>10.23</v>
      </c>
      <c r="P3210" t="s">
        <v>9447</v>
      </c>
    </row>
    <row r="3211" spans="1:16" ht="14.4" x14ac:dyDescent="0.3">
      <c r="A3211">
        <v>318655</v>
      </c>
      <c r="B3211" t="str">
        <f t="shared" si="100"/>
        <v>SEVROLL maska do toru Elegant II 1,7m jasny brąz</v>
      </c>
      <c r="C3211" s="185">
        <f t="shared" si="101"/>
        <v>11.006679999999999</v>
      </c>
      <c r="D3211" s="407" t="s">
        <v>3332</v>
      </c>
      <c r="E3211" s="407" t="s">
        <v>5427</v>
      </c>
      <c r="F3211" s="407" t="s">
        <v>3332</v>
      </c>
      <c r="G3211" s="407" t="s">
        <v>5428</v>
      </c>
      <c r="H3211" s="460">
        <v>89.020989999999998</v>
      </c>
      <c r="I3211" s="460">
        <v>3.20078</v>
      </c>
      <c r="J3211" s="460">
        <v>11.006679999999999</v>
      </c>
      <c r="K3211" s="460">
        <v>1231.93427</v>
      </c>
      <c r="L3211" s="459" t="s">
        <v>538</v>
      </c>
      <c r="O3211">
        <v>2.9039999999999999</v>
      </c>
      <c r="P3211" t="s">
        <v>9433</v>
      </c>
    </row>
    <row r="3212" spans="1:16" ht="14.4" x14ac:dyDescent="0.3">
      <c r="A3212">
        <v>318656</v>
      </c>
      <c r="B3212" t="str">
        <f t="shared" si="100"/>
        <v>SEVROLL maska do toru Elegant II 1,7m biały połysk</v>
      </c>
      <c r="C3212" s="185">
        <f t="shared" si="101"/>
        <v>12.199199999999999</v>
      </c>
      <c r="D3212" s="407" t="s">
        <v>3333</v>
      </c>
      <c r="E3212" s="407" t="s">
        <v>3610</v>
      </c>
      <c r="F3212" s="407" t="s">
        <v>3611</v>
      </c>
      <c r="G3212" s="407" t="s">
        <v>3612</v>
      </c>
      <c r="H3212" s="460">
        <v>92.639750000000006</v>
      </c>
      <c r="I3212" s="460">
        <v>3.3308900000000001</v>
      </c>
      <c r="J3212" s="460">
        <v>12.199199999999999</v>
      </c>
      <c r="K3212" s="460">
        <v>1282.0129099999999</v>
      </c>
      <c r="L3212" s="459" t="s">
        <v>538</v>
      </c>
      <c r="O3212">
        <v>3.278</v>
      </c>
      <c r="P3212" t="s">
        <v>8867</v>
      </c>
    </row>
    <row r="3213" spans="1:16" ht="14.4" x14ac:dyDescent="0.3">
      <c r="A3213">
        <v>318657</v>
      </c>
      <c r="B3213" t="str">
        <f t="shared" si="100"/>
        <v>SEVROLL zaślepka do toru Elegant II 1,7m srebrny</v>
      </c>
      <c r="C3213" s="185">
        <f t="shared" si="101"/>
        <v>9.3840000000000003</v>
      </c>
      <c r="D3213" s="407" t="s">
        <v>3334</v>
      </c>
      <c r="E3213" s="407" t="s">
        <v>5429</v>
      </c>
      <c r="F3213" s="407" t="s">
        <v>5430</v>
      </c>
      <c r="G3213" s="407" t="s">
        <v>2379</v>
      </c>
      <c r="H3213" s="460">
        <v>71.651049999999998</v>
      </c>
      <c r="I3213" s="460">
        <v>2.5762399999999999</v>
      </c>
      <c r="J3213" s="460">
        <v>9.3840000000000003</v>
      </c>
      <c r="K3213" s="460">
        <v>991.55706999999995</v>
      </c>
      <c r="L3213" s="459" t="s">
        <v>538</v>
      </c>
      <c r="O3213">
        <v>2.4860000000000002</v>
      </c>
      <c r="P3213" t="s">
        <v>9434</v>
      </c>
    </row>
    <row r="3214" spans="1:16" ht="14.4" x14ac:dyDescent="0.3">
      <c r="A3214">
        <v>318658</v>
      </c>
      <c r="B3214" t="str">
        <f t="shared" si="100"/>
        <v>SEVROLL maska do toru Elegant II 2,35m jasny brąz</v>
      </c>
      <c r="C3214" s="185">
        <f t="shared" si="101"/>
        <v>15.21246</v>
      </c>
      <c r="D3214" s="407" t="s">
        <v>3335</v>
      </c>
      <c r="E3214" s="407" t="s">
        <v>5433</v>
      </c>
      <c r="F3214" s="407" t="s">
        <v>3335</v>
      </c>
      <c r="G3214" s="407" t="s">
        <v>5434</v>
      </c>
      <c r="H3214" s="460">
        <v>123.03716</v>
      </c>
      <c r="I3214" s="460">
        <v>4.4238400000000002</v>
      </c>
      <c r="J3214" s="460">
        <v>15.21246</v>
      </c>
      <c r="K3214" s="460">
        <v>1702.6734799999999</v>
      </c>
      <c r="L3214" s="459" t="s">
        <v>538</v>
      </c>
      <c r="O3214">
        <v>4.0039999999999996</v>
      </c>
      <c r="P3214" t="s">
        <v>9436</v>
      </c>
    </row>
    <row r="3215" spans="1:16" ht="14.4" x14ac:dyDescent="0.3">
      <c r="A3215">
        <v>318659</v>
      </c>
      <c r="B3215" t="str">
        <f t="shared" si="100"/>
        <v>SEVROLL maska do toru Elegant II 2,35m biały połysk</v>
      </c>
      <c r="C3215" s="185">
        <f t="shared" si="101"/>
        <v>16.870799999999999</v>
      </c>
      <c r="D3215" s="407" t="s">
        <v>3336</v>
      </c>
      <c r="E3215" s="407" t="s">
        <v>3698</v>
      </c>
      <c r="F3215" s="407" t="s">
        <v>3699</v>
      </c>
      <c r="G3215" s="407" t="s">
        <v>3700</v>
      </c>
      <c r="H3215" s="460">
        <v>128.10339999999999</v>
      </c>
      <c r="I3215" s="460">
        <v>4.6059999999999999</v>
      </c>
      <c r="J3215" s="460">
        <v>16.870799999999999</v>
      </c>
      <c r="K3215" s="460">
        <v>1772.7836600000001</v>
      </c>
      <c r="L3215" s="459" t="s">
        <v>538</v>
      </c>
      <c r="O3215">
        <v>4.532</v>
      </c>
      <c r="P3215" t="s">
        <v>8899</v>
      </c>
    </row>
    <row r="3216" spans="1:16" ht="14.4" x14ac:dyDescent="0.3">
      <c r="A3216">
        <v>318660</v>
      </c>
      <c r="B3216" t="str">
        <f t="shared" si="100"/>
        <v>SEVROLL zaślepka do toru Elegant II 2,35m srebrny</v>
      </c>
      <c r="C3216" s="185">
        <f t="shared" si="101"/>
        <v>12.9846</v>
      </c>
      <c r="D3216" s="407" t="s">
        <v>3337</v>
      </c>
      <c r="E3216" s="407" t="s">
        <v>5435</v>
      </c>
      <c r="F3216" s="407" t="s">
        <v>5436</v>
      </c>
      <c r="G3216" s="407" t="s">
        <v>5437</v>
      </c>
      <c r="H3216" s="460">
        <v>98.429739999999995</v>
      </c>
      <c r="I3216" s="460">
        <v>3.5390700000000002</v>
      </c>
      <c r="J3216" s="460">
        <v>12.9846</v>
      </c>
      <c r="K3216" s="460">
        <v>1362.1386299999999</v>
      </c>
      <c r="L3216" s="459" t="s">
        <v>538</v>
      </c>
      <c r="O3216">
        <v>3.476</v>
      </c>
      <c r="P3216" t="s">
        <v>9437</v>
      </c>
    </row>
    <row r="3217" spans="1:16" ht="14.4" x14ac:dyDescent="0.3">
      <c r="A3217">
        <v>318662</v>
      </c>
      <c r="B3217" t="str">
        <f t="shared" si="100"/>
        <v>SEVROLL tłumienie Mini SV25 (14-25kg)</v>
      </c>
      <c r="C3217" s="185">
        <f t="shared" si="101"/>
        <v>96.889799999999994</v>
      </c>
      <c r="D3217" s="407" t="s">
        <v>4590</v>
      </c>
      <c r="E3217" s="407" t="s">
        <v>4591</v>
      </c>
      <c r="F3217" s="407" t="s">
        <v>4592</v>
      </c>
      <c r="G3217" s="407" t="s">
        <v>4593</v>
      </c>
      <c r="H3217" s="460">
        <v>677.38124000000005</v>
      </c>
      <c r="I3217" s="460">
        <v>22.951930000000001</v>
      </c>
      <c r="J3217" s="460">
        <v>96.889799999999994</v>
      </c>
      <c r="K3217" s="460">
        <v>9041.7265599999992</v>
      </c>
      <c r="L3217" s="459" t="s">
        <v>538</v>
      </c>
      <c r="O3217">
        <v>20.416</v>
      </c>
      <c r="P3217" t="s">
        <v>9182</v>
      </c>
    </row>
    <row r="3218" spans="1:16" ht="14.4" x14ac:dyDescent="0.3">
      <c r="A3218">
        <v>318663</v>
      </c>
      <c r="B3218" t="str">
        <f t="shared" si="100"/>
        <v>SEVROLL tłumienie Central 10/18mm obustronne 25kg</v>
      </c>
      <c r="C3218" s="185">
        <f t="shared" si="101"/>
        <v>206.958</v>
      </c>
      <c r="D3218" s="407" t="s">
        <v>3338</v>
      </c>
      <c r="E3218" s="407" t="s">
        <v>4963</v>
      </c>
      <c r="F3218" s="407" t="s">
        <v>4964</v>
      </c>
      <c r="G3218" s="407" t="s">
        <v>4965</v>
      </c>
      <c r="H3218" s="460">
        <v>1450.76324</v>
      </c>
      <c r="I3218" s="460">
        <v>49.156689999999998</v>
      </c>
      <c r="J3218" s="460">
        <v>206.958</v>
      </c>
      <c r="K3218" s="460">
        <v>19364.876939999998</v>
      </c>
      <c r="L3218" s="459" t="s">
        <v>538</v>
      </c>
      <c r="O3218">
        <v>43.735999999999997</v>
      </c>
      <c r="P3218" t="s">
        <v>9290</v>
      </c>
    </row>
    <row r="3219" spans="1:16" ht="14.4" x14ac:dyDescent="0.3">
      <c r="A3219">
        <v>318666</v>
      </c>
      <c r="B3219" t="str">
        <f t="shared" si="100"/>
        <v>SEVROLL Elegant II tor dolny 1,7 m, jasny brąz</v>
      </c>
      <c r="C3219" s="185">
        <f t="shared" si="101"/>
        <v>39.086399999999998</v>
      </c>
      <c r="D3219" s="407" t="s">
        <v>3339</v>
      </c>
      <c r="E3219" s="407" t="s">
        <v>5151</v>
      </c>
      <c r="F3219" s="407" t="s">
        <v>5152</v>
      </c>
      <c r="G3219" s="407" t="s">
        <v>5153</v>
      </c>
      <c r="H3219" s="460">
        <v>289.49919</v>
      </c>
      <c r="I3219" s="460">
        <v>10.39603</v>
      </c>
      <c r="J3219" s="460">
        <v>39.086399999999998</v>
      </c>
      <c r="K3219" s="460">
        <v>4006.2905700000001</v>
      </c>
      <c r="L3219" s="459" t="s">
        <v>538</v>
      </c>
      <c r="O3219">
        <v>9.8559999999999999</v>
      </c>
      <c r="P3219" t="s">
        <v>9340</v>
      </c>
    </row>
    <row r="3220" spans="1:16" ht="14.4" x14ac:dyDescent="0.3">
      <c r="A3220">
        <v>318841</v>
      </c>
      <c r="B3220" t="str">
        <f t="shared" si="100"/>
        <v/>
      </c>
      <c r="C3220" s="185" t="e">
        <f t="shared" si="101"/>
        <v>#N/A</v>
      </c>
      <c r="D3220" s="407" t="s">
        <v>1405</v>
      </c>
      <c r="E3220" s="407" t="s">
        <v>68</v>
      </c>
      <c r="F3220" s="407" t="s">
        <v>68</v>
      </c>
      <c r="G3220" s="407" t="s">
        <v>68</v>
      </c>
      <c r="H3220" s="460" t="e">
        <v>#N/A</v>
      </c>
      <c r="I3220" s="460" t="e">
        <v>#N/A</v>
      </c>
      <c r="J3220" s="460" t="e">
        <v>#N/A</v>
      </c>
      <c r="K3220" s="460" t="e">
        <v>#N/A</v>
      </c>
      <c r="L3220" s="459" t="e">
        <v>#N/A</v>
      </c>
      <c r="O3220" t="e">
        <v>#N/A</v>
      </c>
      <c r="P3220" t="e">
        <v>#N/A</v>
      </c>
    </row>
    <row r="3221" spans="1:16" ht="14.4" x14ac:dyDescent="0.3">
      <c r="A3221">
        <v>328321</v>
      </c>
      <c r="B3221" t="str">
        <f t="shared" si="100"/>
        <v>SEVROLL wózek dolny WD10 V 2 szt. bez pozycjonera</v>
      </c>
      <c r="C3221" s="185">
        <f t="shared" si="101"/>
        <v>26.52</v>
      </c>
      <c r="D3221" s="407" t="s">
        <v>3340</v>
      </c>
      <c r="E3221" s="407" t="s">
        <v>5568</v>
      </c>
      <c r="F3221" s="407" t="s">
        <v>5569</v>
      </c>
      <c r="G3221" s="407" t="s">
        <v>5570</v>
      </c>
      <c r="H3221" s="460">
        <v>177.40937</v>
      </c>
      <c r="I3221" s="460">
        <v>6.0112199999999998</v>
      </c>
      <c r="J3221" s="460">
        <v>26.52</v>
      </c>
      <c r="K3221" s="460">
        <v>2368.0710600000002</v>
      </c>
      <c r="L3221" s="459" t="s">
        <v>538</v>
      </c>
      <c r="O3221">
        <v>5.6539999999999999</v>
      </c>
      <c r="P3221" t="s">
        <v>9485</v>
      </c>
    </row>
    <row r="3222" spans="1:16" ht="14.4" x14ac:dyDescent="0.3">
      <c r="A3222">
        <v>328334</v>
      </c>
      <c r="B3222" t="str">
        <f t="shared" si="100"/>
        <v>K-SEVROLL wózek dolny V 10mm - 2 szt+ pozycjoner</v>
      </c>
      <c r="C3222" s="185" t="e">
        <f t="shared" si="101"/>
        <v>#N/A</v>
      </c>
      <c r="D3222" s="407" t="s">
        <v>1076</v>
      </c>
      <c r="E3222" s="407" t="s">
        <v>5714</v>
      </c>
      <c r="F3222" s="407" t="s">
        <v>68</v>
      </c>
      <c r="G3222" s="407" t="s">
        <v>5715</v>
      </c>
      <c r="H3222" s="460" t="e">
        <v>#N/A</v>
      </c>
      <c r="I3222" s="460" t="e">
        <v>#N/A</v>
      </c>
      <c r="J3222" s="460" t="e">
        <v>#N/A</v>
      </c>
      <c r="K3222" s="460" t="e">
        <v>#N/A</v>
      </c>
      <c r="L3222" s="459" t="e">
        <v>#N/A</v>
      </c>
      <c r="O3222">
        <v>0</v>
      </c>
      <c r="P3222" t="s">
        <v>9535</v>
      </c>
    </row>
    <row r="3223" spans="1:16" ht="14.4" x14ac:dyDescent="0.3">
      <c r="A3223">
        <v>328662</v>
      </c>
      <c r="B3223" t="str">
        <f t="shared" si="100"/>
        <v>SEVROLL element montażowy do płyty laminowanej 10mm mały (promocja)</v>
      </c>
      <c r="C3223" s="185" t="e">
        <f t="shared" si="101"/>
        <v>#N/A</v>
      </c>
      <c r="D3223" s="407" t="s">
        <v>1275</v>
      </c>
      <c r="E3223" s="407" t="s">
        <v>1727</v>
      </c>
      <c r="F3223" s="407" t="s">
        <v>68</v>
      </c>
      <c r="G3223" s="407" t="s">
        <v>2311</v>
      </c>
      <c r="H3223" s="460" t="e">
        <v>#N/A</v>
      </c>
      <c r="I3223" s="460" t="e">
        <v>#N/A</v>
      </c>
      <c r="J3223" s="460" t="e">
        <v>#N/A</v>
      </c>
      <c r="K3223" s="460" t="e">
        <v>#N/A</v>
      </c>
      <c r="L3223" s="459" t="e">
        <v>#N/A</v>
      </c>
      <c r="O3223">
        <v>9.0640000000000001</v>
      </c>
      <c r="P3223" t="s">
        <v>9545</v>
      </c>
    </row>
    <row r="3224" spans="1:16" ht="14.4" x14ac:dyDescent="0.3">
      <c r="A3224">
        <v>328825</v>
      </c>
      <c r="B3224" t="str">
        <f t="shared" si="100"/>
        <v>SEVROLL listwa łącząca Simple/Blue H28 3m (do płyty laminowanej 18mm) srebrny</v>
      </c>
      <c r="C3224" s="185">
        <f t="shared" si="101"/>
        <v>70.338160000000002</v>
      </c>
      <c r="D3224" s="407" t="s">
        <v>3341</v>
      </c>
      <c r="E3224" s="407" t="s">
        <v>4554</v>
      </c>
      <c r="F3224" s="407" t="s">
        <v>4555</v>
      </c>
      <c r="G3224" s="407" t="s">
        <v>4556</v>
      </c>
      <c r="H3224" s="460">
        <v>545.54456000000005</v>
      </c>
      <c r="I3224" s="460">
        <v>19.829219999999999</v>
      </c>
      <c r="J3224" s="460">
        <v>70.338160000000002</v>
      </c>
      <c r="K3224" s="460">
        <v>7751.701</v>
      </c>
      <c r="L3224" s="459" t="s">
        <v>538</v>
      </c>
      <c r="O3224">
        <v>18.568000000000001</v>
      </c>
      <c r="P3224" t="s">
        <v>9172</v>
      </c>
    </row>
    <row r="3225" spans="1:16" ht="14.4" x14ac:dyDescent="0.3">
      <c r="A3225">
        <v>334858</v>
      </c>
      <c r="B3225" t="str">
        <f t="shared" si="100"/>
        <v>SEVROLL Elegant II tor dolny 6m złoty</v>
      </c>
      <c r="C3225" s="185">
        <f t="shared" si="101"/>
        <v>0</v>
      </c>
      <c r="D3225" s="407" t="s">
        <v>3342</v>
      </c>
      <c r="E3225" s="407" t="s">
        <v>4825</v>
      </c>
      <c r="F3225" s="407" t="s">
        <v>4826</v>
      </c>
      <c r="G3225" s="407" t="s">
        <v>4827</v>
      </c>
      <c r="H3225" s="460">
        <v>1020.48465</v>
      </c>
      <c r="I3225" s="460">
        <v>36.691870000000002</v>
      </c>
      <c r="J3225" s="460">
        <v>0</v>
      </c>
      <c r="K3225" s="460">
        <v>14122.17425</v>
      </c>
      <c r="L3225" s="459" t="s">
        <v>539</v>
      </c>
      <c r="O3225">
        <v>35.134</v>
      </c>
      <c r="P3225" t="s">
        <v>9255</v>
      </c>
    </row>
    <row r="3226" spans="1:16" ht="14.4" x14ac:dyDescent="0.3">
      <c r="A3226">
        <v>335225</v>
      </c>
      <c r="B3226" t="str">
        <f t="shared" si="100"/>
        <v>K-SEVROLL wózek dolny V 10mm + pomoc montażowa gratis</v>
      </c>
      <c r="C3226" s="185" t="e">
        <f t="shared" si="101"/>
        <v>#N/A</v>
      </c>
      <c r="D3226" s="407" t="s">
        <v>1072</v>
      </c>
      <c r="E3226" s="407" t="s">
        <v>5710</v>
      </c>
      <c r="F3226" s="407" t="s">
        <v>1073</v>
      </c>
      <c r="G3226" s="407" t="s">
        <v>5711</v>
      </c>
      <c r="H3226" s="460" t="e">
        <v>#N/A</v>
      </c>
      <c r="I3226" s="460" t="e">
        <v>#N/A</v>
      </c>
      <c r="J3226" s="460" t="e">
        <v>#N/A</v>
      </c>
      <c r="K3226" s="460" t="e">
        <v>#N/A</v>
      </c>
      <c r="L3226" s="459" t="e">
        <v>#N/A</v>
      </c>
      <c r="O3226" t="e">
        <v>#N/A</v>
      </c>
      <c r="P3226" t="e">
        <v>#N/A</v>
      </c>
    </row>
    <row r="3227" spans="1:16" ht="14.4" x14ac:dyDescent="0.3">
      <c r="A3227">
        <v>335227</v>
      </c>
      <c r="B3227" t="str">
        <f t="shared" si="100"/>
        <v>K-SEVROLL wózek dolny V 10mm + Fix + wiertło gratis</v>
      </c>
      <c r="C3227" s="185" t="e">
        <f t="shared" si="101"/>
        <v>#N/A</v>
      </c>
      <c r="D3227" s="407" t="s">
        <v>1074</v>
      </c>
      <c r="E3227" s="407" t="s">
        <v>5712</v>
      </c>
      <c r="F3227" s="407" t="s">
        <v>1075</v>
      </c>
      <c r="G3227" s="407" t="s">
        <v>5713</v>
      </c>
      <c r="H3227" s="460" t="e">
        <v>#N/A</v>
      </c>
      <c r="I3227" s="460" t="e">
        <v>#N/A</v>
      </c>
      <c r="J3227" s="460" t="e">
        <v>#N/A</v>
      </c>
      <c r="K3227" s="460" t="e">
        <v>#N/A</v>
      </c>
      <c r="L3227" s="459" t="e">
        <v>#N/A</v>
      </c>
      <c r="O3227" t="e">
        <v>#N/A</v>
      </c>
      <c r="P3227" t="e">
        <v>#N/A</v>
      </c>
    </row>
    <row r="3228" spans="1:16" ht="14.4" x14ac:dyDescent="0.3">
      <c r="A3228">
        <v>335508</v>
      </c>
      <c r="B3228" t="str">
        <f t="shared" si="100"/>
        <v>SEVROLL Pax XL rączka 2,7m srebrny</v>
      </c>
      <c r="C3228" s="185">
        <f t="shared" si="101"/>
        <v>89.892600000000002</v>
      </c>
      <c r="D3228" s="407" t="s">
        <v>1441</v>
      </c>
      <c r="E3228" s="407" t="s">
        <v>1877</v>
      </c>
      <c r="F3228" s="407" t="s">
        <v>5913</v>
      </c>
      <c r="G3228" s="407" t="s">
        <v>2415</v>
      </c>
      <c r="H3228" s="460">
        <v>652.09693000000004</v>
      </c>
      <c r="I3228" s="460">
        <v>23.446359999999999</v>
      </c>
      <c r="J3228" s="460">
        <v>89.892600000000002</v>
      </c>
      <c r="K3228" s="460">
        <v>9024.1693500000001</v>
      </c>
      <c r="L3228" s="459" t="s">
        <v>539</v>
      </c>
      <c r="O3228">
        <v>24.068000000000001</v>
      </c>
      <c r="P3228" t="s">
        <v>9959</v>
      </c>
    </row>
    <row r="3229" spans="1:16" ht="14.4" x14ac:dyDescent="0.3">
      <c r="A3229">
        <v>335509</v>
      </c>
      <c r="B3229" t="str">
        <f t="shared" si="100"/>
        <v>SEVROLL Pax XL tor dolny 3m srebrny</v>
      </c>
      <c r="C3229" s="185" t="e">
        <f t="shared" si="101"/>
        <v>#N/A</v>
      </c>
      <c r="D3229" s="407" t="s">
        <v>1442</v>
      </c>
      <c r="E3229" s="407" t="s">
        <v>1878</v>
      </c>
      <c r="F3229" s="407" t="s">
        <v>5914</v>
      </c>
      <c r="G3229" s="407" t="s">
        <v>2416</v>
      </c>
      <c r="H3229" s="460" t="e">
        <v>#N/A</v>
      </c>
      <c r="I3229" s="460" t="e">
        <v>#N/A</v>
      </c>
      <c r="J3229" s="460" t="e">
        <v>#N/A</v>
      </c>
      <c r="K3229" s="460" t="e">
        <v>#N/A</v>
      </c>
      <c r="L3229" s="459" t="e">
        <v>#N/A</v>
      </c>
      <c r="O3229">
        <v>27.698</v>
      </c>
      <c r="P3229" t="s">
        <v>9960</v>
      </c>
    </row>
    <row r="3230" spans="1:16" ht="14.4" x14ac:dyDescent="0.3">
      <c r="A3230">
        <v>335510</v>
      </c>
      <c r="B3230" t="str">
        <f t="shared" si="100"/>
        <v>SEVROLL Pax XL maskownica dolna 3m 4mm srebrny</v>
      </c>
      <c r="C3230" s="185">
        <f t="shared" si="101"/>
        <v>111.6186</v>
      </c>
      <c r="D3230" s="407" t="s">
        <v>3343</v>
      </c>
      <c r="E3230" s="407" t="s">
        <v>1879</v>
      </c>
      <c r="F3230" s="407" t="s">
        <v>5915</v>
      </c>
      <c r="G3230" s="407" t="s">
        <v>2417</v>
      </c>
      <c r="H3230" s="460">
        <v>809.15025000000003</v>
      </c>
      <c r="I3230" s="460">
        <v>29.09327</v>
      </c>
      <c r="J3230" s="460">
        <v>111.6186</v>
      </c>
      <c r="K3230" s="460">
        <v>11197.582060000001</v>
      </c>
      <c r="L3230" s="459" t="s">
        <v>539</v>
      </c>
      <c r="O3230">
        <v>29.963999999999999</v>
      </c>
      <c r="P3230" t="s">
        <v>9961</v>
      </c>
    </row>
    <row r="3231" spans="1:16" ht="14.4" x14ac:dyDescent="0.3">
      <c r="A3231">
        <v>335513</v>
      </c>
      <c r="B3231" t="str">
        <f t="shared" si="100"/>
        <v>SEVROLL uszczelka do profilu Pax XL</v>
      </c>
      <c r="C3231" s="185">
        <f t="shared" si="101"/>
        <v>2.1318000000000001</v>
      </c>
      <c r="D3231" s="407" t="s">
        <v>1443</v>
      </c>
      <c r="E3231" s="407" t="s">
        <v>1880</v>
      </c>
      <c r="F3231" s="407" t="s">
        <v>5916</v>
      </c>
      <c r="G3231" s="407" t="s">
        <v>2418</v>
      </c>
      <c r="H3231" s="460">
        <v>17.66413</v>
      </c>
      <c r="I3231" s="460">
        <v>0.59852000000000005</v>
      </c>
      <c r="J3231" s="460">
        <v>2.1318000000000001</v>
      </c>
      <c r="K3231" s="460">
        <v>235.78189</v>
      </c>
      <c r="L3231" s="459" t="s">
        <v>539</v>
      </c>
      <c r="O3231">
        <v>0.52800000000000002</v>
      </c>
      <c r="P3231" t="s">
        <v>9962</v>
      </c>
    </row>
    <row r="3232" spans="1:16" ht="14.4" x14ac:dyDescent="0.3">
      <c r="A3232">
        <v>336796</v>
      </c>
      <c r="B3232" t="str">
        <f t="shared" si="100"/>
        <v>SEVROLL listwa łącząca Simple/Blue H21 3m (do płyty laminowanej 18mm) srebrny</v>
      </c>
      <c r="C3232" s="185">
        <f t="shared" si="101"/>
        <v>46.268070000000002</v>
      </c>
      <c r="D3232" s="407" t="s">
        <v>3344</v>
      </c>
      <c r="E3232" s="407" t="s">
        <v>4174</v>
      </c>
      <c r="F3232" s="407" t="s">
        <v>4175</v>
      </c>
      <c r="G3232" s="407" t="s">
        <v>4176</v>
      </c>
      <c r="H3232" s="460">
        <v>314.29667999999998</v>
      </c>
      <c r="I3232" s="460">
        <v>11.423920000000001</v>
      </c>
      <c r="J3232" s="460">
        <v>46.268070000000002</v>
      </c>
      <c r="K3232" s="460">
        <v>4465.8751000000002</v>
      </c>
      <c r="L3232" s="459" t="s">
        <v>538</v>
      </c>
      <c r="O3232">
        <v>10.692</v>
      </c>
      <c r="P3232" t="s">
        <v>9053</v>
      </c>
    </row>
    <row r="3233" spans="1:16" ht="14.4" x14ac:dyDescent="0.3">
      <c r="A3233">
        <v>340884</v>
      </c>
      <c r="B3233" t="str">
        <f t="shared" si="100"/>
        <v>Wzornik rączek 2017 zeszyt SPRZEDAŻ</v>
      </c>
      <c r="C3233" s="185" t="e">
        <f t="shared" si="101"/>
        <v>#N/A</v>
      </c>
      <c r="D3233" s="407" t="s">
        <v>1540</v>
      </c>
      <c r="E3233" s="407" t="s">
        <v>1968</v>
      </c>
      <c r="F3233" s="407" t="s">
        <v>68</v>
      </c>
      <c r="G3233" s="407" t="s">
        <v>2478</v>
      </c>
      <c r="H3233" s="460" t="e">
        <v>#N/A</v>
      </c>
      <c r="I3233" s="460" t="e">
        <v>#N/A</v>
      </c>
      <c r="J3233" s="460" t="e">
        <v>#N/A</v>
      </c>
      <c r="K3233" s="460" t="e">
        <v>#N/A</v>
      </c>
      <c r="L3233" s="459" t="e">
        <v>#N/A</v>
      </c>
      <c r="O3233">
        <v>0</v>
      </c>
      <c r="P3233" t="s">
        <v>10150</v>
      </c>
    </row>
    <row r="3234" spans="1:16" ht="14.4" x14ac:dyDescent="0.3">
      <c r="A3234">
        <v>341559</v>
      </c>
      <c r="B3234" t="str">
        <f t="shared" si="100"/>
        <v>SEVROLL Rekord rączka 18 mm 2,70 m, srebrna</v>
      </c>
      <c r="C3234" s="185">
        <f t="shared" si="101"/>
        <v>51.239409999999999</v>
      </c>
      <c r="D3234" s="407" t="s">
        <v>3345</v>
      </c>
      <c r="E3234" s="407" t="s">
        <v>4220</v>
      </c>
      <c r="F3234" s="407" t="s">
        <v>4221</v>
      </c>
      <c r="G3234" s="407" t="s">
        <v>4222</v>
      </c>
      <c r="H3234" s="460">
        <v>342.93419</v>
      </c>
      <c r="I3234" s="460">
        <v>12.464829999999999</v>
      </c>
      <c r="J3234" s="460">
        <v>51.239409999999999</v>
      </c>
      <c r="K3234" s="460">
        <v>4872.7885500000002</v>
      </c>
      <c r="L3234" s="459" t="s">
        <v>538</v>
      </c>
      <c r="O3234">
        <v>12.055999999999999</v>
      </c>
      <c r="P3234" t="s">
        <v>9068</v>
      </c>
    </row>
    <row r="3235" spans="1:16" ht="14.4" x14ac:dyDescent="0.3">
      <c r="A3235">
        <v>341560</v>
      </c>
      <c r="B3235" t="str">
        <f t="shared" si="100"/>
        <v>SEVROLL Rekord rączka 18mm 2,70m jasny brąz</v>
      </c>
      <c r="C3235" s="185">
        <f t="shared" si="101"/>
        <v>58.838009999999997</v>
      </c>
      <c r="D3235" s="407" t="s">
        <v>3346</v>
      </c>
      <c r="E3235" s="407" t="s">
        <v>5474</v>
      </c>
      <c r="F3235" s="407" t="s">
        <v>3346</v>
      </c>
      <c r="G3235" s="407" t="s">
        <v>5475</v>
      </c>
      <c r="H3235" s="460">
        <v>428.84672</v>
      </c>
      <c r="I3235" s="460">
        <v>15.587540000000001</v>
      </c>
      <c r="J3235" s="460">
        <v>58.838009999999997</v>
      </c>
      <c r="K3235" s="460">
        <v>6093.5288499999997</v>
      </c>
      <c r="L3235" s="459" t="s">
        <v>538</v>
      </c>
      <c r="O3235">
        <v>13.618</v>
      </c>
      <c r="P3235" t="s">
        <v>9453</v>
      </c>
    </row>
    <row r="3236" spans="1:16" ht="14.4" x14ac:dyDescent="0.3">
      <c r="A3236">
        <v>341987</v>
      </c>
      <c r="B3236" t="str">
        <f t="shared" si="100"/>
        <v>SEVROLL Micra stoper (2szt w opakowaniu)</v>
      </c>
      <c r="C3236" s="185">
        <f t="shared" si="101"/>
        <v>2.1215999999999999</v>
      </c>
      <c r="D3236" s="407" t="s">
        <v>3347</v>
      </c>
      <c r="E3236" s="407" t="s">
        <v>6205</v>
      </c>
      <c r="F3236" s="407" t="s">
        <v>3347</v>
      </c>
      <c r="G3236" s="407" t="s">
        <v>6206</v>
      </c>
      <c r="H3236" s="460">
        <v>16.6462</v>
      </c>
      <c r="I3236" s="460">
        <v>0.59852000000000005</v>
      </c>
      <c r="J3236" s="460">
        <v>2.1215999999999999</v>
      </c>
      <c r="K3236" s="460">
        <v>230.36161999999999</v>
      </c>
      <c r="L3236" s="459" t="s">
        <v>538</v>
      </c>
      <c r="O3236">
        <v>0.52800000000000002</v>
      </c>
      <c r="P3236" t="s">
        <v>8837</v>
      </c>
    </row>
    <row r="3237" spans="1:16" ht="14.4" x14ac:dyDescent="0.3">
      <c r="A3237">
        <v>342177</v>
      </c>
      <c r="B3237" t="str">
        <f t="shared" si="100"/>
        <v>SEVROLL komplet okuć do tłumienia Mini</v>
      </c>
      <c r="C3237" s="185">
        <f t="shared" si="101"/>
        <v>6.9930000000000003</v>
      </c>
      <c r="D3237" s="407" t="s">
        <v>1530</v>
      </c>
      <c r="E3237" s="407" t="s">
        <v>1960</v>
      </c>
      <c r="F3237" s="407" t="s">
        <v>6032</v>
      </c>
      <c r="G3237" s="407" t="s">
        <v>6033</v>
      </c>
      <c r="H3237" s="460">
        <v>61.440480000000001</v>
      </c>
      <c r="I3237" s="460">
        <v>2.0818099999999999</v>
      </c>
      <c r="J3237" s="460">
        <v>6.9930000000000003</v>
      </c>
      <c r="K3237" s="460">
        <v>820.11125000000004</v>
      </c>
      <c r="L3237" s="459" t="s">
        <v>539</v>
      </c>
      <c r="O3237">
        <v>1.738</v>
      </c>
      <c r="P3237" t="s">
        <v>10134</v>
      </c>
    </row>
    <row r="3238" spans="1:16" ht="14.4" x14ac:dyDescent="0.3">
      <c r="A3238">
        <v>342428</v>
      </c>
      <c r="B3238" t="str">
        <f t="shared" si="100"/>
        <v/>
      </c>
      <c r="C3238" s="185" t="e">
        <f t="shared" si="101"/>
        <v>#N/A</v>
      </c>
      <c r="D3238" s="407" t="s">
        <v>1531</v>
      </c>
      <c r="E3238" s="407" t="s">
        <v>68</v>
      </c>
      <c r="F3238" s="407" t="s">
        <v>68</v>
      </c>
      <c r="G3238" s="407" t="s">
        <v>68</v>
      </c>
      <c r="H3238" s="460" t="e">
        <v>#N/A</v>
      </c>
      <c r="I3238" s="460" t="e">
        <v>#N/A</v>
      </c>
      <c r="J3238" s="460" t="e">
        <v>#N/A</v>
      </c>
      <c r="K3238" s="460" t="e">
        <v>#N/A</v>
      </c>
      <c r="L3238" s="459" t="e">
        <v>#N/A</v>
      </c>
      <c r="O3238">
        <v>0</v>
      </c>
      <c r="P3238" t="s">
        <v>10135</v>
      </c>
    </row>
    <row r="3239" spans="1:16" ht="14.4" x14ac:dyDescent="0.3">
      <c r="A3239">
        <v>343109</v>
      </c>
      <c r="B3239" t="str">
        <f t="shared" si="100"/>
        <v>SEVROLL Eden zestaw okuć dla 2 drzwi</v>
      </c>
      <c r="C3239" s="185">
        <f t="shared" si="101"/>
        <v>161.16269</v>
      </c>
      <c r="D3239" s="407" t="s">
        <v>1506</v>
      </c>
      <c r="E3239" s="407" t="s">
        <v>1934</v>
      </c>
      <c r="F3239" s="407" t="s">
        <v>6008</v>
      </c>
      <c r="G3239" s="407" t="s">
        <v>2358</v>
      </c>
      <c r="H3239" s="460">
        <v>1303.47011</v>
      </c>
      <c r="I3239" s="460">
        <v>46.866700000000002</v>
      </c>
      <c r="J3239" s="460">
        <v>161.16269</v>
      </c>
      <c r="K3239" s="460">
        <v>18038.323110000001</v>
      </c>
      <c r="L3239" s="459" t="s">
        <v>539</v>
      </c>
      <c r="O3239">
        <v>41.712000000000003</v>
      </c>
      <c r="P3239" t="s">
        <v>10094</v>
      </c>
    </row>
    <row r="3240" spans="1:16" ht="14.4" x14ac:dyDescent="0.3">
      <c r="A3240">
        <v>343110</v>
      </c>
      <c r="B3240" t="str">
        <f t="shared" si="100"/>
        <v>SEVROLL Eden zestaw okuć do drzwi wewnętrznych</v>
      </c>
      <c r="C3240" s="185">
        <f t="shared" si="101"/>
        <v>79.641750000000002</v>
      </c>
      <c r="D3240" s="407" t="s">
        <v>1507</v>
      </c>
      <c r="E3240" s="407" t="s">
        <v>1935</v>
      </c>
      <c r="F3240" s="407" t="s">
        <v>6009</v>
      </c>
      <c r="G3240" s="407" t="s">
        <v>2454</v>
      </c>
      <c r="H3240" s="460">
        <v>644.13570000000004</v>
      </c>
      <c r="I3240" s="460">
        <v>23.16011</v>
      </c>
      <c r="J3240" s="460">
        <v>79.641750000000002</v>
      </c>
      <c r="K3240" s="460">
        <v>8913.9965200000006</v>
      </c>
      <c r="L3240" s="459" t="s">
        <v>539</v>
      </c>
      <c r="O3240">
        <v>20.614000000000001</v>
      </c>
      <c r="P3240" t="s">
        <v>10095</v>
      </c>
    </row>
    <row r="3241" spans="1:16" ht="14.4" x14ac:dyDescent="0.3">
      <c r="A3241">
        <v>343112</v>
      </c>
      <c r="B3241" t="str">
        <f t="shared" si="100"/>
        <v>SEVROLL Eden tor górny 1,7m srebrny</v>
      </c>
      <c r="C3241" s="185">
        <f t="shared" si="101"/>
        <v>28.008849999999999</v>
      </c>
      <c r="D3241" s="407" t="s">
        <v>1508</v>
      </c>
      <c r="E3241" s="407" t="s">
        <v>1936</v>
      </c>
      <c r="F3241" s="407" t="s">
        <v>6010</v>
      </c>
      <c r="G3241" s="407" t="s">
        <v>2455</v>
      </c>
      <c r="H3241" s="460">
        <v>226.53310999999999</v>
      </c>
      <c r="I3241" s="460">
        <v>8.1450700000000005</v>
      </c>
      <c r="J3241" s="460">
        <v>28.008849999999999</v>
      </c>
      <c r="K3241" s="460">
        <v>3134.92229</v>
      </c>
      <c r="L3241" s="459" t="s">
        <v>539</v>
      </c>
      <c r="O3241">
        <v>7.2380000000000004</v>
      </c>
      <c r="P3241" t="s">
        <v>10096</v>
      </c>
    </row>
    <row r="3242" spans="1:16" ht="14.4" x14ac:dyDescent="0.3">
      <c r="A3242">
        <v>343113</v>
      </c>
      <c r="B3242" t="str">
        <f t="shared" si="100"/>
        <v>SEVROLL Eden tor górny 1,7m biały połysk</v>
      </c>
      <c r="C3242" s="185" t="e">
        <f t="shared" si="101"/>
        <v>#N/A</v>
      </c>
      <c r="D3242" s="407" t="s">
        <v>1509</v>
      </c>
      <c r="E3242" s="407" t="s">
        <v>1937</v>
      </c>
      <c r="F3242" s="407" t="s">
        <v>6011</v>
      </c>
      <c r="G3242" s="407" t="s">
        <v>2456</v>
      </c>
      <c r="H3242" s="460" t="e">
        <v>#N/A</v>
      </c>
      <c r="I3242" s="460" t="e">
        <v>#N/A</v>
      </c>
      <c r="J3242" s="460" t="e">
        <v>#N/A</v>
      </c>
      <c r="K3242" s="460" t="e">
        <v>#N/A</v>
      </c>
      <c r="L3242" s="459" t="e">
        <v>#N/A</v>
      </c>
      <c r="O3242">
        <v>8.9540000000000006</v>
      </c>
      <c r="P3242" t="s">
        <v>10097</v>
      </c>
    </row>
    <row r="3243" spans="1:16" ht="14.4" x14ac:dyDescent="0.3">
      <c r="A3243">
        <v>343115</v>
      </c>
      <c r="B3243" t="str">
        <f t="shared" si="100"/>
        <v>SEVROLL Eden tor górny 2,35m srebrny</v>
      </c>
      <c r="C3243" s="185">
        <f t="shared" si="101"/>
        <v>38.65757</v>
      </c>
      <c r="D3243" s="407" t="s">
        <v>1510</v>
      </c>
      <c r="E3243" s="407" t="s">
        <v>1938</v>
      </c>
      <c r="F3243" s="407" t="s">
        <v>6012</v>
      </c>
      <c r="G3243" s="407" t="s">
        <v>2357</v>
      </c>
      <c r="H3243" s="460">
        <v>312.65911999999997</v>
      </c>
      <c r="I3243" s="460">
        <v>11.241759999999999</v>
      </c>
      <c r="J3243" s="460">
        <v>38.65757</v>
      </c>
      <c r="K3243" s="460">
        <v>4326.7938999999997</v>
      </c>
      <c r="L3243" s="459" t="s">
        <v>539</v>
      </c>
      <c r="O3243">
        <v>10.01</v>
      </c>
      <c r="P3243" t="s">
        <v>10098</v>
      </c>
    </row>
    <row r="3244" spans="1:16" ht="14.4" x14ac:dyDescent="0.3">
      <c r="A3244">
        <v>343116</v>
      </c>
      <c r="B3244" t="str">
        <f t="shared" si="100"/>
        <v>SEVROLL Eden tor górny 2,35m biały połysk</v>
      </c>
      <c r="C3244" s="185" t="e">
        <f t="shared" si="101"/>
        <v>#N/A</v>
      </c>
      <c r="D3244" s="407" t="s">
        <v>1511</v>
      </c>
      <c r="E3244" s="407" t="s">
        <v>1939</v>
      </c>
      <c r="F3244" s="407" t="s">
        <v>6013</v>
      </c>
      <c r="G3244" s="407" t="s">
        <v>2457</v>
      </c>
      <c r="H3244" s="460" t="e">
        <v>#N/A</v>
      </c>
      <c r="I3244" s="460" t="e">
        <v>#N/A</v>
      </c>
      <c r="J3244" s="460" t="e">
        <v>#N/A</v>
      </c>
      <c r="K3244" s="460" t="e">
        <v>#N/A</v>
      </c>
      <c r="L3244" s="459" t="e">
        <v>#N/A</v>
      </c>
      <c r="O3244">
        <v>12.342000000000001</v>
      </c>
      <c r="P3244" t="s">
        <v>10099</v>
      </c>
    </row>
    <row r="3245" spans="1:16" ht="14.4" x14ac:dyDescent="0.3">
      <c r="A3245">
        <v>343117</v>
      </c>
      <c r="B3245" t="str">
        <f t="shared" si="100"/>
        <v>SEVROLL Eden tor górny 3m srebrny</v>
      </c>
      <c r="C3245" s="185">
        <f t="shared" si="101"/>
        <v>49.395780000000002</v>
      </c>
      <c r="D3245" s="407" t="s">
        <v>1512</v>
      </c>
      <c r="E3245" s="407" t="s">
        <v>1940</v>
      </c>
      <c r="F3245" s="407" t="s">
        <v>6014</v>
      </c>
      <c r="G3245" s="407" t="s">
        <v>2458</v>
      </c>
      <c r="H3245" s="460">
        <v>399.50887999999998</v>
      </c>
      <c r="I3245" s="460">
        <v>14.36448</v>
      </c>
      <c r="J3245" s="460">
        <v>49.395780000000002</v>
      </c>
      <c r="K3245" s="460">
        <v>5528.6810599999999</v>
      </c>
      <c r="L3245" s="459" t="s">
        <v>539</v>
      </c>
      <c r="O3245">
        <v>12.782</v>
      </c>
      <c r="P3245" t="s">
        <v>10100</v>
      </c>
    </row>
    <row r="3246" spans="1:16" ht="14.4" x14ac:dyDescent="0.3">
      <c r="A3246">
        <v>343118</v>
      </c>
      <c r="B3246" t="str">
        <f t="shared" si="100"/>
        <v>SEVROLL Eden tor górny 3m biały połysk</v>
      </c>
      <c r="C3246" s="185">
        <f t="shared" si="101"/>
        <v>64.250320000000002</v>
      </c>
      <c r="D3246" s="407" t="s">
        <v>1513</v>
      </c>
      <c r="E3246" s="407" t="s">
        <v>1941</v>
      </c>
      <c r="F3246" s="407" t="s">
        <v>6015</v>
      </c>
      <c r="G3246" s="407" t="s">
        <v>2459</v>
      </c>
      <c r="H3246" s="460">
        <v>519.65106000000003</v>
      </c>
      <c r="I3246" s="460">
        <v>18.684229999999999</v>
      </c>
      <c r="J3246" s="460">
        <v>64.250320000000002</v>
      </c>
      <c r="K3246" s="460">
        <v>7191.2914899999996</v>
      </c>
      <c r="L3246" s="459" t="s">
        <v>539</v>
      </c>
      <c r="O3246">
        <v>15.752000000000001</v>
      </c>
      <c r="P3246" t="s">
        <v>10101</v>
      </c>
    </row>
    <row r="3247" spans="1:16" ht="14.4" x14ac:dyDescent="0.3">
      <c r="A3247">
        <v>343119</v>
      </c>
      <c r="B3247" t="str">
        <f t="shared" si="100"/>
        <v>SEVROLL Eden tor górny 6m srebrny</v>
      </c>
      <c r="C3247" s="185">
        <f t="shared" si="101"/>
        <v>0</v>
      </c>
      <c r="D3247" s="407" t="s">
        <v>1514</v>
      </c>
      <c r="E3247" s="407" t="s">
        <v>1942</v>
      </c>
      <c r="F3247" s="407" t="s">
        <v>6016</v>
      </c>
      <c r="G3247" s="407" t="s">
        <v>2460</v>
      </c>
      <c r="H3247" s="460">
        <v>799.01775999999995</v>
      </c>
      <c r="I3247" s="460">
        <v>28.728950000000001</v>
      </c>
      <c r="J3247" s="460">
        <v>0</v>
      </c>
      <c r="K3247" s="460">
        <v>11057.36212</v>
      </c>
      <c r="L3247" s="459" t="s">
        <v>539</v>
      </c>
      <c r="O3247">
        <v>25.564</v>
      </c>
      <c r="P3247" t="s">
        <v>10102</v>
      </c>
    </row>
    <row r="3248" spans="1:16" ht="14.4" x14ac:dyDescent="0.3">
      <c r="A3248">
        <v>343120</v>
      </c>
      <c r="B3248" t="str">
        <f t="shared" si="100"/>
        <v>SEVROLL Eden tor górny 6m biały połysk</v>
      </c>
      <c r="C3248" s="185">
        <f t="shared" si="101"/>
        <v>0</v>
      </c>
      <c r="D3248" s="407" t="s">
        <v>1515</v>
      </c>
      <c r="E3248" s="407" t="s">
        <v>1943</v>
      </c>
      <c r="F3248" s="407" t="s">
        <v>6017</v>
      </c>
      <c r="G3248" s="407" t="s">
        <v>2461</v>
      </c>
      <c r="H3248" s="460">
        <v>1038.5783699999999</v>
      </c>
      <c r="I3248" s="460">
        <v>37.34243</v>
      </c>
      <c r="J3248" s="460">
        <v>0</v>
      </c>
      <c r="K3248" s="460">
        <v>14372.5674</v>
      </c>
      <c r="L3248" s="459" t="s">
        <v>539</v>
      </c>
      <c r="O3248">
        <v>31.481999999999999</v>
      </c>
      <c r="P3248" t="s">
        <v>10103</v>
      </c>
    </row>
    <row r="3249" spans="1:16" ht="14.4" x14ac:dyDescent="0.3">
      <c r="A3249">
        <v>343327</v>
      </c>
      <c r="B3249" t="str">
        <f t="shared" si="100"/>
        <v>SEVROLL Eden listwa pozioma 1,7m srebrny</v>
      </c>
      <c r="C3249" s="185" t="e">
        <f t="shared" si="101"/>
        <v>#N/A</v>
      </c>
      <c r="D3249" s="407" t="s">
        <v>1516</v>
      </c>
      <c r="E3249" s="407" t="s">
        <v>1944</v>
      </c>
      <c r="F3249" s="407" t="s">
        <v>6018</v>
      </c>
      <c r="G3249" s="407" t="s">
        <v>2462</v>
      </c>
      <c r="H3249" s="460" t="e">
        <v>#N/A</v>
      </c>
      <c r="I3249" s="460" t="e">
        <v>#N/A</v>
      </c>
      <c r="J3249" s="460" t="e">
        <v>#N/A</v>
      </c>
      <c r="K3249" s="460" t="e">
        <v>#N/A</v>
      </c>
      <c r="L3249" s="459" t="e">
        <v>#N/A</v>
      </c>
      <c r="O3249">
        <v>18.611999999999998</v>
      </c>
      <c r="P3249" t="s">
        <v>10104</v>
      </c>
    </row>
    <row r="3250" spans="1:16" ht="14.4" x14ac:dyDescent="0.3">
      <c r="A3250">
        <v>343328</v>
      </c>
      <c r="B3250" t="str">
        <f t="shared" si="100"/>
        <v>SEVROLL Eden XL listwa pozioma 1,7m srebrny</v>
      </c>
      <c r="C3250" s="185">
        <f t="shared" si="101"/>
        <v>84.294979999999995</v>
      </c>
      <c r="D3250" s="407" t="s">
        <v>1517</v>
      </c>
      <c r="E3250" s="407" t="s">
        <v>1945</v>
      </c>
      <c r="F3250" s="407" t="s">
        <v>6019</v>
      </c>
      <c r="G3250" s="407" t="s">
        <v>2463</v>
      </c>
      <c r="H3250" s="460">
        <v>681.77058999999997</v>
      </c>
      <c r="I3250" s="460">
        <v>24.513290000000001</v>
      </c>
      <c r="J3250" s="460">
        <v>84.294979999999995</v>
      </c>
      <c r="K3250" s="460">
        <v>9434.8143600000003</v>
      </c>
      <c r="L3250" s="459" t="s">
        <v>539</v>
      </c>
      <c r="O3250">
        <v>20.724</v>
      </c>
      <c r="P3250" t="s">
        <v>10105</v>
      </c>
    </row>
    <row r="3251" spans="1:16" ht="14.4" x14ac:dyDescent="0.3">
      <c r="A3251">
        <v>343329</v>
      </c>
      <c r="B3251" t="str">
        <f t="shared" si="100"/>
        <v>SEVROLL Eden XL listwa pozioma 1,7m biały połysk</v>
      </c>
      <c r="C3251" s="185" t="e">
        <f t="shared" si="101"/>
        <v>#N/A</v>
      </c>
      <c r="D3251" s="407" t="s">
        <v>1518</v>
      </c>
      <c r="E3251" s="407" t="s">
        <v>1946</v>
      </c>
      <c r="F3251" s="407" t="s">
        <v>6020</v>
      </c>
      <c r="G3251" s="407" t="s">
        <v>2464</v>
      </c>
      <c r="H3251" s="460" t="e">
        <v>#N/A</v>
      </c>
      <c r="I3251" s="460" t="e">
        <v>#N/A</v>
      </c>
      <c r="J3251" s="460" t="e">
        <v>#N/A</v>
      </c>
      <c r="K3251" s="460" t="e">
        <v>#N/A</v>
      </c>
      <c r="L3251" s="459" t="e">
        <v>#N/A</v>
      </c>
      <c r="O3251">
        <v>26.928000000000001</v>
      </c>
      <c r="P3251" t="s">
        <v>10106</v>
      </c>
    </row>
    <row r="3252" spans="1:16" ht="14.4" x14ac:dyDescent="0.3">
      <c r="A3252">
        <v>343330</v>
      </c>
      <c r="B3252" t="str">
        <f t="shared" si="100"/>
        <v>SEVROLL Eden listwa pozioma 1,7m biały połysk</v>
      </c>
      <c r="C3252" s="185" t="e">
        <f t="shared" si="101"/>
        <v>#N/A</v>
      </c>
      <c r="D3252" s="407" t="s">
        <v>1519</v>
      </c>
      <c r="E3252" s="407" t="s">
        <v>1947</v>
      </c>
      <c r="F3252" s="407" t="s">
        <v>6021</v>
      </c>
      <c r="G3252" s="407" t="s">
        <v>2465</v>
      </c>
      <c r="H3252" s="460" t="e">
        <v>#N/A</v>
      </c>
      <c r="I3252" s="460" t="e">
        <v>#N/A</v>
      </c>
      <c r="J3252" s="460" t="e">
        <v>#N/A</v>
      </c>
      <c r="K3252" s="460" t="e">
        <v>#N/A</v>
      </c>
      <c r="L3252" s="459" t="e">
        <v>#N/A</v>
      </c>
      <c r="O3252">
        <v>25.937999999999999</v>
      </c>
      <c r="P3252" t="s">
        <v>10107</v>
      </c>
    </row>
    <row r="3253" spans="1:16" ht="14.4" x14ac:dyDescent="0.3">
      <c r="A3253">
        <v>343331</v>
      </c>
      <c r="B3253" t="str">
        <f t="shared" si="100"/>
        <v>SEVROLL Eden listwa pozioma 2,35m biały połysk</v>
      </c>
      <c r="C3253" s="185">
        <f t="shared" si="101"/>
        <v>136.01739000000001</v>
      </c>
      <c r="D3253" s="407" t="s">
        <v>1520</v>
      </c>
      <c r="E3253" s="407" t="s">
        <v>1948</v>
      </c>
      <c r="F3253" s="407" t="s">
        <v>6022</v>
      </c>
      <c r="G3253" s="407" t="s">
        <v>2466</v>
      </c>
      <c r="H3253" s="460">
        <v>1100.0969299999999</v>
      </c>
      <c r="I3253" s="460">
        <v>39.554349999999999</v>
      </c>
      <c r="J3253" s="460">
        <v>136.01739000000001</v>
      </c>
      <c r="K3253" s="460">
        <v>15223.90415</v>
      </c>
      <c r="L3253" s="459" t="s">
        <v>539</v>
      </c>
      <c r="O3253">
        <v>35.838000000000001</v>
      </c>
      <c r="P3253" t="s">
        <v>10108</v>
      </c>
    </row>
    <row r="3254" spans="1:16" ht="14.4" x14ac:dyDescent="0.3">
      <c r="A3254">
        <v>343332</v>
      </c>
      <c r="B3254" t="str">
        <f t="shared" si="100"/>
        <v>SEVROLL Eden XL listwa pozioma 2,35m biały połysk</v>
      </c>
      <c r="C3254" s="185" t="e">
        <f t="shared" si="101"/>
        <v>#N/A</v>
      </c>
      <c r="D3254" s="407" t="s">
        <v>1521</v>
      </c>
      <c r="E3254" s="407" t="s">
        <v>1949</v>
      </c>
      <c r="F3254" s="407" t="s">
        <v>6023</v>
      </c>
      <c r="G3254" s="407" t="s">
        <v>2467</v>
      </c>
      <c r="H3254" s="460" t="e">
        <v>#N/A</v>
      </c>
      <c r="I3254" s="460" t="e">
        <v>#N/A</v>
      </c>
      <c r="J3254" s="460" t="e">
        <v>#N/A</v>
      </c>
      <c r="K3254" s="460" t="e">
        <v>#N/A</v>
      </c>
      <c r="L3254" s="459" t="e">
        <v>#N/A</v>
      </c>
      <c r="O3254">
        <v>37.246000000000002</v>
      </c>
      <c r="P3254" t="s">
        <v>10109</v>
      </c>
    </row>
    <row r="3255" spans="1:16" ht="14.4" x14ac:dyDescent="0.3">
      <c r="A3255">
        <v>343333</v>
      </c>
      <c r="B3255" t="str">
        <f t="shared" si="100"/>
        <v>SEVROLL Eden XL listwa pozioma 2,35m srebrny</v>
      </c>
      <c r="C3255" s="185" t="e">
        <f t="shared" si="101"/>
        <v>#N/A</v>
      </c>
      <c r="D3255" s="407" t="s">
        <v>1522</v>
      </c>
      <c r="E3255" s="407" t="s">
        <v>1950</v>
      </c>
      <c r="F3255" s="407" t="s">
        <v>6024</v>
      </c>
      <c r="G3255" s="407" t="s">
        <v>2468</v>
      </c>
      <c r="H3255" s="460" t="e">
        <v>#N/A</v>
      </c>
      <c r="I3255" s="460" t="e">
        <v>#N/A</v>
      </c>
      <c r="J3255" s="460" t="e">
        <v>#N/A</v>
      </c>
      <c r="K3255" s="460" t="e">
        <v>#N/A</v>
      </c>
      <c r="L3255" s="459" t="e">
        <v>#N/A</v>
      </c>
      <c r="O3255">
        <v>28.643999999999998</v>
      </c>
      <c r="P3255" t="s">
        <v>10110</v>
      </c>
    </row>
    <row r="3256" spans="1:16" ht="14.4" x14ac:dyDescent="0.3">
      <c r="A3256">
        <v>343334</v>
      </c>
      <c r="B3256" t="str">
        <f t="shared" si="100"/>
        <v>SEVROLL Eden listwa pozioma 2,35m srebrny</v>
      </c>
      <c r="C3256" s="185" t="e">
        <f t="shared" si="101"/>
        <v>#N/A</v>
      </c>
      <c r="D3256" s="407" t="s">
        <v>1523</v>
      </c>
      <c r="E3256" s="407" t="s">
        <v>1951</v>
      </c>
      <c r="F3256" s="407" t="s">
        <v>6025</v>
      </c>
      <c r="G3256" s="407" t="s">
        <v>2469</v>
      </c>
      <c r="H3256" s="460" t="e">
        <v>#N/A</v>
      </c>
      <c r="I3256" s="460" t="e">
        <v>#N/A</v>
      </c>
      <c r="J3256" s="460" t="e">
        <v>#N/A</v>
      </c>
      <c r="K3256" s="460" t="e">
        <v>#N/A</v>
      </c>
      <c r="L3256" s="459" t="e">
        <v>#N/A</v>
      </c>
      <c r="O3256">
        <v>25.718</v>
      </c>
      <c r="P3256" t="s">
        <v>10111</v>
      </c>
    </row>
    <row r="3257" spans="1:16" ht="14.4" x14ac:dyDescent="0.3">
      <c r="A3257">
        <v>343335</v>
      </c>
      <c r="B3257" t="str">
        <f t="shared" si="100"/>
        <v>SEVROLL Eden listwa pozioma 3m srebrny</v>
      </c>
      <c r="C3257" s="185">
        <f t="shared" si="101"/>
        <v>133.51179999999999</v>
      </c>
      <c r="D3257" s="407" t="s">
        <v>1524</v>
      </c>
      <c r="E3257" s="407" t="s">
        <v>1952</v>
      </c>
      <c r="F3257" s="407" t="s">
        <v>6026</v>
      </c>
      <c r="G3257" s="407" t="s">
        <v>2470</v>
      </c>
      <c r="H3257" s="460">
        <v>1079.8319799999999</v>
      </c>
      <c r="I3257" s="460">
        <v>38.825719999999997</v>
      </c>
      <c r="J3257" s="460">
        <v>133.51179999999999</v>
      </c>
      <c r="K3257" s="460" t="e">
        <v>#N/A</v>
      </c>
      <c r="L3257" s="459" t="s">
        <v>539</v>
      </c>
      <c r="O3257">
        <v>32.823999999999998</v>
      </c>
      <c r="P3257" t="s">
        <v>10112</v>
      </c>
    </row>
    <row r="3258" spans="1:16" ht="14.4" x14ac:dyDescent="0.3">
      <c r="A3258">
        <v>343336</v>
      </c>
      <c r="B3258" t="str">
        <f t="shared" si="100"/>
        <v>SEVROLL Eden XL listwa pozioma 3m srebrny</v>
      </c>
      <c r="C3258" s="185" t="e">
        <f t="shared" si="101"/>
        <v>#N/A</v>
      </c>
      <c r="D3258" s="407" t="s">
        <v>1525</v>
      </c>
      <c r="E3258" s="407" t="s">
        <v>1953</v>
      </c>
      <c r="F3258" s="407" t="s">
        <v>6027</v>
      </c>
      <c r="G3258" s="407" t="s">
        <v>2471</v>
      </c>
      <c r="H3258" s="460" t="e">
        <v>#N/A</v>
      </c>
      <c r="I3258" s="460" t="e">
        <v>#N/A</v>
      </c>
      <c r="J3258" s="460" t="e">
        <v>#N/A</v>
      </c>
      <c r="K3258" s="460" t="e">
        <v>#N/A</v>
      </c>
      <c r="L3258" s="459" t="e">
        <v>#N/A</v>
      </c>
      <c r="O3258">
        <v>36.564</v>
      </c>
      <c r="P3258" t="s">
        <v>10113</v>
      </c>
    </row>
    <row r="3259" spans="1:16" ht="14.4" x14ac:dyDescent="0.3">
      <c r="A3259">
        <v>343337</v>
      </c>
      <c r="B3259" t="str">
        <f t="shared" si="100"/>
        <v>SEVROLL Eden XL listwa pozioma 3m biały połysk</v>
      </c>
      <c r="C3259" s="185" t="e">
        <f t="shared" si="101"/>
        <v>#N/A</v>
      </c>
      <c r="D3259" s="407" t="s">
        <v>1526</v>
      </c>
      <c r="E3259" s="407" t="s">
        <v>1954</v>
      </c>
      <c r="F3259" s="407" t="s">
        <v>6028</v>
      </c>
      <c r="G3259" s="407" t="s">
        <v>2472</v>
      </c>
      <c r="H3259" s="460" t="e">
        <v>#N/A</v>
      </c>
      <c r="I3259" s="460" t="e">
        <v>#N/A</v>
      </c>
      <c r="J3259" s="460" t="e">
        <v>#N/A</v>
      </c>
      <c r="K3259" s="460" t="e">
        <v>#N/A</v>
      </c>
      <c r="L3259" s="459" t="e">
        <v>#N/A</v>
      </c>
      <c r="O3259">
        <v>47.542000000000002</v>
      </c>
      <c r="P3259" t="s">
        <v>10114</v>
      </c>
    </row>
    <row r="3260" spans="1:16" ht="14.4" x14ac:dyDescent="0.3">
      <c r="A3260">
        <v>343338</v>
      </c>
      <c r="B3260" t="str">
        <f t="shared" si="100"/>
        <v>SEVROLL Eden listwa pozioma 3m biały połysk</v>
      </c>
      <c r="C3260" s="185">
        <f t="shared" si="101"/>
        <v>173.60113999999999</v>
      </c>
      <c r="D3260" s="407" t="s">
        <v>3348</v>
      </c>
      <c r="E3260" s="407" t="s">
        <v>1955</v>
      </c>
      <c r="F3260" s="407" t="s">
        <v>6029</v>
      </c>
      <c r="G3260" s="407" t="s">
        <v>2473</v>
      </c>
      <c r="H3260" s="460">
        <v>1404.0710799999999</v>
      </c>
      <c r="I3260" s="460">
        <v>50.483840000000001</v>
      </c>
      <c r="J3260" s="460">
        <v>173.60113999999999</v>
      </c>
      <c r="K3260" s="460">
        <v>19430.509249999999</v>
      </c>
      <c r="L3260" s="459" t="s">
        <v>539</v>
      </c>
      <c r="O3260">
        <v>45.76</v>
      </c>
      <c r="P3260" t="s">
        <v>10115</v>
      </c>
    </row>
    <row r="3261" spans="1:16" ht="14.4" x14ac:dyDescent="0.3">
      <c r="A3261">
        <v>343373</v>
      </c>
      <c r="B3261" t="str">
        <f t="shared" si="100"/>
        <v>SEVROLL Eden górna maskownica 1,1 m srebrna</v>
      </c>
      <c r="C3261" s="185">
        <f t="shared" si="101"/>
        <v>12.885859999999999</v>
      </c>
      <c r="D3261" s="407" t="s">
        <v>3349</v>
      </c>
      <c r="E3261" s="407" t="s">
        <v>1956</v>
      </c>
      <c r="F3261" s="407" t="s">
        <v>6030</v>
      </c>
      <c r="G3261" s="407" t="s">
        <v>6031</v>
      </c>
      <c r="H3261" s="460">
        <v>104.2197</v>
      </c>
      <c r="I3261" s="460">
        <v>3.7472500000000002</v>
      </c>
      <c r="J3261" s="460">
        <v>12.885859999999999</v>
      </c>
      <c r="K3261" s="460">
        <v>1442.26478</v>
      </c>
      <c r="L3261" s="459" t="s">
        <v>539</v>
      </c>
      <c r="O3261">
        <v>3.3439999999999999</v>
      </c>
      <c r="P3261" t="s">
        <v>10116</v>
      </c>
    </row>
    <row r="3262" spans="1:16" ht="14.4" x14ac:dyDescent="0.3">
      <c r="A3262">
        <v>343374</v>
      </c>
      <c r="B3262" t="str">
        <f t="shared" si="100"/>
        <v>SEVROLL element montażowy do Eden/Pax</v>
      </c>
      <c r="C3262" s="185" t="e">
        <f t="shared" si="101"/>
        <v>#N/A</v>
      </c>
      <c r="D3262" s="407" t="s">
        <v>3350</v>
      </c>
      <c r="E3262" s="407" t="s">
        <v>5719</v>
      </c>
      <c r="F3262" s="407" t="s">
        <v>5720</v>
      </c>
      <c r="G3262" s="407" t="s">
        <v>5721</v>
      </c>
      <c r="H3262" s="460" t="e">
        <v>#N/A</v>
      </c>
      <c r="I3262" s="460" t="e">
        <v>#N/A</v>
      </c>
      <c r="J3262" s="460" t="e">
        <v>#N/A</v>
      </c>
      <c r="K3262" s="460" t="e">
        <v>#N/A</v>
      </c>
      <c r="L3262" s="459" t="e">
        <v>#N/A</v>
      </c>
      <c r="O3262">
        <v>19.524999999999999</v>
      </c>
      <c r="P3262" t="s">
        <v>9537</v>
      </c>
    </row>
    <row r="3263" spans="1:16" ht="14.4" x14ac:dyDescent="0.3">
      <c r="A3263">
        <v>343615</v>
      </c>
      <c r="B3263" t="str">
        <f t="shared" si="100"/>
        <v/>
      </c>
      <c r="C3263" s="185">
        <f t="shared" si="101"/>
        <v>12.5154</v>
      </c>
      <c r="D3263" s="407" t="s">
        <v>3351</v>
      </c>
      <c r="E3263" s="407" t="s">
        <v>3616</v>
      </c>
      <c r="F3263" s="407" t="s">
        <v>3617</v>
      </c>
      <c r="G3263" s="407" t="s">
        <v>68</v>
      </c>
      <c r="H3263" s="460">
        <v>99.877229999999997</v>
      </c>
      <c r="I3263" s="460">
        <v>3.5911200000000001</v>
      </c>
      <c r="J3263" s="460">
        <v>12.5154</v>
      </c>
      <c r="K3263" s="460">
        <v>1382.1701800000001</v>
      </c>
      <c r="L3263" s="459" t="s">
        <v>539</v>
      </c>
      <c r="O3263">
        <v>3.3660000000000001</v>
      </c>
      <c r="P3263" t="s">
        <v>8869</v>
      </c>
    </row>
    <row r="3264" spans="1:16" ht="14.4" x14ac:dyDescent="0.3">
      <c r="A3264">
        <v>343616</v>
      </c>
      <c r="B3264" t="str">
        <f t="shared" si="100"/>
        <v/>
      </c>
      <c r="C3264" s="185">
        <f t="shared" si="101"/>
        <v>16.289400000000001</v>
      </c>
      <c r="D3264" s="407" t="s">
        <v>3352</v>
      </c>
      <c r="E3264" s="407" t="s">
        <v>3690</v>
      </c>
      <c r="F3264" s="407" t="s">
        <v>3691</v>
      </c>
      <c r="G3264" s="407" t="s">
        <v>68</v>
      </c>
      <c r="H3264" s="460">
        <v>129.55089000000001</v>
      </c>
      <c r="I3264" s="460">
        <v>4.66845</v>
      </c>
      <c r="J3264" s="460">
        <v>16.289400000000001</v>
      </c>
      <c r="K3264" s="460">
        <v>1792.81519</v>
      </c>
      <c r="L3264" s="459" t="s">
        <v>539</v>
      </c>
      <c r="O3264">
        <v>4.3780000000000001</v>
      </c>
      <c r="P3264" t="s">
        <v>8896</v>
      </c>
    </row>
    <row r="3265" spans="1:16" ht="14.4" x14ac:dyDescent="0.3">
      <c r="A3265">
        <v>345401</v>
      </c>
      <c r="B3265" t="str">
        <f t="shared" si="100"/>
        <v>SEVROLL maska do toru Elegant II 1,7m jasny brąz szczotkowany</v>
      </c>
      <c r="C3265" s="185">
        <f t="shared" si="101"/>
        <v>16.01784</v>
      </c>
      <c r="D3265" s="407" t="s">
        <v>3353</v>
      </c>
      <c r="E3265" s="407" t="s">
        <v>3649</v>
      </c>
      <c r="F3265" s="407" t="s">
        <v>3353</v>
      </c>
      <c r="G3265" s="407" t="s">
        <v>3650</v>
      </c>
      <c r="H3265" s="460">
        <v>129.55089000000001</v>
      </c>
      <c r="I3265" s="460">
        <v>4.6580500000000002</v>
      </c>
      <c r="J3265" s="460">
        <v>16.01784</v>
      </c>
      <c r="K3265" s="460">
        <v>1792.81519</v>
      </c>
      <c r="L3265" s="459" t="s">
        <v>538</v>
      </c>
      <c r="O3265">
        <v>4.1360000000000001</v>
      </c>
      <c r="P3265" t="s">
        <v>8881</v>
      </c>
    </row>
    <row r="3266" spans="1:16" ht="14.4" x14ac:dyDescent="0.3">
      <c r="A3266">
        <v>345402</v>
      </c>
      <c r="B3266" t="str">
        <f t="shared" si="100"/>
        <v>SEVROLL zaślepka do toru Elegant II 1,7m koniak szczotkowany</v>
      </c>
      <c r="C3266" s="185">
        <f t="shared" si="101"/>
        <v>16.01784</v>
      </c>
      <c r="D3266" s="407" t="s">
        <v>3354</v>
      </c>
      <c r="E3266" s="407" t="s">
        <v>3651</v>
      </c>
      <c r="F3266" s="407" t="s">
        <v>3354</v>
      </c>
      <c r="G3266" s="407" t="s">
        <v>3652</v>
      </c>
      <c r="H3266" s="460">
        <v>129.55089000000001</v>
      </c>
      <c r="I3266" s="460">
        <v>4.6580500000000002</v>
      </c>
      <c r="J3266" s="460">
        <v>16.01784</v>
      </c>
      <c r="K3266" s="460">
        <v>1792.81519</v>
      </c>
      <c r="L3266" s="459" t="s">
        <v>539</v>
      </c>
      <c r="O3266">
        <v>4.1360000000000001</v>
      </c>
      <c r="P3266" t="s">
        <v>8882</v>
      </c>
    </row>
    <row r="3267" spans="1:16" ht="14.4" x14ac:dyDescent="0.3">
      <c r="A3267">
        <v>345403</v>
      </c>
      <c r="B3267" t="str">
        <f t="shared" si="100"/>
        <v>SEVROLL maska do toru Elegant II 1,7 m czarny szczotkowany</v>
      </c>
      <c r="C3267" s="185">
        <f t="shared" si="101"/>
        <v>16.01784</v>
      </c>
      <c r="D3267" s="407" t="s">
        <v>3355</v>
      </c>
      <c r="E3267" s="407" t="s">
        <v>3646</v>
      </c>
      <c r="F3267" s="407" t="s">
        <v>3647</v>
      </c>
      <c r="G3267" s="407" t="s">
        <v>3648</v>
      </c>
      <c r="H3267" s="460">
        <v>129.55089000000001</v>
      </c>
      <c r="I3267" s="460">
        <v>4.6580500000000002</v>
      </c>
      <c r="J3267" s="460">
        <v>16.01784</v>
      </c>
      <c r="K3267" s="460">
        <v>1792.81519</v>
      </c>
      <c r="L3267" s="459" t="s">
        <v>538</v>
      </c>
      <c r="O3267">
        <v>4.1360000000000001</v>
      </c>
      <c r="P3267" t="s">
        <v>8880</v>
      </c>
    </row>
    <row r="3268" spans="1:16" ht="14.4" x14ac:dyDescent="0.3">
      <c r="A3268">
        <v>345404</v>
      </c>
      <c r="B3268" t="str">
        <f t="shared" ref="B3268:B3331" si="102">IF($A$2=1,D3268,IF($A$2=2,F3268,IF($A$2=3,G3268,IF($A$2=4,E3268,IF($A$2&gt;4,P3268,"zadat jazyk")))))</f>
        <v>SEVROLL maska do toru Elegant II 2,35 m jasny brąz szczotkowany</v>
      </c>
      <c r="C3268" s="185">
        <f t="shared" ref="C3268:C3331" si="103">IF($A$2=1,H3268,IF($A$2=2,I3268,IF($A$2=3,J3268,IF($A$2=4,K3268,IF($A$2&gt;4,O3268,"zadat jazyk")))))</f>
        <v>22.013339999999999</v>
      </c>
      <c r="D3268" s="407" t="s">
        <v>3356</v>
      </c>
      <c r="E3268" s="407" t="s">
        <v>3768</v>
      </c>
      <c r="F3268" s="407" t="s">
        <v>3356</v>
      </c>
      <c r="G3268" s="407" t="s">
        <v>3769</v>
      </c>
      <c r="H3268" s="460">
        <v>178.04201</v>
      </c>
      <c r="I3268" s="460">
        <v>6.4015599999999999</v>
      </c>
      <c r="J3268" s="460">
        <v>22.013339999999999</v>
      </c>
      <c r="K3268" s="460">
        <v>2463.8685500000001</v>
      </c>
      <c r="L3268" s="459" t="s">
        <v>539</v>
      </c>
      <c r="O3268">
        <v>5.6980000000000004</v>
      </c>
      <c r="P3268" t="s">
        <v>8921</v>
      </c>
    </row>
    <row r="3269" spans="1:16" ht="14.4" x14ac:dyDescent="0.3">
      <c r="A3269">
        <v>345405</v>
      </c>
      <c r="B3269" t="str">
        <f t="shared" si="102"/>
        <v>SEVROLL zaślepka do toru Elegant II 2,35m koniak szczotkowany</v>
      </c>
      <c r="C3269" s="185">
        <f t="shared" si="103"/>
        <v>22.013339999999999</v>
      </c>
      <c r="D3269" s="407" t="s">
        <v>3357</v>
      </c>
      <c r="E3269" s="407" t="s">
        <v>3750</v>
      </c>
      <c r="F3269" s="407" t="s">
        <v>3751</v>
      </c>
      <c r="G3269" s="407" t="s">
        <v>3752</v>
      </c>
      <c r="H3269" s="460">
        <v>178.04201</v>
      </c>
      <c r="I3269" s="460">
        <v>6.4015599999999999</v>
      </c>
      <c r="J3269" s="460">
        <v>22.013339999999999</v>
      </c>
      <c r="K3269" s="460">
        <v>2463.8685500000001</v>
      </c>
      <c r="L3269" s="459" t="s">
        <v>539</v>
      </c>
      <c r="O3269">
        <v>5.6980000000000004</v>
      </c>
      <c r="P3269" t="s">
        <v>8915</v>
      </c>
    </row>
    <row r="3270" spans="1:16" ht="14.4" x14ac:dyDescent="0.3">
      <c r="A3270">
        <v>345407</v>
      </c>
      <c r="B3270" t="str">
        <f t="shared" si="102"/>
        <v>SEVROLL zaślepka do toru Elegant II 2,35 m czarny szczotkowany</v>
      </c>
      <c r="C3270" s="185">
        <f t="shared" si="103"/>
        <v>22.013339999999999</v>
      </c>
      <c r="D3270" s="407" t="s">
        <v>3358</v>
      </c>
      <c r="E3270" s="407" t="s">
        <v>3765</v>
      </c>
      <c r="F3270" s="407" t="s">
        <v>3766</v>
      </c>
      <c r="G3270" s="407" t="s">
        <v>3767</v>
      </c>
      <c r="H3270" s="460">
        <v>178.04201</v>
      </c>
      <c r="I3270" s="460">
        <v>6.4015599999999999</v>
      </c>
      <c r="J3270" s="460">
        <v>22.013339999999999</v>
      </c>
      <c r="K3270" s="460">
        <v>2463.8685500000001</v>
      </c>
      <c r="L3270" s="459" t="s">
        <v>538</v>
      </c>
      <c r="O3270">
        <v>5.6980000000000004</v>
      </c>
      <c r="P3270" t="s">
        <v>8920</v>
      </c>
    </row>
    <row r="3271" spans="1:16" ht="14.4" x14ac:dyDescent="0.3">
      <c r="A3271">
        <v>345408</v>
      </c>
      <c r="B3271" t="str">
        <f t="shared" si="102"/>
        <v>SEVROLL zaślepka do toru Elegant II 3m srebrny</v>
      </c>
      <c r="C3271" s="185">
        <f t="shared" si="103"/>
        <v>16.564800000000002</v>
      </c>
      <c r="D3271" s="407" t="s">
        <v>3359</v>
      </c>
      <c r="E3271" s="407" t="s">
        <v>5442</v>
      </c>
      <c r="F3271" s="407" t="s">
        <v>5443</v>
      </c>
      <c r="G3271" s="407" t="s">
        <v>5444</v>
      </c>
      <c r="H3271" s="460">
        <v>125.93214</v>
      </c>
      <c r="I3271" s="460">
        <v>4.5279299999999996</v>
      </c>
      <c r="J3271" s="460">
        <v>16.564800000000002</v>
      </c>
      <c r="K3271" s="460">
        <v>1742.7365600000001</v>
      </c>
      <c r="L3271" s="459" t="s">
        <v>538</v>
      </c>
      <c r="O3271">
        <v>4.4219999999999997</v>
      </c>
      <c r="P3271" t="s">
        <v>9440</v>
      </c>
    </row>
    <row r="3272" spans="1:16" ht="14.4" x14ac:dyDescent="0.3">
      <c r="A3272">
        <v>345409</v>
      </c>
      <c r="B3272" t="str">
        <f t="shared" si="102"/>
        <v>SEVROLL maska do toru Elegant II 3 m jasny brąz</v>
      </c>
      <c r="C3272" s="185">
        <f t="shared" si="103"/>
        <v>19.507760000000001</v>
      </c>
      <c r="D3272" s="407" t="s">
        <v>3360</v>
      </c>
      <c r="E3272" s="407" t="s">
        <v>5440</v>
      </c>
      <c r="F3272" s="407" t="s">
        <v>3360</v>
      </c>
      <c r="G3272" s="407" t="s">
        <v>5441</v>
      </c>
      <c r="H3272" s="460">
        <v>157.77707000000001</v>
      </c>
      <c r="I3272" s="460">
        <v>5.6599199999999996</v>
      </c>
      <c r="J3272" s="460">
        <v>19.507760000000001</v>
      </c>
      <c r="K3272" s="460">
        <v>2183.4282699999999</v>
      </c>
      <c r="L3272" s="459" t="s">
        <v>538</v>
      </c>
      <c r="O3272">
        <v>5.1040000000000001</v>
      </c>
      <c r="P3272" t="s">
        <v>9439</v>
      </c>
    </row>
    <row r="3273" spans="1:16" ht="14.4" x14ac:dyDescent="0.3">
      <c r="A3273">
        <v>345410</v>
      </c>
      <c r="B3273" t="str">
        <f t="shared" si="102"/>
        <v>SEVROLL maska do toru Elegant II 3 m jasny brąz szczotkowany</v>
      </c>
      <c r="C3273" s="185">
        <f t="shared" si="103"/>
        <v>28.098320000000001</v>
      </c>
      <c r="D3273" s="407" t="s">
        <v>3361</v>
      </c>
      <c r="E3273" s="407" t="s">
        <v>3883</v>
      </c>
      <c r="F3273" s="407" t="s">
        <v>3361</v>
      </c>
      <c r="G3273" s="407" t="s">
        <v>3884</v>
      </c>
      <c r="H3273" s="460">
        <v>227.25684999999999</v>
      </c>
      <c r="I3273" s="460">
        <v>8.1710999999999991</v>
      </c>
      <c r="J3273" s="460">
        <v>28.098320000000001</v>
      </c>
      <c r="K3273" s="460">
        <v>3144.9382599999999</v>
      </c>
      <c r="L3273" s="459" t="s">
        <v>538</v>
      </c>
      <c r="O3273">
        <v>7.26</v>
      </c>
      <c r="P3273" t="s">
        <v>8961</v>
      </c>
    </row>
    <row r="3274" spans="1:16" ht="14.4" x14ac:dyDescent="0.3">
      <c r="A3274">
        <v>345411</v>
      </c>
      <c r="B3274" t="str">
        <f t="shared" si="102"/>
        <v>SEVROLL zaślepka do toru Elegant II 3m koniak szczotkowany</v>
      </c>
      <c r="C3274" s="185">
        <f t="shared" si="103"/>
        <v>28.098320000000001</v>
      </c>
      <c r="D3274" s="407" t="s">
        <v>3362</v>
      </c>
      <c r="E3274" s="407" t="s">
        <v>3885</v>
      </c>
      <c r="F3274" s="407" t="s">
        <v>3362</v>
      </c>
      <c r="G3274" s="407" t="s">
        <v>3886</v>
      </c>
      <c r="H3274" s="460">
        <v>227.25684999999999</v>
      </c>
      <c r="I3274" s="460">
        <v>8.1710999999999991</v>
      </c>
      <c r="J3274" s="460">
        <v>28.098320000000001</v>
      </c>
      <c r="K3274" s="460">
        <v>3144.9382599999999</v>
      </c>
      <c r="L3274" s="459" t="s">
        <v>539</v>
      </c>
      <c r="O3274">
        <v>7.26</v>
      </c>
      <c r="P3274" t="s">
        <v>8962</v>
      </c>
    </row>
    <row r="3275" spans="1:16" ht="14.4" x14ac:dyDescent="0.3">
      <c r="A3275">
        <v>345412</v>
      </c>
      <c r="B3275" t="str">
        <f t="shared" si="102"/>
        <v>SEVROLL maska do toru Elegant II 3 m czarny szczotkowany</v>
      </c>
      <c r="C3275" s="185">
        <f t="shared" si="103"/>
        <v>28.098320000000001</v>
      </c>
      <c r="D3275" s="407" t="s">
        <v>3363</v>
      </c>
      <c r="E3275" s="407" t="s">
        <v>3880</v>
      </c>
      <c r="F3275" s="407" t="s">
        <v>3881</v>
      </c>
      <c r="G3275" s="407" t="s">
        <v>3882</v>
      </c>
      <c r="H3275" s="460">
        <v>227.25684999999999</v>
      </c>
      <c r="I3275" s="460">
        <v>8.1710999999999991</v>
      </c>
      <c r="J3275" s="460">
        <v>28.098320000000001</v>
      </c>
      <c r="K3275" s="460">
        <v>3144.9382599999999</v>
      </c>
      <c r="L3275" s="459" t="s">
        <v>538</v>
      </c>
      <c r="O3275">
        <v>7.26</v>
      </c>
      <c r="P3275" t="s">
        <v>8960</v>
      </c>
    </row>
    <row r="3276" spans="1:16" ht="14.4" x14ac:dyDescent="0.3">
      <c r="A3276">
        <v>345413</v>
      </c>
      <c r="B3276" t="str">
        <f t="shared" si="102"/>
        <v>SEVROLL maska do toru Elegant II 3 m biały połysk</v>
      </c>
      <c r="C3276" s="185">
        <f t="shared" si="103"/>
        <v>21.542400000000001</v>
      </c>
      <c r="D3276" s="407" t="s">
        <v>3364</v>
      </c>
      <c r="E3276" s="407" t="s">
        <v>3803</v>
      </c>
      <c r="F3276" s="407" t="s">
        <v>3804</v>
      </c>
      <c r="G3276" s="407" t="s">
        <v>3805</v>
      </c>
      <c r="H3276" s="460">
        <v>163.56704999999999</v>
      </c>
      <c r="I3276" s="460">
        <v>5.8863200000000004</v>
      </c>
      <c r="J3276" s="460">
        <v>21.542400000000001</v>
      </c>
      <c r="K3276" s="460">
        <v>2263.5540099999998</v>
      </c>
      <c r="L3276" s="459" t="s">
        <v>538</v>
      </c>
      <c r="O3276">
        <v>5.7640000000000002</v>
      </c>
      <c r="P3276" t="s">
        <v>8933</v>
      </c>
    </row>
    <row r="3277" spans="1:16" ht="14.4" x14ac:dyDescent="0.3">
      <c r="A3277">
        <v>345776</v>
      </c>
      <c r="B3277" t="str">
        <f t="shared" si="102"/>
        <v>SEVROLL zaślepka do toru Elegant II 4,05m srebrny</v>
      </c>
      <c r="C3277" s="185">
        <f t="shared" si="103"/>
        <v>22.368600000000001</v>
      </c>
      <c r="D3277" s="407" t="s">
        <v>3365</v>
      </c>
      <c r="E3277" s="407" t="s">
        <v>5449</v>
      </c>
      <c r="F3277" s="407" t="s">
        <v>5450</v>
      </c>
      <c r="G3277" s="407" t="s">
        <v>5451</v>
      </c>
      <c r="H3277" s="460">
        <v>170.08079000000001</v>
      </c>
      <c r="I3277" s="460">
        <v>6.1127000000000002</v>
      </c>
      <c r="J3277" s="460">
        <v>22.368600000000001</v>
      </c>
      <c r="K3277" s="460">
        <v>2353.6957200000002</v>
      </c>
      <c r="L3277" s="459" t="s">
        <v>538</v>
      </c>
      <c r="O3277">
        <v>6.0279999999999996</v>
      </c>
      <c r="P3277" t="s">
        <v>9443</v>
      </c>
    </row>
    <row r="3278" spans="1:16" ht="14.4" x14ac:dyDescent="0.3">
      <c r="A3278">
        <v>345777</v>
      </c>
      <c r="B3278" t="str">
        <f t="shared" si="102"/>
        <v>SEVROLL maska do toru Elegant II 4,05 m jasny brąz</v>
      </c>
      <c r="C3278" s="185">
        <f t="shared" si="103"/>
        <v>26.30864</v>
      </c>
      <c r="D3278" s="407" t="s">
        <v>3366</v>
      </c>
      <c r="E3278" s="407" t="s">
        <v>5447</v>
      </c>
      <c r="F3278" s="407" t="s">
        <v>3366</v>
      </c>
      <c r="G3278" s="407" t="s">
        <v>5448</v>
      </c>
      <c r="H3278" s="460">
        <v>212.78190000000001</v>
      </c>
      <c r="I3278" s="460">
        <v>7.6506400000000001</v>
      </c>
      <c r="J3278" s="460">
        <v>26.30864</v>
      </c>
      <c r="K3278" s="460">
        <v>2944.62372</v>
      </c>
      <c r="L3278" s="459" t="s">
        <v>538</v>
      </c>
      <c r="O3278">
        <v>6.9080000000000004</v>
      </c>
      <c r="P3278" t="s">
        <v>9442</v>
      </c>
    </row>
    <row r="3279" spans="1:16" ht="14.4" x14ac:dyDescent="0.3">
      <c r="A3279">
        <v>346114</v>
      </c>
      <c r="B3279" t="str">
        <f t="shared" si="102"/>
        <v>SEVROLL maska do toru Elegant II 4,05 m jasny brąz szczotkowany</v>
      </c>
      <c r="C3279" s="185">
        <f t="shared" si="103"/>
        <v>37.941690000000001</v>
      </c>
      <c r="D3279" s="407" t="s">
        <v>3367</v>
      </c>
      <c r="E3279" s="407" t="s">
        <v>4078</v>
      </c>
      <c r="F3279" s="407" t="s">
        <v>3367</v>
      </c>
      <c r="G3279" s="407" t="s">
        <v>4079</v>
      </c>
      <c r="H3279" s="460">
        <v>306.86912999999998</v>
      </c>
      <c r="I3279" s="460">
        <v>11.033580000000001</v>
      </c>
      <c r="J3279" s="460">
        <v>37.941690000000001</v>
      </c>
      <c r="K3279" s="460">
        <v>4246.6681500000004</v>
      </c>
      <c r="L3279" s="459" t="s">
        <v>539</v>
      </c>
      <c r="O3279">
        <v>9.8119999999999994</v>
      </c>
      <c r="P3279" t="s">
        <v>9024</v>
      </c>
    </row>
    <row r="3280" spans="1:16" ht="14.4" x14ac:dyDescent="0.3">
      <c r="A3280">
        <v>346115</v>
      </c>
      <c r="B3280" t="str">
        <f t="shared" si="102"/>
        <v>SEVROLL zaślepka do toru Elegant II 4,05m koniak szczotkowany</v>
      </c>
      <c r="C3280" s="185">
        <f t="shared" si="103"/>
        <v>37.941690000000001</v>
      </c>
      <c r="D3280" s="407" t="s">
        <v>3368</v>
      </c>
      <c r="E3280" s="407" t="s">
        <v>4040</v>
      </c>
      <c r="F3280" s="407" t="s">
        <v>3368</v>
      </c>
      <c r="G3280" s="407" t="s">
        <v>4041</v>
      </c>
      <c r="H3280" s="460">
        <v>306.86912999999998</v>
      </c>
      <c r="I3280" s="460">
        <v>11.033580000000001</v>
      </c>
      <c r="J3280" s="460">
        <v>37.941690000000001</v>
      </c>
      <c r="K3280" s="460">
        <v>4246.6681500000004</v>
      </c>
      <c r="L3280" s="459" t="s">
        <v>539</v>
      </c>
      <c r="O3280">
        <v>9.8119999999999994</v>
      </c>
      <c r="P3280" t="s">
        <v>9012</v>
      </c>
    </row>
    <row r="3281" spans="1:16" ht="14.4" x14ac:dyDescent="0.3">
      <c r="A3281">
        <v>346116</v>
      </c>
      <c r="B3281" t="str">
        <f t="shared" si="102"/>
        <v>SEVROLL maska do toru Elegant II 4,05 m czarny szczotkowany</v>
      </c>
      <c r="C3281" s="185">
        <f t="shared" si="103"/>
        <v>37.941690000000001</v>
      </c>
      <c r="D3281" s="407" t="s">
        <v>3369</v>
      </c>
      <c r="E3281" s="407" t="s">
        <v>4075</v>
      </c>
      <c r="F3281" s="407" t="s">
        <v>4076</v>
      </c>
      <c r="G3281" s="407" t="s">
        <v>4077</v>
      </c>
      <c r="H3281" s="460">
        <v>306.86912999999998</v>
      </c>
      <c r="I3281" s="460">
        <v>11.033580000000001</v>
      </c>
      <c r="J3281" s="460">
        <v>37.941690000000001</v>
      </c>
      <c r="K3281" s="460">
        <v>4246.6681500000004</v>
      </c>
      <c r="L3281" s="459" t="s">
        <v>538</v>
      </c>
      <c r="O3281">
        <v>9.8119999999999994</v>
      </c>
      <c r="P3281" t="s">
        <v>9023</v>
      </c>
    </row>
    <row r="3282" spans="1:16" ht="14.4" x14ac:dyDescent="0.3">
      <c r="A3282">
        <v>346117</v>
      </c>
      <c r="B3282" t="str">
        <f t="shared" si="102"/>
        <v>SEVROLL maska do toru Elegant II 4,05 m biały połysk</v>
      </c>
      <c r="C3282" s="185">
        <f t="shared" si="103"/>
        <v>29.07</v>
      </c>
      <c r="D3282" s="407" t="s">
        <v>3370</v>
      </c>
      <c r="E3282" s="407" t="s">
        <v>3954</v>
      </c>
      <c r="F3282" s="407" t="s">
        <v>3955</v>
      </c>
      <c r="G3282" s="407" t="s">
        <v>3956</v>
      </c>
      <c r="H3282" s="460">
        <v>220.74315000000001</v>
      </c>
      <c r="I3282" s="460">
        <v>7.93689</v>
      </c>
      <c r="J3282" s="460">
        <v>29.07</v>
      </c>
      <c r="K3282" s="460">
        <v>3054.79655</v>
      </c>
      <c r="L3282" s="459" t="s">
        <v>538</v>
      </c>
      <c r="O3282">
        <v>7.7880000000000003</v>
      </c>
      <c r="P3282" t="s">
        <v>8983</v>
      </c>
    </row>
    <row r="3283" spans="1:16" ht="14.4" x14ac:dyDescent="0.3">
      <c r="A3283">
        <v>346118</v>
      </c>
      <c r="B3283" t="str">
        <f t="shared" si="102"/>
        <v>SEVROLL maska do toru Elegant II 6 m srebrny</v>
      </c>
      <c r="C3283" s="185">
        <f t="shared" si="103"/>
        <v>0</v>
      </c>
      <c r="D3283" s="407" t="s">
        <v>3371</v>
      </c>
      <c r="E3283" s="407" t="s">
        <v>5456</v>
      </c>
      <c r="F3283" s="407" t="s">
        <v>5457</v>
      </c>
      <c r="G3283" s="407" t="s">
        <v>5458</v>
      </c>
      <c r="H3283" s="460">
        <v>251.86429999999999</v>
      </c>
      <c r="I3283" s="460">
        <v>9.0558599999999991</v>
      </c>
      <c r="J3283" s="460">
        <v>0</v>
      </c>
      <c r="K3283" s="460">
        <v>3485.4726999999998</v>
      </c>
      <c r="L3283" s="459" t="s">
        <v>538</v>
      </c>
      <c r="O3283">
        <v>8.8879999999999999</v>
      </c>
      <c r="P3283" t="s">
        <v>9446</v>
      </c>
    </row>
    <row r="3284" spans="1:16" ht="14.4" x14ac:dyDescent="0.3">
      <c r="A3284">
        <v>346119</v>
      </c>
      <c r="B3284" t="str">
        <f t="shared" si="102"/>
        <v>SEVROLL maska do toru Elegant II 6 m jasny brąz</v>
      </c>
      <c r="C3284" s="185">
        <f t="shared" si="103"/>
        <v>0</v>
      </c>
      <c r="D3284" s="407" t="s">
        <v>3372</v>
      </c>
      <c r="E3284" s="407" t="s">
        <v>5454</v>
      </c>
      <c r="F3284" s="407" t="s">
        <v>3372</v>
      </c>
      <c r="G3284" s="407" t="s">
        <v>5455</v>
      </c>
      <c r="H3284" s="460">
        <v>314.83039000000002</v>
      </c>
      <c r="I3284" s="460">
        <v>11.31983</v>
      </c>
      <c r="J3284" s="460">
        <v>0</v>
      </c>
      <c r="K3284" s="460">
        <v>4356.8409799999999</v>
      </c>
      <c r="L3284" s="459" t="s">
        <v>538</v>
      </c>
      <c r="O3284">
        <v>10.23</v>
      </c>
      <c r="P3284" t="s">
        <v>9445</v>
      </c>
    </row>
    <row r="3285" spans="1:16" ht="14.4" x14ac:dyDescent="0.3">
      <c r="A3285">
        <v>346120</v>
      </c>
      <c r="B3285" t="str">
        <f t="shared" si="102"/>
        <v>SEVROLL zaślepka do toru Elegant II 6m jasny brąz szczotkowany</v>
      </c>
      <c r="C3285" s="185">
        <f t="shared" si="103"/>
        <v>0</v>
      </c>
      <c r="D3285" s="407" t="s">
        <v>3373</v>
      </c>
      <c r="E3285" s="407" t="s">
        <v>4310</v>
      </c>
      <c r="F3285" s="407" t="s">
        <v>3373</v>
      </c>
      <c r="G3285" s="407" t="s">
        <v>4311</v>
      </c>
      <c r="H3285" s="460">
        <v>454.51373999999998</v>
      </c>
      <c r="I3285" s="460">
        <v>16.342189999999999</v>
      </c>
      <c r="J3285" s="460">
        <v>0</v>
      </c>
      <c r="K3285" s="460">
        <v>6289.8761000000004</v>
      </c>
      <c r="L3285" s="459" t="s">
        <v>539</v>
      </c>
      <c r="O3285">
        <v>14.542</v>
      </c>
      <c r="P3285" t="s">
        <v>9097</v>
      </c>
    </row>
    <row r="3286" spans="1:16" ht="14.4" x14ac:dyDescent="0.3">
      <c r="A3286">
        <v>346121</v>
      </c>
      <c r="B3286" t="str">
        <f t="shared" si="102"/>
        <v>SEVROLL zaślepka do toru Elegant II 6m koniak szczotkowany</v>
      </c>
      <c r="C3286" s="185" t="e">
        <f t="shared" si="103"/>
        <v>#N/A</v>
      </c>
      <c r="D3286" s="407" t="s">
        <v>3374</v>
      </c>
      <c r="E3286" s="407" t="s">
        <v>4312</v>
      </c>
      <c r="F3286" s="407" t="s">
        <v>3374</v>
      </c>
      <c r="G3286" s="407" t="s">
        <v>4313</v>
      </c>
      <c r="H3286" s="460" t="e">
        <v>#N/A</v>
      </c>
      <c r="I3286" s="460" t="e">
        <v>#N/A</v>
      </c>
      <c r="J3286" s="460" t="e">
        <v>#N/A</v>
      </c>
      <c r="K3286" s="460" t="e">
        <v>#N/A</v>
      </c>
      <c r="L3286" s="459" t="e">
        <v>#N/A</v>
      </c>
      <c r="O3286">
        <v>14.542</v>
      </c>
      <c r="P3286" t="s">
        <v>9098</v>
      </c>
    </row>
    <row r="3287" spans="1:16" ht="14.4" x14ac:dyDescent="0.3">
      <c r="A3287">
        <v>346122</v>
      </c>
      <c r="B3287" t="str">
        <f t="shared" si="102"/>
        <v>SEVROLL zaślepka do toru Elegant II 6m czarny szczotkowany</v>
      </c>
      <c r="C3287" s="185">
        <f t="shared" si="103"/>
        <v>0</v>
      </c>
      <c r="D3287" s="407" t="s">
        <v>3375</v>
      </c>
      <c r="E3287" s="407" t="s">
        <v>4307</v>
      </c>
      <c r="F3287" s="407" t="s">
        <v>4308</v>
      </c>
      <c r="G3287" s="407" t="s">
        <v>4309</v>
      </c>
      <c r="H3287" s="460">
        <v>454.51373999999998</v>
      </c>
      <c r="I3287" s="460">
        <v>16.342189999999999</v>
      </c>
      <c r="J3287" s="460">
        <v>0</v>
      </c>
      <c r="K3287" s="460">
        <v>6289.8761000000004</v>
      </c>
      <c r="L3287" s="459" t="s">
        <v>539</v>
      </c>
      <c r="O3287">
        <v>14.542</v>
      </c>
      <c r="P3287" t="s">
        <v>9096</v>
      </c>
    </row>
    <row r="3288" spans="1:16" ht="14.4" x14ac:dyDescent="0.3">
      <c r="A3288">
        <v>346123</v>
      </c>
      <c r="B3288" t="str">
        <f t="shared" si="102"/>
        <v>SEVROLL zaślepka do toru Elegant II 6m biały połysk</v>
      </c>
      <c r="C3288" s="185">
        <f t="shared" si="103"/>
        <v>0</v>
      </c>
      <c r="D3288" s="407" t="s">
        <v>3376</v>
      </c>
      <c r="E3288" s="407" t="s">
        <v>4169</v>
      </c>
      <c r="F3288" s="407" t="s">
        <v>4170</v>
      </c>
      <c r="G3288" s="407" t="s">
        <v>4171</v>
      </c>
      <c r="H3288" s="460">
        <v>327.13407999999998</v>
      </c>
      <c r="I3288" s="460">
        <v>11.762219999999999</v>
      </c>
      <c r="J3288" s="460">
        <v>0</v>
      </c>
      <c r="K3288" s="460">
        <v>4527.1084300000002</v>
      </c>
      <c r="L3288" s="459" t="s">
        <v>539</v>
      </c>
      <c r="O3288">
        <v>11.528</v>
      </c>
      <c r="P3288" t="s">
        <v>9052</v>
      </c>
    </row>
    <row r="3289" spans="1:16" ht="14.4" x14ac:dyDescent="0.3">
      <c r="A3289">
        <v>346129</v>
      </c>
      <c r="B3289" t="str">
        <f t="shared" si="102"/>
        <v>SEVROLL Herkules plus tor górny 4m alu</v>
      </c>
      <c r="C3289" s="185" t="e">
        <f t="shared" si="103"/>
        <v>#N/A</v>
      </c>
      <c r="D3289" s="407" t="s">
        <v>3377</v>
      </c>
      <c r="E3289" s="407" t="s">
        <v>4871</v>
      </c>
      <c r="F3289" s="407" t="s">
        <v>4872</v>
      </c>
      <c r="G3289" s="407" t="s">
        <v>4873</v>
      </c>
      <c r="H3289" s="460" t="e">
        <v>#N/A</v>
      </c>
      <c r="I3289" s="460" t="e">
        <v>#N/A</v>
      </c>
      <c r="J3289" s="460" t="e">
        <v>#N/A</v>
      </c>
      <c r="K3289" s="460" t="e">
        <v>#N/A</v>
      </c>
      <c r="L3289" s="459" t="e">
        <v>#N/A</v>
      </c>
      <c r="O3289" t="e">
        <v>#N/A</v>
      </c>
      <c r="P3289" t="e">
        <v>#N/A</v>
      </c>
    </row>
    <row r="3290" spans="1:16" ht="14.4" x14ac:dyDescent="0.3">
      <c r="A3290">
        <v>346130</v>
      </c>
      <c r="B3290" t="str">
        <f t="shared" si="102"/>
        <v>SEVROLL Herkules plus tor górny 6m alu</v>
      </c>
      <c r="C3290" s="185" t="e">
        <f t="shared" si="103"/>
        <v>#N/A</v>
      </c>
      <c r="D3290" s="407" t="s">
        <v>3378</v>
      </c>
      <c r="E3290" s="407" t="s">
        <v>5006</v>
      </c>
      <c r="F3290" s="407" t="s">
        <v>5007</v>
      </c>
      <c r="G3290" s="407" t="s">
        <v>5008</v>
      </c>
      <c r="H3290" s="460" t="e">
        <v>#N/A</v>
      </c>
      <c r="I3290" s="460" t="e">
        <v>#N/A</v>
      </c>
      <c r="J3290" s="460" t="e">
        <v>#N/A</v>
      </c>
      <c r="K3290" s="460" t="e">
        <v>#N/A</v>
      </c>
      <c r="L3290" s="459" t="e">
        <v>#N/A</v>
      </c>
      <c r="O3290" t="e">
        <v>#N/A</v>
      </c>
      <c r="P3290" t="e">
        <v>#N/A</v>
      </c>
    </row>
    <row r="3291" spans="1:16" ht="14.4" x14ac:dyDescent="0.3">
      <c r="A3291">
        <v>346726</v>
      </c>
      <c r="B3291" t="str">
        <f t="shared" si="102"/>
        <v>SEVROLL blachowkręt Blue 6,3x45</v>
      </c>
      <c r="C3291" s="185">
        <f t="shared" si="103"/>
        <v>0.52376999999999996</v>
      </c>
      <c r="D3291" s="407" t="s">
        <v>3379</v>
      </c>
      <c r="E3291" s="407" t="s">
        <v>6207</v>
      </c>
      <c r="F3291" s="407" t="s">
        <v>6208</v>
      </c>
      <c r="G3291" s="407" t="s">
        <v>6209</v>
      </c>
      <c r="H3291" s="460">
        <v>4.6080500000000004</v>
      </c>
      <c r="I3291" s="460">
        <v>0.15614</v>
      </c>
      <c r="J3291" s="460">
        <v>0.52376999999999996</v>
      </c>
      <c r="K3291" s="460">
        <v>61.50817</v>
      </c>
      <c r="L3291" s="459" t="s">
        <v>538</v>
      </c>
      <c r="O3291">
        <v>0.13200000000000001</v>
      </c>
      <c r="P3291" t="s">
        <v>8831</v>
      </c>
    </row>
    <row r="3292" spans="1:16" ht="14.4" x14ac:dyDescent="0.3">
      <c r="A3292">
        <v>349474</v>
      </c>
      <c r="B3292" t="str">
        <f t="shared" si="102"/>
        <v>SEVROLL Era rączka 18 mm 2,70 m, srebrna</v>
      </c>
      <c r="C3292" s="185">
        <f t="shared" si="103"/>
        <v>42.932870000000001</v>
      </c>
      <c r="D3292" s="407" t="s">
        <v>3380</v>
      </c>
      <c r="E3292" s="407" t="s">
        <v>4182</v>
      </c>
      <c r="F3292" s="407" t="s">
        <v>4183</v>
      </c>
      <c r="G3292" s="407" t="s">
        <v>4184</v>
      </c>
      <c r="H3292" s="460">
        <v>329.33136999999999</v>
      </c>
      <c r="I3292" s="460">
        <v>11.9704</v>
      </c>
      <c r="J3292" s="460">
        <v>42.932870000000001</v>
      </c>
      <c r="K3292" s="460">
        <v>4679.5044900000003</v>
      </c>
      <c r="L3292" s="459" t="s">
        <v>538</v>
      </c>
      <c r="O3292">
        <v>12.518000000000001</v>
      </c>
      <c r="P3292" t="s">
        <v>9056</v>
      </c>
    </row>
    <row r="3293" spans="1:16" ht="14.4" x14ac:dyDescent="0.3">
      <c r="A3293">
        <v>349475</v>
      </c>
      <c r="B3293" t="str">
        <f t="shared" si="102"/>
        <v>SEVROLL Blue tor górny 2m srebrny</v>
      </c>
      <c r="C3293" s="185">
        <f t="shared" si="103"/>
        <v>53.662149999999997</v>
      </c>
      <c r="D3293" s="407" t="s">
        <v>3381</v>
      </c>
      <c r="E3293" s="407" t="s">
        <v>4354</v>
      </c>
      <c r="F3293" s="407" t="s">
        <v>4355</v>
      </c>
      <c r="G3293" s="407" t="s">
        <v>4356</v>
      </c>
      <c r="H3293" s="460">
        <v>415.2439</v>
      </c>
      <c r="I3293" s="460">
        <v>15.093109999999999</v>
      </c>
      <c r="J3293" s="460">
        <v>53.662149999999997</v>
      </c>
      <c r="K3293" s="460">
        <v>5900.2447899999997</v>
      </c>
      <c r="L3293" s="459" t="s">
        <v>538</v>
      </c>
      <c r="O3293">
        <v>15.664</v>
      </c>
      <c r="P3293" t="s">
        <v>9109</v>
      </c>
    </row>
    <row r="3294" spans="1:16" ht="14.4" x14ac:dyDescent="0.3">
      <c r="A3294">
        <v>349476</v>
      </c>
      <c r="B3294" t="str">
        <f t="shared" si="102"/>
        <v>SEVROLL Blue-V tor dolny 2m srebrny</v>
      </c>
      <c r="C3294" s="185">
        <f t="shared" si="103"/>
        <v>33.713859999999997</v>
      </c>
      <c r="D3294" s="407" t="s">
        <v>3382</v>
      </c>
      <c r="E3294" s="407" t="s">
        <v>3918</v>
      </c>
      <c r="F3294" s="407" t="s">
        <v>3919</v>
      </c>
      <c r="G3294" s="407" t="s">
        <v>3920</v>
      </c>
      <c r="H3294" s="460">
        <v>221.94069999999999</v>
      </c>
      <c r="I3294" s="460">
        <v>8.0670099999999998</v>
      </c>
      <c r="J3294" s="460">
        <v>33.713859999999997</v>
      </c>
      <c r="K3294" s="460">
        <v>3153.5790999999999</v>
      </c>
      <c r="L3294" s="459" t="s">
        <v>538</v>
      </c>
      <c r="O3294">
        <v>8.0299999999999994</v>
      </c>
      <c r="P3294" t="s">
        <v>8972</v>
      </c>
    </row>
    <row r="3295" spans="1:16" ht="14.4" x14ac:dyDescent="0.3">
      <c r="A3295">
        <v>349726</v>
      </c>
      <c r="B3295" t="str">
        <f t="shared" si="102"/>
        <v>SEVROLL Blue-C tor dolny 2m, srebrny</v>
      </c>
      <c r="C3295" s="185">
        <f t="shared" si="103"/>
        <v>28.207630000000002</v>
      </c>
      <c r="D3295" s="407" t="s">
        <v>3383</v>
      </c>
      <c r="E3295" s="407" t="s">
        <v>3782</v>
      </c>
      <c r="F3295" s="407" t="s">
        <v>3783</v>
      </c>
      <c r="G3295" s="407" t="s">
        <v>3784</v>
      </c>
      <c r="H3295" s="460">
        <v>191.15539000000001</v>
      </c>
      <c r="I3295" s="460">
        <v>6.9480300000000002</v>
      </c>
      <c r="J3295" s="460">
        <v>28.207630000000002</v>
      </c>
      <c r="K3295" s="460">
        <v>2716.14725</v>
      </c>
      <c r="L3295" s="459" t="s">
        <v>539</v>
      </c>
      <c r="O3295">
        <v>6.1820000000000004</v>
      </c>
      <c r="P3295" t="s">
        <v>8925</v>
      </c>
    </row>
    <row r="3296" spans="1:16" ht="14.4" x14ac:dyDescent="0.3">
      <c r="A3296">
        <v>349732</v>
      </c>
      <c r="B3296" t="str">
        <f t="shared" si="102"/>
        <v>SEVROLL wózek górny Blue (do płyty laminowanej 18mm) ramowy L+P</v>
      </c>
      <c r="C3296" s="185">
        <f t="shared" si="103"/>
        <v>15.244389999999999</v>
      </c>
      <c r="D3296" s="407" t="s">
        <v>3384</v>
      </c>
      <c r="E3296" s="407" t="s">
        <v>3578</v>
      </c>
      <c r="F3296" s="407" t="s">
        <v>3579</v>
      </c>
      <c r="G3296" s="407" t="s">
        <v>3580</v>
      </c>
      <c r="H3296" s="460">
        <v>107.52083</v>
      </c>
      <c r="I3296" s="460">
        <v>3.64316</v>
      </c>
      <c r="J3296" s="460">
        <v>15.244389999999999</v>
      </c>
      <c r="K3296" s="460">
        <v>1435.1946800000001</v>
      </c>
      <c r="L3296" s="459" t="s">
        <v>538</v>
      </c>
      <c r="O3296">
        <v>3.08</v>
      </c>
      <c r="P3296" t="s">
        <v>8858</v>
      </c>
    </row>
    <row r="3297" spans="1:16" ht="14.4" x14ac:dyDescent="0.3">
      <c r="A3297">
        <v>349733</v>
      </c>
      <c r="B3297" t="str">
        <f t="shared" si="102"/>
        <v>SEVROLL wózek dolny Blue C system ramowy - 2 szt.</v>
      </c>
      <c r="C3297" s="185">
        <f t="shared" si="103"/>
        <v>15.66916</v>
      </c>
      <c r="D3297" s="407" t="s">
        <v>3385</v>
      </c>
      <c r="E3297" s="407" t="s">
        <v>6210</v>
      </c>
      <c r="F3297" s="407" t="s">
        <v>6211</v>
      </c>
      <c r="G3297" s="407" t="s">
        <v>6212</v>
      </c>
      <c r="H3297" s="460">
        <v>86.784660000000002</v>
      </c>
      <c r="I3297" s="460">
        <v>2.94055</v>
      </c>
      <c r="J3297" s="460">
        <v>15.66916</v>
      </c>
      <c r="K3297" s="460">
        <v>1158.40705</v>
      </c>
      <c r="L3297" s="459" t="s">
        <v>540</v>
      </c>
      <c r="O3297">
        <v>2.4860000000000002</v>
      </c>
      <c r="P3297" t="s">
        <v>8854</v>
      </c>
    </row>
    <row r="3298" spans="1:16" ht="14.4" x14ac:dyDescent="0.3">
      <c r="A3298">
        <v>349734</v>
      </c>
      <c r="B3298" t="str">
        <f t="shared" si="102"/>
        <v>SEVROLL wózek górny Blue (do płyty laminowanej 18mm) bezramowy L+P</v>
      </c>
      <c r="C3298" s="185">
        <f t="shared" si="103"/>
        <v>12.22138</v>
      </c>
      <c r="D3298" s="407" t="s">
        <v>3386</v>
      </c>
      <c r="E3298" s="407" t="s">
        <v>3597</v>
      </c>
      <c r="F3298" s="407" t="s">
        <v>3598</v>
      </c>
      <c r="G3298" s="407" t="s">
        <v>3599</v>
      </c>
      <c r="H3298" s="460">
        <v>107.52083</v>
      </c>
      <c r="I3298" s="460">
        <v>3.64316</v>
      </c>
      <c r="J3298" s="460">
        <v>12.22138</v>
      </c>
      <c r="K3298" s="460">
        <v>1435.1946800000001</v>
      </c>
      <c r="L3298" s="459" t="s">
        <v>538</v>
      </c>
      <c r="O3298">
        <v>3.08</v>
      </c>
      <c r="P3298" t="s">
        <v>8863</v>
      </c>
    </row>
    <row r="3299" spans="1:16" ht="14.4" x14ac:dyDescent="0.3">
      <c r="A3299">
        <v>349735</v>
      </c>
      <c r="B3299" t="str">
        <f t="shared" si="102"/>
        <v>SEVROLL wózek dolny Blue V system bezramowy do 18mm - 2szt</v>
      </c>
      <c r="C3299" s="185">
        <f t="shared" si="103"/>
        <v>17.35249</v>
      </c>
      <c r="D3299" s="407" t="s">
        <v>3387</v>
      </c>
      <c r="E3299" s="407" t="s">
        <v>3681</v>
      </c>
      <c r="F3299" s="407" t="s">
        <v>3682</v>
      </c>
      <c r="G3299" s="407" t="s">
        <v>3683</v>
      </c>
      <c r="H3299" s="460">
        <v>142.08112</v>
      </c>
      <c r="I3299" s="460">
        <v>4.8141800000000003</v>
      </c>
      <c r="J3299" s="460">
        <v>17.35249</v>
      </c>
      <c r="K3299" s="460">
        <v>1896.5072500000001</v>
      </c>
      <c r="L3299" s="459" t="s">
        <v>538</v>
      </c>
      <c r="O3299">
        <v>4.29</v>
      </c>
      <c r="P3299" t="s">
        <v>8893</v>
      </c>
    </row>
    <row r="3300" spans="1:16" ht="14.4" x14ac:dyDescent="0.3">
      <c r="A3300">
        <v>349736</v>
      </c>
      <c r="B3300" t="str">
        <f t="shared" si="102"/>
        <v>SEVROLL wózek dolny Blue C bezramowy do 18mm - 2 szt.</v>
      </c>
      <c r="C3300" s="185">
        <f t="shared" si="103"/>
        <v>16.911989999999999</v>
      </c>
      <c r="D3300" s="407" t="s">
        <v>3388</v>
      </c>
      <c r="E3300" s="407" t="s">
        <v>3656</v>
      </c>
      <c r="F3300" s="407" t="s">
        <v>3657</v>
      </c>
      <c r="G3300" s="407" t="s">
        <v>3658</v>
      </c>
      <c r="H3300" s="460">
        <v>142.08112</v>
      </c>
      <c r="I3300" s="460">
        <v>4.8141800000000003</v>
      </c>
      <c r="J3300" s="460">
        <v>16.911989999999999</v>
      </c>
      <c r="K3300" s="460">
        <v>1896.5072500000001</v>
      </c>
      <c r="L3300" s="459" t="s">
        <v>540</v>
      </c>
      <c r="O3300">
        <v>4.29</v>
      </c>
      <c r="P3300" t="s">
        <v>8884</v>
      </c>
    </row>
    <row r="3301" spans="1:16" ht="14.4" x14ac:dyDescent="0.3">
      <c r="A3301">
        <v>349794</v>
      </c>
      <c r="B3301" t="str">
        <f t="shared" si="102"/>
        <v>SEVROLL Era rączka 18mm 2,70m, jasny brąz</v>
      </c>
      <c r="C3301" s="185">
        <f t="shared" si="103"/>
        <v>50.194949999999999</v>
      </c>
      <c r="D3301" s="407" t="s">
        <v>3389</v>
      </c>
      <c r="E3301" s="407" t="s">
        <v>4254</v>
      </c>
      <c r="F3301" s="407" t="s">
        <v>3389</v>
      </c>
      <c r="G3301" s="407" t="s">
        <v>4255</v>
      </c>
      <c r="H3301" s="460">
        <v>411.66422</v>
      </c>
      <c r="I3301" s="460">
        <v>14.962999999999999</v>
      </c>
      <c r="J3301" s="460">
        <v>50.194949999999999</v>
      </c>
      <c r="K3301" s="460">
        <v>5849.3806000000004</v>
      </c>
      <c r="L3301" s="459" t="s">
        <v>538</v>
      </c>
      <c r="O3301">
        <v>14.41</v>
      </c>
      <c r="P3301" t="s">
        <v>9079</v>
      </c>
    </row>
    <row r="3302" spans="1:16" ht="14.4" x14ac:dyDescent="0.3">
      <c r="A3302">
        <v>349796</v>
      </c>
      <c r="B3302" t="str">
        <f t="shared" si="102"/>
        <v>SEVROLL Blue tor górny 1,5m srebrny</v>
      </c>
      <c r="C3302" s="185">
        <f t="shared" si="103"/>
        <v>40.289879999999997</v>
      </c>
      <c r="D3302" s="407" t="s">
        <v>3390</v>
      </c>
      <c r="E3302" s="407" t="s">
        <v>4134</v>
      </c>
      <c r="F3302" s="407" t="s">
        <v>4135</v>
      </c>
      <c r="G3302" s="407" t="s">
        <v>4136</v>
      </c>
      <c r="H3302" s="460">
        <v>311.43293999999997</v>
      </c>
      <c r="I3302" s="460">
        <v>11.31983</v>
      </c>
      <c r="J3302" s="460">
        <v>40.289879999999997</v>
      </c>
      <c r="K3302" s="460">
        <v>4425.1835799999999</v>
      </c>
      <c r="L3302" s="459" t="s">
        <v>539</v>
      </c>
      <c r="O3302">
        <v>11.836</v>
      </c>
      <c r="P3302" t="s">
        <v>9042</v>
      </c>
    </row>
    <row r="3303" spans="1:16" ht="14.4" x14ac:dyDescent="0.3">
      <c r="A3303">
        <v>349797</v>
      </c>
      <c r="B3303" t="str">
        <f t="shared" si="102"/>
        <v>SEVROLL Blue tor górny 1,5m jasny brąz</v>
      </c>
      <c r="C3303" s="185">
        <f t="shared" si="103"/>
        <v>47.466999999999999</v>
      </c>
      <c r="D3303" s="407" t="s">
        <v>3391</v>
      </c>
      <c r="E3303" s="407" t="s">
        <v>4196</v>
      </c>
      <c r="F3303" s="407" t="s">
        <v>4197</v>
      </c>
      <c r="G3303" s="407" t="s">
        <v>4198</v>
      </c>
      <c r="H3303" s="460">
        <v>389.47012999999998</v>
      </c>
      <c r="I3303" s="460">
        <v>14.15629</v>
      </c>
      <c r="J3303" s="460">
        <v>47.466999999999999</v>
      </c>
      <c r="K3303" s="460">
        <v>5534.0228800000004</v>
      </c>
      <c r="L3303" s="459" t="s">
        <v>539</v>
      </c>
      <c r="O3303">
        <v>12.628</v>
      </c>
      <c r="P3303" t="s">
        <v>9060</v>
      </c>
    </row>
    <row r="3304" spans="1:16" ht="14.4" x14ac:dyDescent="0.3">
      <c r="A3304">
        <v>349798</v>
      </c>
      <c r="B3304" t="str">
        <f t="shared" si="102"/>
        <v>SEVROLL Blue tor górny 2 m, jasny brąz</v>
      </c>
      <c r="C3304" s="185">
        <f t="shared" si="103"/>
        <v>63.289290000000001</v>
      </c>
      <c r="D3304" s="407" t="s">
        <v>3392</v>
      </c>
      <c r="E3304" s="407" t="s">
        <v>4411</v>
      </c>
      <c r="F3304" s="407" t="s">
        <v>4412</v>
      </c>
      <c r="G3304" s="407" t="s">
        <v>4413</v>
      </c>
      <c r="H3304" s="460">
        <v>519.05488000000003</v>
      </c>
      <c r="I3304" s="460">
        <v>18.866389999999999</v>
      </c>
      <c r="J3304" s="460">
        <v>63.289290000000001</v>
      </c>
      <c r="K3304" s="460">
        <v>7375.3059899999998</v>
      </c>
      <c r="L3304" s="459" t="s">
        <v>538</v>
      </c>
      <c r="O3304">
        <v>16.72</v>
      </c>
      <c r="P3304" t="s">
        <v>9128</v>
      </c>
    </row>
    <row r="3305" spans="1:16" ht="14.4" x14ac:dyDescent="0.3">
      <c r="A3305">
        <v>349799</v>
      </c>
      <c r="B3305" t="str">
        <f t="shared" si="102"/>
        <v>SEVROLL Blue tor górny 2,5m srebrny</v>
      </c>
      <c r="C3305" s="185">
        <f t="shared" si="103"/>
        <v>67.065889999999996</v>
      </c>
      <c r="D3305" s="407" t="s">
        <v>3393</v>
      </c>
      <c r="E3305" s="407" t="s">
        <v>4466</v>
      </c>
      <c r="F3305" s="407" t="s">
        <v>4467</v>
      </c>
      <c r="G3305" s="407" t="s">
        <v>4468</v>
      </c>
      <c r="H3305" s="460">
        <v>519.05488000000003</v>
      </c>
      <c r="I3305" s="460">
        <v>18.866389999999999</v>
      </c>
      <c r="J3305" s="460">
        <v>67.065889999999996</v>
      </c>
      <c r="K3305" s="460">
        <v>7375.3059899999998</v>
      </c>
      <c r="L3305" s="459" t="s">
        <v>539</v>
      </c>
      <c r="O3305">
        <v>19.536000000000001</v>
      </c>
      <c r="P3305" t="s">
        <v>9144</v>
      </c>
    </row>
    <row r="3306" spans="1:16" ht="14.4" x14ac:dyDescent="0.3">
      <c r="A3306">
        <v>349800</v>
      </c>
      <c r="B3306" t="str">
        <f t="shared" si="102"/>
        <v>SEVROLL Blue tor górny 2,5m jasny brąz</v>
      </c>
      <c r="C3306" s="185">
        <f t="shared" si="103"/>
        <v>79.111639999999994</v>
      </c>
      <c r="D3306" s="407" t="s">
        <v>3394</v>
      </c>
      <c r="E3306" s="407" t="s">
        <v>4516</v>
      </c>
      <c r="F3306" s="407" t="s">
        <v>4517</v>
      </c>
      <c r="G3306" s="407" t="s">
        <v>4518</v>
      </c>
      <c r="H3306" s="460">
        <v>648.63960999999995</v>
      </c>
      <c r="I3306" s="460">
        <v>23.57648</v>
      </c>
      <c r="J3306" s="460">
        <v>79.111639999999994</v>
      </c>
      <c r="K3306" s="460">
        <v>9216.5891300000003</v>
      </c>
      <c r="L3306" s="459" t="s">
        <v>539</v>
      </c>
      <c r="O3306">
        <v>20.768000000000001</v>
      </c>
      <c r="P3306" t="s">
        <v>9160</v>
      </c>
    </row>
    <row r="3307" spans="1:16" ht="14.4" x14ac:dyDescent="0.3">
      <c r="A3307">
        <v>349801</v>
      </c>
      <c r="B3307" t="str">
        <f t="shared" si="102"/>
        <v>SEVROLL Blue tor górny 3 m, jasny brąz</v>
      </c>
      <c r="C3307" s="185">
        <f t="shared" si="103"/>
        <v>94.933920000000001</v>
      </c>
      <c r="D3307" s="407" t="s">
        <v>3395</v>
      </c>
      <c r="E3307" s="407" t="s">
        <v>4682</v>
      </c>
      <c r="F3307" s="407" t="s">
        <v>4683</v>
      </c>
      <c r="G3307" s="407" t="s">
        <v>4684</v>
      </c>
      <c r="H3307" s="460">
        <v>778.94028000000003</v>
      </c>
      <c r="I3307" s="460">
        <v>28.31259</v>
      </c>
      <c r="J3307" s="460">
        <v>94.933920000000001</v>
      </c>
      <c r="K3307" s="460">
        <v>11068.045319999999</v>
      </c>
      <c r="L3307" s="459" t="s">
        <v>538</v>
      </c>
      <c r="O3307">
        <v>24.771999999999998</v>
      </c>
      <c r="P3307" t="s">
        <v>9209</v>
      </c>
    </row>
    <row r="3308" spans="1:16" ht="14.4" x14ac:dyDescent="0.3">
      <c r="A3308">
        <v>349802</v>
      </c>
      <c r="B3308" t="str">
        <f t="shared" si="102"/>
        <v>SEVROLL Blue tor górny 3 m, srebrny</v>
      </c>
      <c r="C3308" s="185">
        <f t="shared" si="103"/>
        <v>80.48536</v>
      </c>
      <c r="D3308" s="407" t="s">
        <v>3396</v>
      </c>
      <c r="E3308" s="407" t="s">
        <v>4610</v>
      </c>
      <c r="F3308" s="407" t="s">
        <v>4611</v>
      </c>
      <c r="G3308" s="407" t="s">
        <v>4612</v>
      </c>
      <c r="H3308" s="460">
        <v>622.86584000000005</v>
      </c>
      <c r="I3308" s="460">
        <v>22.639659999999999</v>
      </c>
      <c r="J3308" s="460">
        <v>80.48536</v>
      </c>
      <c r="K3308" s="460">
        <v>8850.3671900000008</v>
      </c>
      <c r="L3308" s="459" t="s">
        <v>538</v>
      </c>
      <c r="O3308">
        <v>23.231999999999999</v>
      </c>
      <c r="P3308" t="s">
        <v>9187</v>
      </c>
    </row>
    <row r="3309" spans="1:16" ht="14.4" x14ac:dyDescent="0.3">
      <c r="A3309">
        <v>349804</v>
      </c>
      <c r="B3309" t="str">
        <f t="shared" si="102"/>
        <v>SEVROLL Blue tor górny 4m srebrny</v>
      </c>
      <c r="C3309" s="185">
        <f t="shared" si="103"/>
        <v>107.34003</v>
      </c>
      <c r="D3309" s="407" t="s">
        <v>3397</v>
      </c>
      <c r="E3309" s="407" t="s">
        <v>4783</v>
      </c>
      <c r="F3309" s="407" t="s">
        <v>4784</v>
      </c>
      <c r="G3309" s="407" t="s">
        <v>2407</v>
      </c>
      <c r="H3309" s="460">
        <v>830.48779000000002</v>
      </c>
      <c r="I3309" s="460">
        <v>30.186219999999999</v>
      </c>
      <c r="J3309" s="460">
        <v>107.34003</v>
      </c>
      <c r="K3309" s="460">
        <v>11800.489600000001</v>
      </c>
      <c r="L3309" s="459" t="s">
        <v>538</v>
      </c>
      <c r="O3309">
        <v>30.998000000000001</v>
      </c>
      <c r="P3309" t="s">
        <v>9241</v>
      </c>
    </row>
    <row r="3310" spans="1:16" ht="14.4" x14ac:dyDescent="0.3">
      <c r="A3310">
        <v>349805</v>
      </c>
      <c r="B3310" t="str">
        <f t="shared" si="102"/>
        <v>SEVROLL Blue tor górny 4 m, jasny brąz</v>
      </c>
      <c r="C3310" s="185">
        <f t="shared" si="103"/>
        <v>126.57856</v>
      </c>
      <c r="D3310" s="407" t="s">
        <v>3398</v>
      </c>
      <c r="E3310" s="407" t="s">
        <v>4847</v>
      </c>
      <c r="F3310" s="407" t="s">
        <v>4848</v>
      </c>
      <c r="G3310" s="407" t="s">
        <v>4849</v>
      </c>
      <c r="H3310" s="460">
        <v>1038.1097400000001</v>
      </c>
      <c r="I3310" s="460">
        <v>37.732770000000002</v>
      </c>
      <c r="J3310" s="460">
        <v>126.57856</v>
      </c>
      <c r="K3310" s="460">
        <v>14750.61198</v>
      </c>
      <c r="L3310" s="459" t="s">
        <v>538</v>
      </c>
      <c r="O3310">
        <v>33.021999999999998</v>
      </c>
      <c r="P3310" t="s">
        <v>9261</v>
      </c>
    </row>
    <row r="3311" spans="1:16" ht="14.4" x14ac:dyDescent="0.3">
      <c r="A3311">
        <v>349806</v>
      </c>
      <c r="B3311" t="str">
        <f t="shared" si="102"/>
        <v>SEVROLL Blue tor górny 6 m, jasny brąz</v>
      </c>
      <c r="C3311" s="185">
        <f t="shared" si="103"/>
        <v>0</v>
      </c>
      <c r="D3311" s="407" t="s">
        <v>3399</v>
      </c>
      <c r="E3311" s="407" t="s">
        <v>4960</v>
      </c>
      <c r="F3311" s="407" t="s">
        <v>4961</v>
      </c>
      <c r="G3311" s="407" t="s">
        <v>4962</v>
      </c>
      <c r="H3311" s="460">
        <v>1557.16462</v>
      </c>
      <c r="I3311" s="460">
        <v>56.599159999999998</v>
      </c>
      <c r="J3311" s="460">
        <v>0</v>
      </c>
      <c r="K3311" s="460">
        <v>22125.917969999999</v>
      </c>
      <c r="L3311" s="459" t="s">
        <v>538</v>
      </c>
      <c r="O3311">
        <v>49.698</v>
      </c>
      <c r="P3311" t="s">
        <v>9289</v>
      </c>
    </row>
    <row r="3312" spans="1:16" ht="14.4" x14ac:dyDescent="0.3">
      <c r="A3312">
        <v>349807</v>
      </c>
      <c r="B3312" t="str">
        <f t="shared" si="102"/>
        <v>SEVROLL Blue tor górny 6 m, srebrny</v>
      </c>
      <c r="C3312" s="185" t="e">
        <f t="shared" si="103"/>
        <v>#N/A</v>
      </c>
      <c r="D3312" s="407" t="s">
        <v>3400</v>
      </c>
      <c r="E3312" s="407" t="s">
        <v>4946</v>
      </c>
      <c r="F3312" s="407" t="s">
        <v>4947</v>
      </c>
      <c r="G3312" s="407" t="s">
        <v>4948</v>
      </c>
      <c r="H3312" s="460" t="e">
        <v>#N/A</v>
      </c>
      <c r="I3312" s="460" t="e">
        <v>#N/A</v>
      </c>
      <c r="J3312" s="460" t="e">
        <v>#N/A</v>
      </c>
      <c r="K3312" s="460" t="e">
        <v>#N/A</v>
      </c>
      <c r="L3312" s="459" t="e">
        <v>#N/A</v>
      </c>
      <c r="O3312">
        <v>46.618000000000002</v>
      </c>
      <c r="P3312" t="s">
        <v>9286</v>
      </c>
    </row>
    <row r="3313" spans="1:16" ht="14.4" x14ac:dyDescent="0.3">
      <c r="A3313">
        <v>349809</v>
      </c>
      <c r="B3313" t="str">
        <f t="shared" si="102"/>
        <v>SEVROLL Blue-V tor dolny 2 m, jasny brąz</v>
      </c>
      <c r="C3313" s="185">
        <f t="shared" si="103"/>
        <v>37.583959999999998</v>
      </c>
      <c r="D3313" s="407" t="s">
        <v>3401</v>
      </c>
      <c r="E3313" s="407" t="s">
        <v>3979</v>
      </c>
      <c r="F3313" s="407" t="s">
        <v>3980</v>
      </c>
      <c r="G3313" s="407" t="s">
        <v>3981</v>
      </c>
      <c r="H3313" s="460">
        <v>277.78384999999997</v>
      </c>
      <c r="I3313" s="460">
        <v>10.096769999999999</v>
      </c>
      <c r="J3313" s="460">
        <v>37.583959999999998</v>
      </c>
      <c r="K3313" s="460">
        <v>3947.06023</v>
      </c>
      <c r="L3313" s="459" t="s">
        <v>538</v>
      </c>
      <c r="O3313">
        <v>9.0640000000000001</v>
      </c>
      <c r="P3313" t="s">
        <v>8991</v>
      </c>
    </row>
    <row r="3314" spans="1:16" ht="14.4" x14ac:dyDescent="0.3">
      <c r="A3314">
        <v>349810</v>
      </c>
      <c r="B3314" t="str">
        <f t="shared" si="102"/>
        <v>SEVROLL Blue-V tor dolny 1,5m srebrny</v>
      </c>
      <c r="C3314" s="185">
        <f t="shared" si="103"/>
        <v>25.674769999999999</v>
      </c>
      <c r="D3314" s="407" t="s">
        <v>3402</v>
      </c>
      <c r="E3314" s="407" t="s">
        <v>3785</v>
      </c>
      <c r="F3314" s="407" t="s">
        <v>3786</v>
      </c>
      <c r="G3314" s="407" t="s">
        <v>3787</v>
      </c>
      <c r="H3314" s="460">
        <v>166.81349</v>
      </c>
      <c r="I3314" s="460">
        <v>6.0632700000000002</v>
      </c>
      <c r="J3314" s="460">
        <v>25.674769999999999</v>
      </c>
      <c r="K3314" s="460">
        <v>2370.2706699999999</v>
      </c>
      <c r="L3314" s="459" t="s">
        <v>539</v>
      </c>
      <c r="O3314">
        <v>6.1159999999999997</v>
      </c>
      <c r="P3314" t="s">
        <v>8926</v>
      </c>
    </row>
    <row r="3315" spans="1:16" ht="14.4" x14ac:dyDescent="0.3">
      <c r="A3315">
        <v>349811</v>
      </c>
      <c r="B3315" t="str">
        <f t="shared" si="102"/>
        <v>SEVROLL Blue-V tor dolny 2,5m jasny brąz</v>
      </c>
      <c r="C3315" s="185">
        <f t="shared" si="103"/>
        <v>46.504049999999999</v>
      </c>
      <c r="D3315" s="407" t="s">
        <v>3403</v>
      </c>
      <c r="E3315" s="407" t="s">
        <v>4085</v>
      </c>
      <c r="F3315" s="407" t="s">
        <v>4086</v>
      </c>
      <c r="G3315" s="407" t="s">
        <v>4087</v>
      </c>
      <c r="H3315" s="460">
        <v>346.51386000000002</v>
      </c>
      <c r="I3315" s="460">
        <v>12.594939999999999</v>
      </c>
      <c r="J3315" s="460">
        <v>46.504049999999999</v>
      </c>
      <c r="K3315" s="460">
        <v>4923.6526999999996</v>
      </c>
      <c r="L3315" s="459" t="s">
        <v>539</v>
      </c>
      <c r="O3315">
        <v>11.22</v>
      </c>
      <c r="P3315" t="s">
        <v>9027</v>
      </c>
    </row>
    <row r="3316" spans="1:16" ht="14.4" x14ac:dyDescent="0.3">
      <c r="A3316">
        <v>349812</v>
      </c>
      <c r="B3316" t="str">
        <f t="shared" si="102"/>
        <v>SEVROLL Blue-V tor dolny 1,5m jasny brąz</v>
      </c>
      <c r="C3316" s="185">
        <f t="shared" si="103"/>
        <v>28.695329999999998</v>
      </c>
      <c r="D3316" s="407" t="s">
        <v>3404</v>
      </c>
      <c r="E3316" s="407" t="s">
        <v>3806</v>
      </c>
      <c r="F3316" s="407" t="s">
        <v>3807</v>
      </c>
      <c r="G3316" s="407" t="s">
        <v>3808</v>
      </c>
      <c r="H3316" s="460">
        <v>208.33788000000001</v>
      </c>
      <c r="I3316" s="460">
        <v>7.5725800000000003</v>
      </c>
      <c r="J3316" s="460">
        <v>28.695329999999998</v>
      </c>
      <c r="K3316" s="460">
        <v>2960.2950700000001</v>
      </c>
      <c r="L3316" s="459" t="s">
        <v>539</v>
      </c>
      <c r="O3316">
        <v>6.8419999999999996</v>
      </c>
      <c r="P3316" t="s">
        <v>8934</v>
      </c>
    </row>
    <row r="3317" spans="1:16" ht="14.4" x14ac:dyDescent="0.3">
      <c r="A3317">
        <v>349813</v>
      </c>
      <c r="B3317" t="str">
        <f t="shared" si="102"/>
        <v>SEVROLL Blue-V tor dolny 2,5m srebrny</v>
      </c>
      <c r="C3317" s="185">
        <f t="shared" si="103"/>
        <v>41.627099999999999</v>
      </c>
      <c r="D3317" s="407" t="s">
        <v>3405</v>
      </c>
      <c r="E3317" s="407" t="s">
        <v>4025</v>
      </c>
      <c r="F3317" s="407" t="s">
        <v>4026</v>
      </c>
      <c r="G3317" s="407" t="s">
        <v>4027</v>
      </c>
      <c r="H3317" s="460">
        <v>277.78384999999997</v>
      </c>
      <c r="I3317" s="460">
        <v>10.096769999999999</v>
      </c>
      <c r="J3317" s="460">
        <v>41.627099999999999</v>
      </c>
      <c r="K3317" s="460">
        <v>3947.06023</v>
      </c>
      <c r="L3317" s="459" t="s">
        <v>539</v>
      </c>
      <c r="O3317">
        <v>9.9220000000000006</v>
      </c>
      <c r="P3317" t="s">
        <v>9008</v>
      </c>
    </row>
    <row r="3318" spans="1:16" ht="14.4" x14ac:dyDescent="0.3">
      <c r="A3318">
        <v>349814</v>
      </c>
      <c r="B3318" t="str">
        <f t="shared" si="102"/>
        <v>SEVROLL Blue-V tor dolny 3m srebrny</v>
      </c>
      <c r="C3318" s="185">
        <f t="shared" si="103"/>
        <v>49.288629999999998</v>
      </c>
      <c r="D3318" s="407" t="s">
        <v>3406</v>
      </c>
      <c r="E3318" s="407" t="s">
        <v>4148</v>
      </c>
      <c r="F3318" s="407" t="s">
        <v>4149</v>
      </c>
      <c r="G3318" s="407" t="s">
        <v>4150</v>
      </c>
      <c r="H3318" s="460">
        <v>332.91107</v>
      </c>
      <c r="I3318" s="460">
        <v>12.10051</v>
      </c>
      <c r="J3318" s="460">
        <v>49.288629999999998</v>
      </c>
      <c r="K3318" s="460">
        <v>4730.3686699999998</v>
      </c>
      <c r="L3318" s="459" t="s">
        <v>538</v>
      </c>
      <c r="O3318">
        <v>11.77</v>
      </c>
      <c r="P3318" t="s">
        <v>9045</v>
      </c>
    </row>
    <row r="3319" spans="1:16" ht="14.4" x14ac:dyDescent="0.3">
      <c r="A3319">
        <v>349815</v>
      </c>
      <c r="B3319" t="str">
        <f t="shared" si="102"/>
        <v>SEVROLL Blue-V tor dolny 3 m, jasny brąz</v>
      </c>
      <c r="C3319" s="185">
        <f t="shared" si="103"/>
        <v>55.219630000000002</v>
      </c>
      <c r="D3319" s="407" t="s">
        <v>3407</v>
      </c>
      <c r="E3319" s="407" t="s">
        <v>4228</v>
      </c>
      <c r="F3319" s="407" t="s">
        <v>4229</v>
      </c>
      <c r="G3319" s="407" t="s">
        <v>4230</v>
      </c>
      <c r="H3319" s="460">
        <v>415.95983000000001</v>
      </c>
      <c r="I3319" s="460">
        <v>15.11913</v>
      </c>
      <c r="J3319" s="460">
        <v>55.219630000000002</v>
      </c>
      <c r="K3319" s="460">
        <v>5910.4174800000001</v>
      </c>
      <c r="L3319" s="459" t="s">
        <v>538</v>
      </c>
      <c r="O3319">
        <v>13.288</v>
      </c>
      <c r="P3319" t="s">
        <v>9071</v>
      </c>
    </row>
    <row r="3320" spans="1:16" ht="14.4" x14ac:dyDescent="0.3">
      <c r="A3320">
        <v>349816</v>
      </c>
      <c r="B3320" t="str">
        <f t="shared" si="102"/>
        <v>SEVROLL Blue-V tor dolny 4m jasny brąz</v>
      </c>
      <c r="C3320" s="185">
        <f t="shared" si="103"/>
        <v>73.594700000000003</v>
      </c>
      <c r="D3320" s="407" t="s">
        <v>3408</v>
      </c>
      <c r="E3320" s="407" t="s">
        <v>4420</v>
      </c>
      <c r="F3320" s="407" t="s">
        <v>4421</v>
      </c>
      <c r="G3320" s="407" t="s">
        <v>4422</v>
      </c>
      <c r="H3320" s="460">
        <v>554.85176999999999</v>
      </c>
      <c r="I3320" s="460">
        <v>20.16752</v>
      </c>
      <c r="J3320" s="460">
        <v>73.594700000000003</v>
      </c>
      <c r="K3320" s="460">
        <v>7883.9477800000004</v>
      </c>
      <c r="L3320" s="459" t="s">
        <v>538</v>
      </c>
      <c r="O3320">
        <v>17.687999999999999</v>
      </c>
      <c r="P3320" t="s">
        <v>9131</v>
      </c>
    </row>
    <row r="3321" spans="1:16" ht="14.4" x14ac:dyDescent="0.3">
      <c r="A3321">
        <v>349817</v>
      </c>
      <c r="B3321" t="str">
        <f t="shared" si="102"/>
        <v>SEVROLL Blue-V tor dolny 6m jasny brąz</v>
      </c>
      <c r="C3321" s="185">
        <f t="shared" si="103"/>
        <v>0</v>
      </c>
      <c r="D3321" s="407" t="s">
        <v>3409</v>
      </c>
      <c r="E3321" s="407" t="s">
        <v>4669</v>
      </c>
      <c r="F3321" s="407" t="s">
        <v>4670</v>
      </c>
      <c r="G3321" s="407" t="s">
        <v>4671</v>
      </c>
      <c r="H3321" s="460">
        <v>832.63559999999995</v>
      </c>
      <c r="I3321" s="460">
        <v>30.251270000000002</v>
      </c>
      <c r="J3321" s="460">
        <v>0</v>
      </c>
      <c r="K3321" s="460">
        <v>11831.00801</v>
      </c>
      <c r="L3321" s="459" t="s">
        <v>538</v>
      </c>
      <c r="O3321">
        <v>26.686</v>
      </c>
      <c r="P3321" t="s">
        <v>9204</v>
      </c>
    </row>
    <row r="3322" spans="1:16" ht="14.4" x14ac:dyDescent="0.3">
      <c r="A3322">
        <v>349818</v>
      </c>
      <c r="B3322" t="str">
        <f t="shared" si="102"/>
        <v>SEVROLL Blue-V tor dolny 6m srebrny</v>
      </c>
      <c r="C3322" s="185">
        <f t="shared" si="103"/>
        <v>0</v>
      </c>
      <c r="D3322" s="407" t="s">
        <v>3410</v>
      </c>
      <c r="E3322" s="407" t="s">
        <v>4633</v>
      </c>
      <c r="F3322" s="407" t="s">
        <v>4634</v>
      </c>
      <c r="G3322" s="407" t="s">
        <v>4635</v>
      </c>
      <c r="H3322" s="460">
        <v>665.82210999999995</v>
      </c>
      <c r="I3322" s="460">
        <v>24.20102</v>
      </c>
      <c r="J3322" s="460">
        <v>0</v>
      </c>
      <c r="K3322" s="460">
        <v>9460.7373399999997</v>
      </c>
      <c r="L3322" s="459" t="s">
        <v>538</v>
      </c>
      <c r="O3322">
        <v>23.76</v>
      </c>
      <c r="P3322" t="s">
        <v>9194</v>
      </c>
    </row>
    <row r="3323" spans="1:16" ht="14.4" x14ac:dyDescent="0.3">
      <c r="A3323">
        <v>349819</v>
      </c>
      <c r="B3323" t="str">
        <f t="shared" si="102"/>
        <v>SEVROLL Blue-V tor dolny 4m srebrny</v>
      </c>
      <c r="C3323" s="185">
        <f t="shared" si="103"/>
        <v>65.728660000000005</v>
      </c>
      <c r="D3323" s="407" t="s">
        <v>3411</v>
      </c>
      <c r="E3323" s="407" t="s">
        <v>4360</v>
      </c>
      <c r="F3323" s="407" t="s">
        <v>4361</v>
      </c>
      <c r="G3323" s="407" t="s">
        <v>2408</v>
      </c>
      <c r="H3323" s="460">
        <v>443.88141000000002</v>
      </c>
      <c r="I3323" s="460">
        <v>16.13401</v>
      </c>
      <c r="J3323" s="460">
        <v>65.728660000000005</v>
      </c>
      <c r="K3323" s="460">
        <v>6307.1582399999998</v>
      </c>
      <c r="L3323" s="459" t="s">
        <v>538</v>
      </c>
      <c r="O3323">
        <v>15.686</v>
      </c>
      <c r="P3323" t="s">
        <v>9110</v>
      </c>
    </row>
    <row r="3324" spans="1:16" ht="14.4" x14ac:dyDescent="0.3">
      <c r="A3324">
        <v>349856</v>
      </c>
      <c r="B3324" t="str">
        <f t="shared" si="102"/>
        <v>SEVROLL klin mocujący Blue 40szt(szkło 4mm)</v>
      </c>
      <c r="C3324" s="185">
        <f t="shared" si="103"/>
        <v>42.618220000000001</v>
      </c>
      <c r="D3324" s="407" t="s">
        <v>3412</v>
      </c>
      <c r="E3324" s="407" t="s">
        <v>4212</v>
      </c>
      <c r="F3324" s="407" t="s">
        <v>4213</v>
      </c>
      <c r="G3324" s="407" t="s">
        <v>4214</v>
      </c>
      <c r="H3324" s="460">
        <v>362.49880000000002</v>
      </c>
      <c r="I3324" s="460">
        <v>12.28267</v>
      </c>
      <c r="J3324" s="460">
        <v>42.618220000000001</v>
      </c>
      <c r="K3324" s="460">
        <v>4838.6564200000003</v>
      </c>
      <c r="L3324" s="459" t="s">
        <v>538</v>
      </c>
      <c r="O3324">
        <v>10.933999999999999</v>
      </c>
      <c r="P3324" t="s">
        <v>9065</v>
      </c>
    </row>
    <row r="3325" spans="1:16" ht="14.4" x14ac:dyDescent="0.3">
      <c r="A3325">
        <v>349857</v>
      </c>
      <c r="B3325" t="str">
        <f t="shared" si="102"/>
        <v>SEVROLL Blue-C tor dolny 1,5m srebrny</v>
      </c>
      <c r="C3325" s="185" t="e">
        <f t="shared" si="103"/>
        <v>#N/A</v>
      </c>
      <c r="D3325" s="407" t="s">
        <v>3413</v>
      </c>
      <c r="E3325" s="407" t="s">
        <v>3671</v>
      </c>
      <c r="F3325" s="407" t="s">
        <v>3672</v>
      </c>
      <c r="G3325" s="407" t="s">
        <v>3673</v>
      </c>
      <c r="H3325" s="460" t="e">
        <v>#N/A</v>
      </c>
      <c r="I3325" s="460" t="e">
        <v>#N/A</v>
      </c>
      <c r="J3325" s="460" t="e">
        <v>#N/A</v>
      </c>
      <c r="K3325" s="460" t="e">
        <v>#N/A</v>
      </c>
      <c r="L3325" s="459" t="e">
        <v>#N/A</v>
      </c>
      <c r="O3325">
        <v>4.7300000000000004</v>
      </c>
      <c r="P3325" t="s">
        <v>8889</v>
      </c>
    </row>
    <row r="3326" spans="1:16" ht="14.4" x14ac:dyDescent="0.3">
      <c r="A3326">
        <v>349858</v>
      </c>
      <c r="B3326" t="str">
        <f t="shared" si="102"/>
        <v>SEVROLL Blue-C tor dolny 1,5m jasny brąz</v>
      </c>
      <c r="C3326" s="185" t="e">
        <f t="shared" si="103"/>
        <v>#N/A</v>
      </c>
      <c r="D3326" s="407" t="s">
        <v>3414</v>
      </c>
      <c r="E3326" s="407" t="s">
        <v>3712</v>
      </c>
      <c r="F3326" s="407" t="s">
        <v>3713</v>
      </c>
      <c r="G3326" s="407" t="s">
        <v>3714</v>
      </c>
      <c r="H3326" s="460" t="e">
        <v>#N/A</v>
      </c>
      <c r="I3326" s="460" t="e">
        <v>#N/A</v>
      </c>
      <c r="J3326" s="460" t="e">
        <v>#N/A</v>
      </c>
      <c r="K3326" s="460" t="e">
        <v>#N/A</v>
      </c>
      <c r="L3326" s="459" t="e">
        <v>#N/A</v>
      </c>
      <c r="O3326">
        <v>5.258</v>
      </c>
      <c r="P3326" t="s">
        <v>8902</v>
      </c>
    </row>
    <row r="3327" spans="1:16" ht="14.4" x14ac:dyDescent="0.3">
      <c r="A3327">
        <v>349859</v>
      </c>
      <c r="B3327" t="str">
        <f t="shared" si="102"/>
        <v>SEVROLL Blue-C tor dolny 2m jasny brąz</v>
      </c>
      <c r="C3327" s="185" t="e">
        <f t="shared" si="103"/>
        <v>#N/A</v>
      </c>
      <c r="D3327" s="407" t="s">
        <v>3415</v>
      </c>
      <c r="E3327" s="407" t="s">
        <v>3814</v>
      </c>
      <c r="F3327" s="407" t="s">
        <v>3815</v>
      </c>
      <c r="G3327" s="407" t="s">
        <v>3816</v>
      </c>
      <c r="H3327" s="460" t="e">
        <v>#N/A</v>
      </c>
      <c r="I3327" s="460" t="e">
        <v>#N/A</v>
      </c>
      <c r="J3327" s="460" t="e">
        <v>#N/A</v>
      </c>
      <c r="K3327" s="460" t="e">
        <v>#N/A</v>
      </c>
      <c r="L3327" s="459" t="e">
        <v>#N/A</v>
      </c>
      <c r="O3327">
        <v>6.9080000000000004</v>
      </c>
      <c r="P3327" t="s">
        <v>8937</v>
      </c>
    </row>
    <row r="3328" spans="1:16" ht="14.4" x14ac:dyDescent="0.3">
      <c r="A3328">
        <v>349862</v>
      </c>
      <c r="B3328" t="str">
        <f t="shared" si="102"/>
        <v>SEVROLL Blue-C tor dolny 2,5m srebrny</v>
      </c>
      <c r="C3328" s="185" t="e">
        <f t="shared" si="103"/>
        <v>#N/A</v>
      </c>
      <c r="D3328" s="407" t="s">
        <v>3416</v>
      </c>
      <c r="E3328" s="407" t="s">
        <v>3869</v>
      </c>
      <c r="F3328" s="407" t="s">
        <v>3870</v>
      </c>
      <c r="G3328" s="407" t="s">
        <v>3871</v>
      </c>
      <c r="H3328" s="460" t="e">
        <v>#N/A</v>
      </c>
      <c r="I3328" s="460" t="e">
        <v>#N/A</v>
      </c>
      <c r="J3328" s="460" t="e">
        <v>#N/A</v>
      </c>
      <c r="K3328" s="460" t="e">
        <v>#N/A</v>
      </c>
      <c r="L3328" s="459" t="e">
        <v>#N/A</v>
      </c>
      <c r="O3328">
        <v>7.6120000000000001</v>
      </c>
      <c r="P3328" t="s">
        <v>8957</v>
      </c>
    </row>
    <row r="3329" spans="1:16" ht="14.4" x14ac:dyDescent="0.3">
      <c r="A3329">
        <v>349863</v>
      </c>
      <c r="B3329" t="str">
        <f t="shared" si="102"/>
        <v>SEVROLL Blue-C tor dolny 2,5m jasny brąz</v>
      </c>
      <c r="C3329" s="185" t="e">
        <f t="shared" si="103"/>
        <v>#N/A</v>
      </c>
      <c r="D3329" s="407" t="s">
        <v>3417</v>
      </c>
      <c r="E3329" s="407" t="s">
        <v>3929</v>
      </c>
      <c r="F3329" s="407" t="s">
        <v>3930</v>
      </c>
      <c r="G3329" s="407" t="s">
        <v>3931</v>
      </c>
      <c r="H3329" s="460" t="e">
        <v>#N/A</v>
      </c>
      <c r="I3329" s="460" t="e">
        <v>#N/A</v>
      </c>
      <c r="J3329" s="460" t="e">
        <v>#N/A</v>
      </c>
      <c r="K3329" s="460" t="e">
        <v>#N/A</v>
      </c>
      <c r="L3329" s="459" t="e">
        <v>#N/A</v>
      </c>
      <c r="O3329">
        <v>8.4920000000000009</v>
      </c>
      <c r="P3329" t="s">
        <v>8976</v>
      </c>
    </row>
    <row r="3330" spans="1:16" ht="14.4" x14ac:dyDescent="0.3">
      <c r="A3330">
        <v>349864</v>
      </c>
      <c r="B3330" t="str">
        <f t="shared" si="102"/>
        <v>SEVROLL Blue-C tor dolny 3m srebrny</v>
      </c>
      <c r="C3330" s="185">
        <f t="shared" si="103"/>
        <v>40.997819999999997</v>
      </c>
      <c r="D3330" s="407" t="s">
        <v>3418</v>
      </c>
      <c r="E3330" s="407" t="s">
        <v>3984</v>
      </c>
      <c r="F3330" s="407" t="s">
        <v>3985</v>
      </c>
      <c r="G3330" s="407" t="s">
        <v>3986</v>
      </c>
      <c r="H3330" s="460">
        <v>276.35198000000003</v>
      </c>
      <c r="I3330" s="460">
        <v>10.04472</v>
      </c>
      <c r="J3330" s="460">
        <v>40.997819999999997</v>
      </c>
      <c r="K3330" s="460">
        <v>3926.7144899999998</v>
      </c>
      <c r="L3330" s="459" t="s">
        <v>540</v>
      </c>
      <c r="O3330">
        <v>8.9320000000000004</v>
      </c>
      <c r="P3330" t="s">
        <v>8993</v>
      </c>
    </row>
    <row r="3331" spans="1:16" ht="14.4" x14ac:dyDescent="0.3">
      <c r="A3331">
        <v>349865</v>
      </c>
      <c r="B3331" t="str">
        <f t="shared" si="102"/>
        <v>SEVROLL Blue-C tor dolny 3m jasny brąz</v>
      </c>
      <c r="C3331" s="185" t="e">
        <f t="shared" si="103"/>
        <v>#N/A</v>
      </c>
      <c r="D3331" s="407" t="s">
        <v>3419</v>
      </c>
      <c r="E3331" s="407" t="s">
        <v>4037</v>
      </c>
      <c r="F3331" s="407" t="s">
        <v>4038</v>
      </c>
      <c r="G3331" s="407" t="s">
        <v>4039</v>
      </c>
      <c r="H3331" s="460" t="e">
        <v>#N/A</v>
      </c>
      <c r="I3331" s="460" t="e">
        <v>#N/A</v>
      </c>
      <c r="J3331" s="460" t="e">
        <v>#N/A</v>
      </c>
      <c r="K3331" s="460" t="e">
        <v>#N/A</v>
      </c>
      <c r="L3331" s="459" t="e">
        <v>#N/A</v>
      </c>
      <c r="O3331">
        <v>10.119999999999999</v>
      </c>
      <c r="P3331" t="s">
        <v>9011</v>
      </c>
    </row>
    <row r="3332" spans="1:16" ht="14.4" x14ac:dyDescent="0.3">
      <c r="A3332">
        <v>349866</v>
      </c>
      <c r="B3332" t="str">
        <f t="shared" ref="B3332:B3395" si="104">IF($A$2=1,D3332,IF($A$2=2,F3332,IF($A$2=3,G3332,IF($A$2=4,E3332,IF($A$2&gt;4,P3332,"zadat jazyk")))))</f>
        <v>SEVROLL Blue-C tor dolny 4m srebrny</v>
      </c>
      <c r="C3332" s="185">
        <f t="shared" ref="C3332:C3395" si="105">IF($A$2=1,H3332,IF($A$2=2,I3332,IF($A$2=3,J3332,IF($A$2=4,K3332,IF($A$2&gt;4,O3332,"zadat jazyk")))))</f>
        <v>54.590339999999998</v>
      </c>
      <c r="D3332" s="407" t="s">
        <v>3420</v>
      </c>
      <c r="E3332" s="407" t="s">
        <v>4154</v>
      </c>
      <c r="F3332" s="407" t="s">
        <v>4155</v>
      </c>
      <c r="G3332" s="407" t="s">
        <v>4156</v>
      </c>
      <c r="H3332" s="460">
        <v>370.13983000000002</v>
      </c>
      <c r="I3332" s="460">
        <v>13.45368</v>
      </c>
      <c r="J3332" s="460">
        <v>54.590339999999998</v>
      </c>
      <c r="K3332" s="460">
        <v>5259.3562300000003</v>
      </c>
      <c r="L3332" s="459" t="s">
        <v>539</v>
      </c>
      <c r="O3332">
        <v>11.968</v>
      </c>
      <c r="P3332" t="s">
        <v>9047</v>
      </c>
    </row>
    <row r="3333" spans="1:16" ht="14.4" x14ac:dyDescent="0.3">
      <c r="A3333">
        <v>349867</v>
      </c>
      <c r="B3333" t="str">
        <f t="shared" si="104"/>
        <v>SEVROLL Blue-C tor dolny 4m jasny brąz</v>
      </c>
      <c r="C3333" s="185" t="e">
        <f t="shared" si="105"/>
        <v>#N/A</v>
      </c>
      <c r="D3333" s="407" t="s">
        <v>3421</v>
      </c>
      <c r="E3333" s="407" t="s">
        <v>4225</v>
      </c>
      <c r="F3333" s="407" t="s">
        <v>4226</v>
      </c>
      <c r="G3333" s="407" t="s">
        <v>4227</v>
      </c>
      <c r="H3333" s="460" t="e">
        <v>#N/A</v>
      </c>
      <c r="I3333" s="460" t="e">
        <v>#N/A</v>
      </c>
      <c r="J3333" s="460" t="e">
        <v>#N/A</v>
      </c>
      <c r="K3333" s="460" t="e">
        <v>#N/A</v>
      </c>
      <c r="L3333" s="459" t="e">
        <v>#N/A</v>
      </c>
      <c r="O3333">
        <v>13.442</v>
      </c>
      <c r="P3333" t="s">
        <v>9070</v>
      </c>
    </row>
    <row r="3334" spans="1:16" ht="14.4" x14ac:dyDescent="0.3">
      <c r="A3334">
        <v>349868</v>
      </c>
      <c r="B3334" t="str">
        <f t="shared" si="104"/>
        <v>SEVROLL Blue-C tor dolny 6m srebrny</v>
      </c>
      <c r="C3334" s="185" t="e">
        <f t="shared" si="105"/>
        <v>#N/A</v>
      </c>
      <c r="D3334" s="407" t="s">
        <v>3422</v>
      </c>
      <c r="E3334" s="407" t="s">
        <v>4446</v>
      </c>
      <c r="F3334" s="407" t="s">
        <v>4447</v>
      </c>
      <c r="G3334" s="407" t="s">
        <v>4448</v>
      </c>
      <c r="H3334" s="460" t="e">
        <v>#N/A</v>
      </c>
      <c r="I3334" s="460" t="e">
        <v>#N/A</v>
      </c>
      <c r="J3334" s="460" t="e">
        <v>#N/A</v>
      </c>
      <c r="K3334" s="460" t="e">
        <v>#N/A</v>
      </c>
      <c r="L3334" s="459" t="e">
        <v>#N/A</v>
      </c>
      <c r="O3334">
        <v>18.106000000000002</v>
      </c>
      <c r="P3334" t="s">
        <v>9140</v>
      </c>
    </row>
    <row r="3335" spans="1:16" ht="14.4" x14ac:dyDescent="0.3">
      <c r="A3335">
        <v>349869</v>
      </c>
      <c r="B3335" t="str">
        <f t="shared" si="104"/>
        <v>SEVROLL Blue-C tor dolny 6m jasny brąz</v>
      </c>
      <c r="C3335" s="185" t="e">
        <f t="shared" si="105"/>
        <v>#N/A</v>
      </c>
      <c r="D3335" s="407" t="s">
        <v>3423</v>
      </c>
      <c r="E3335" s="407" t="s">
        <v>4498</v>
      </c>
      <c r="F3335" s="407" t="s">
        <v>4499</v>
      </c>
      <c r="G3335" s="407" t="s">
        <v>4500</v>
      </c>
      <c r="H3335" s="460" t="e">
        <v>#N/A</v>
      </c>
      <c r="I3335" s="460" t="e">
        <v>#N/A</v>
      </c>
      <c r="J3335" s="460" t="e">
        <v>#N/A</v>
      </c>
      <c r="K3335" s="460" t="e">
        <v>#N/A</v>
      </c>
      <c r="L3335" s="459" t="e">
        <v>#N/A</v>
      </c>
      <c r="O3335">
        <v>20.239999999999998</v>
      </c>
      <c r="P3335" t="s">
        <v>9153</v>
      </c>
    </row>
    <row r="3336" spans="1:16" ht="14.4" x14ac:dyDescent="0.3">
      <c r="A3336">
        <v>349942</v>
      </c>
      <c r="B3336" t="str">
        <f t="shared" si="104"/>
        <v>SEVROLL wózek górny Blue 10mm asymetryczny L+P</v>
      </c>
      <c r="C3336" s="185">
        <f t="shared" si="105"/>
        <v>15.244389999999999</v>
      </c>
      <c r="D3336" s="407" t="s">
        <v>3424</v>
      </c>
      <c r="E3336" s="407" t="s">
        <v>3594</v>
      </c>
      <c r="F3336" s="407" t="s">
        <v>3595</v>
      </c>
      <c r="G3336" s="407" t="s">
        <v>3596</v>
      </c>
      <c r="H3336" s="460">
        <v>107.52083</v>
      </c>
      <c r="I3336" s="460">
        <v>3.64316</v>
      </c>
      <c r="J3336" s="460">
        <v>15.244389999999999</v>
      </c>
      <c r="K3336" s="460">
        <v>1435.1946800000001</v>
      </c>
      <c r="L3336" s="459" t="s">
        <v>538</v>
      </c>
      <c r="O3336">
        <v>3.08</v>
      </c>
      <c r="P3336" t="s">
        <v>8862</v>
      </c>
    </row>
    <row r="3337" spans="1:16" ht="14.4" x14ac:dyDescent="0.3">
      <c r="A3337">
        <v>349943</v>
      </c>
      <c r="B3337" t="str">
        <f t="shared" si="104"/>
        <v>SEVROLL wózek górny Blue 10mm symetryczny L+P</v>
      </c>
      <c r="C3337" s="185">
        <f t="shared" si="105"/>
        <v>15.244389999999999</v>
      </c>
      <c r="D3337" s="407" t="s">
        <v>3425</v>
      </c>
      <c r="E3337" s="407" t="s">
        <v>5394</v>
      </c>
      <c r="F3337" s="407" t="s">
        <v>5395</v>
      </c>
      <c r="G3337" s="407" t="s">
        <v>5396</v>
      </c>
      <c r="H3337" s="460">
        <v>107.52083</v>
      </c>
      <c r="I3337" s="460">
        <v>3.64316</v>
      </c>
      <c r="J3337" s="460">
        <v>15.244389999999999</v>
      </c>
      <c r="K3337" s="460">
        <v>1435.1946800000001</v>
      </c>
      <c r="L3337" s="459" t="s">
        <v>538</v>
      </c>
      <c r="O3337">
        <v>3.08</v>
      </c>
      <c r="P3337" t="s">
        <v>9425</v>
      </c>
    </row>
    <row r="3338" spans="1:16" ht="14.4" x14ac:dyDescent="0.3">
      <c r="A3338">
        <v>350024</v>
      </c>
      <c r="B3338" t="str">
        <f t="shared" si="104"/>
        <v>SEVROLL tłumienie Simple/Blue 10/18 25kg L+P</v>
      </c>
      <c r="C3338" s="185">
        <f t="shared" si="105"/>
        <v>109.51739999999999</v>
      </c>
      <c r="D3338" s="407" t="s">
        <v>3426</v>
      </c>
      <c r="E3338" s="407" t="s">
        <v>4649</v>
      </c>
      <c r="F3338" s="407" t="s">
        <v>4650</v>
      </c>
      <c r="G3338" s="407" t="s">
        <v>4651</v>
      </c>
      <c r="H3338" s="460">
        <v>728.83765000000005</v>
      </c>
      <c r="I3338" s="460">
        <v>24.695450000000001</v>
      </c>
      <c r="J3338" s="460">
        <v>109.51739999999999</v>
      </c>
      <c r="K3338" s="460">
        <v>9728.5697999999993</v>
      </c>
      <c r="L3338" s="459" t="s">
        <v>539</v>
      </c>
      <c r="O3338">
        <v>21.978000000000002</v>
      </c>
      <c r="P3338" t="s">
        <v>9199</v>
      </c>
    </row>
    <row r="3339" spans="1:16" ht="14.4" x14ac:dyDescent="0.3">
      <c r="A3339">
        <v>350687</v>
      </c>
      <c r="B3339" t="str">
        <f t="shared" si="104"/>
        <v>SEVROLL Elegant II tor dolny 6m, srebrny</v>
      </c>
      <c r="C3339" s="185">
        <f t="shared" si="105"/>
        <v>0</v>
      </c>
      <c r="D3339" s="407" t="s">
        <v>3427</v>
      </c>
      <c r="E3339" s="407" t="s">
        <v>5222</v>
      </c>
      <c r="F3339" s="407" t="s">
        <v>5223</v>
      </c>
      <c r="G3339" s="407" t="s">
        <v>5224</v>
      </c>
      <c r="H3339" s="460">
        <v>811.32147999999995</v>
      </c>
      <c r="I3339" s="460">
        <v>29.171330000000001</v>
      </c>
      <c r="J3339" s="460">
        <v>0</v>
      </c>
      <c r="K3339" s="460">
        <v>11227.629139999999</v>
      </c>
      <c r="L3339" s="459" t="s">
        <v>538</v>
      </c>
      <c r="O3339">
        <v>28.841999999999999</v>
      </c>
      <c r="P3339" t="s">
        <v>9364</v>
      </c>
    </row>
    <row r="3340" spans="1:16" ht="14.4" x14ac:dyDescent="0.3">
      <c r="A3340">
        <v>350688</v>
      </c>
      <c r="B3340" t="str">
        <f t="shared" si="104"/>
        <v>SEVROLL Elegant II tor dolny 6m, jasny brąz</v>
      </c>
      <c r="C3340" s="185">
        <f t="shared" si="105"/>
        <v>0</v>
      </c>
      <c r="D3340" s="407" t="s">
        <v>3428</v>
      </c>
      <c r="E3340" s="407" t="s">
        <v>4850</v>
      </c>
      <c r="F3340" s="407" t="s">
        <v>4851</v>
      </c>
      <c r="G3340" s="407" t="s">
        <v>4852</v>
      </c>
      <c r="H3340" s="460">
        <v>1020.48465</v>
      </c>
      <c r="I3340" s="460">
        <v>36.691870000000002</v>
      </c>
      <c r="J3340" s="460">
        <v>0</v>
      </c>
      <c r="K3340" s="460">
        <v>14122.17425</v>
      </c>
      <c r="L3340" s="459" t="s">
        <v>538</v>
      </c>
      <c r="O3340">
        <v>35.134</v>
      </c>
      <c r="P3340" t="s">
        <v>9262</v>
      </c>
    </row>
    <row r="3341" spans="1:16" ht="14.4" x14ac:dyDescent="0.3">
      <c r="A3341">
        <v>350696</v>
      </c>
      <c r="B3341" t="str">
        <f t="shared" si="104"/>
        <v>SEVROLL U profil stalowy 6 m srebrny</v>
      </c>
      <c r="C3341" s="185" t="e">
        <f t="shared" si="105"/>
        <v>#N/A</v>
      </c>
      <c r="D3341" s="407" t="s">
        <v>1694</v>
      </c>
      <c r="E3341" s="407" t="s">
        <v>2121</v>
      </c>
      <c r="F3341" s="407" t="s">
        <v>2297</v>
      </c>
      <c r="G3341" s="407" t="s">
        <v>6122</v>
      </c>
      <c r="H3341" s="460" t="e">
        <v>#N/A</v>
      </c>
      <c r="I3341" s="460" t="e">
        <v>#N/A</v>
      </c>
      <c r="J3341" s="460" t="e">
        <v>#N/A</v>
      </c>
      <c r="K3341" s="460" t="e">
        <v>#N/A</v>
      </c>
      <c r="L3341" s="459" t="e">
        <v>#N/A</v>
      </c>
      <c r="O3341">
        <v>43.802</v>
      </c>
      <c r="P3341" t="s">
        <v>10189</v>
      </c>
    </row>
    <row r="3342" spans="1:16" ht="14.4" x14ac:dyDescent="0.3">
      <c r="A3342">
        <v>351387</v>
      </c>
      <c r="B3342" t="str">
        <f t="shared" si="104"/>
        <v>SEVROLL zamek do drzwi przesuwnych 18 mm (identyczny klucz)</v>
      </c>
      <c r="C3342" s="185" t="e">
        <f t="shared" si="105"/>
        <v>#N/A</v>
      </c>
      <c r="D3342" s="407" t="s">
        <v>3429</v>
      </c>
      <c r="E3342" s="407" t="s">
        <v>4369</v>
      </c>
      <c r="F3342" s="407" t="s">
        <v>4370</v>
      </c>
      <c r="G3342" s="407" t="s">
        <v>4371</v>
      </c>
      <c r="H3342" s="460" t="e">
        <v>#N/A</v>
      </c>
      <c r="I3342" s="460" t="e">
        <v>#N/A</v>
      </c>
      <c r="J3342" s="460" t="e">
        <v>#N/A</v>
      </c>
      <c r="K3342" s="460" t="e">
        <v>#N/A</v>
      </c>
      <c r="L3342" s="459" t="e">
        <v>#N/A</v>
      </c>
      <c r="O3342">
        <v>0</v>
      </c>
      <c r="P3342" t="s">
        <v>9114</v>
      </c>
    </row>
    <row r="3343" spans="1:16" ht="14.4" x14ac:dyDescent="0.3">
      <c r="A3343">
        <v>351475</v>
      </c>
      <c r="B3343" t="str">
        <f t="shared" si="104"/>
        <v>SEVROLL Gemini II tor dolny 1,7m biały połysk</v>
      </c>
      <c r="C3343" s="185" t="e">
        <f t="shared" si="105"/>
        <v>#N/A</v>
      </c>
      <c r="D3343" s="407" t="s">
        <v>3430</v>
      </c>
      <c r="E3343" s="407" t="s">
        <v>4142</v>
      </c>
      <c r="F3343" s="407" t="s">
        <v>4143</v>
      </c>
      <c r="G3343" s="407" t="s">
        <v>4144</v>
      </c>
      <c r="H3343" s="460" t="e">
        <v>#N/A</v>
      </c>
      <c r="I3343" s="460" t="e">
        <v>#N/A</v>
      </c>
      <c r="J3343" s="460" t="e">
        <v>#N/A</v>
      </c>
      <c r="K3343" s="460" t="e">
        <v>#N/A</v>
      </c>
      <c r="L3343" s="459" t="e">
        <v>#N/A</v>
      </c>
      <c r="O3343">
        <v>11.263999999999999</v>
      </c>
      <c r="P3343" t="s">
        <v>9044</v>
      </c>
    </row>
    <row r="3344" spans="1:16" ht="14.4" x14ac:dyDescent="0.3">
      <c r="A3344">
        <v>351476</v>
      </c>
      <c r="B3344" t="str">
        <f t="shared" si="104"/>
        <v>SEVROLL Gemini II tor dolny 2,35m biały połysk</v>
      </c>
      <c r="C3344" s="185" t="e">
        <f t="shared" si="105"/>
        <v>#N/A</v>
      </c>
      <c r="D3344" s="407" t="s">
        <v>3431</v>
      </c>
      <c r="E3344" s="407" t="s">
        <v>4376</v>
      </c>
      <c r="F3344" s="407" t="s">
        <v>4377</v>
      </c>
      <c r="G3344" s="407" t="s">
        <v>4378</v>
      </c>
      <c r="H3344" s="460" t="e">
        <v>#N/A</v>
      </c>
      <c r="I3344" s="460" t="e">
        <v>#N/A</v>
      </c>
      <c r="J3344" s="460" t="e">
        <v>#N/A</v>
      </c>
      <c r="K3344" s="460" t="e">
        <v>#N/A</v>
      </c>
      <c r="L3344" s="459" t="e">
        <v>#N/A</v>
      </c>
      <c r="O3344">
        <v>15.554</v>
      </c>
      <c r="P3344" t="s">
        <v>9116</v>
      </c>
    </row>
    <row r="3345" spans="1:16" ht="14.4" x14ac:dyDescent="0.3">
      <c r="A3345">
        <v>351517</v>
      </c>
      <c r="B3345" t="str">
        <f t="shared" si="104"/>
        <v>SEVROLL Gemini II tor dolny 3m biały połysk</v>
      </c>
      <c r="C3345" s="185">
        <f t="shared" si="105"/>
        <v>73.929599999999994</v>
      </c>
      <c r="D3345" s="407" t="s">
        <v>3432</v>
      </c>
      <c r="E3345" s="407" t="s">
        <v>4540</v>
      </c>
      <c r="F3345" s="407" t="s">
        <v>4541</v>
      </c>
      <c r="G3345" s="407" t="s">
        <v>4542</v>
      </c>
      <c r="H3345" s="460">
        <v>516.75604999999996</v>
      </c>
      <c r="I3345" s="460">
        <v>18.58014</v>
      </c>
      <c r="J3345" s="460">
        <v>73.929599999999994</v>
      </c>
      <c r="K3345" s="460">
        <v>7151.2288200000003</v>
      </c>
      <c r="L3345" s="459" t="s">
        <v>539</v>
      </c>
      <c r="O3345">
        <v>19.844000000000001</v>
      </c>
      <c r="P3345" t="s">
        <v>9168</v>
      </c>
    </row>
    <row r="3346" spans="1:16" ht="14.4" x14ac:dyDescent="0.3">
      <c r="A3346">
        <v>351541</v>
      </c>
      <c r="B3346" t="str">
        <f t="shared" si="104"/>
        <v>SEVROLL Gemini II tor dolny 4,05m biały połysk</v>
      </c>
      <c r="C3346" s="185" t="e">
        <f t="shared" si="105"/>
        <v>#N/A</v>
      </c>
      <c r="D3346" s="407" t="s">
        <v>3433</v>
      </c>
      <c r="E3346" s="407" t="s">
        <v>4736</v>
      </c>
      <c r="F3346" s="407" t="s">
        <v>4737</v>
      </c>
      <c r="G3346" s="407" t="s">
        <v>4738</v>
      </c>
      <c r="H3346" s="460" t="e">
        <v>#N/A</v>
      </c>
      <c r="I3346" s="460" t="e">
        <v>#N/A</v>
      </c>
      <c r="J3346" s="460" t="e">
        <v>#N/A</v>
      </c>
      <c r="K3346" s="460" t="e">
        <v>#N/A</v>
      </c>
      <c r="L3346" s="459" t="e">
        <v>#N/A</v>
      </c>
      <c r="O3346">
        <v>26.795999999999999</v>
      </c>
      <c r="P3346" t="s">
        <v>9228</v>
      </c>
    </row>
    <row r="3347" spans="1:16" ht="14.4" x14ac:dyDescent="0.3">
      <c r="A3347">
        <v>351578</v>
      </c>
      <c r="B3347" t="str">
        <f t="shared" si="104"/>
        <v>SEVROLL Gemini II tor dolny 6m biały połysk</v>
      </c>
      <c r="C3347" s="185">
        <f t="shared" si="105"/>
        <v>0</v>
      </c>
      <c r="D3347" s="407" t="s">
        <v>3434</v>
      </c>
      <c r="E3347" s="407" t="s">
        <v>4922</v>
      </c>
      <c r="F3347" s="407" t="s">
        <v>4923</v>
      </c>
      <c r="G3347" s="407" t="s">
        <v>4924</v>
      </c>
      <c r="H3347" s="460">
        <v>1034.23587</v>
      </c>
      <c r="I3347" s="460">
        <v>37.186300000000003</v>
      </c>
      <c r="J3347" s="460">
        <v>0</v>
      </c>
      <c r="K3347" s="460">
        <v>14312.4732</v>
      </c>
      <c r="L3347" s="459" t="s">
        <v>539</v>
      </c>
      <c r="O3347">
        <v>39.71</v>
      </c>
      <c r="P3347" t="s">
        <v>9280</v>
      </c>
    </row>
    <row r="3348" spans="1:16" ht="14.4" x14ac:dyDescent="0.3">
      <c r="A3348">
        <v>351743</v>
      </c>
      <c r="B3348" t="str">
        <f t="shared" si="104"/>
        <v>SEVROLL tłumienie Mini SV60 (40 - 60kg)</v>
      </c>
      <c r="C3348" s="185">
        <f t="shared" si="105"/>
        <v>96.889799999999994</v>
      </c>
      <c r="D3348" s="407" t="s">
        <v>4598</v>
      </c>
      <c r="E3348" s="407" t="s">
        <v>4599</v>
      </c>
      <c r="F3348" s="407" t="s">
        <v>4600</v>
      </c>
      <c r="G3348" s="407" t="s">
        <v>4601</v>
      </c>
      <c r="H3348" s="460">
        <v>677.38124000000005</v>
      </c>
      <c r="I3348" s="460">
        <v>22.951930000000001</v>
      </c>
      <c r="J3348" s="460">
        <v>96.889799999999994</v>
      </c>
      <c r="K3348" s="460">
        <v>9041.7265599999992</v>
      </c>
      <c r="L3348" s="459" t="s">
        <v>538</v>
      </c>
      <c r="O3348">
        <v>20.416</v>
      </c>
      <c r="P3348" t="s">
        <v>9184</v>
      </c>
    </row>
    <row r="3349" spans="1:16" ht="14.4" x14ac:dyDescent="0.3">
      <c r="A3349">
        <v>351824</v>
      </c>
      <c r="B3349" t="str">
        <f t="shared" si="104"/>
        <v>SEVROLL Micra szablon do wózków - 1 para</v>
      </c>
      <c r="C3349" s="185">
        <f t="shared" si="105"/>
        <v>23.25816</v>
      </c>
      <c r="D3349" s="407" t="s">
        <v>3435</v>
      </c>
      <c r="E3349" s="407" t="s">
        <v>5734</v>
      </c>
      <c r="F3349" s="407" t="s">
        <v>5735</v>
      </c>
      <c r="G3349" s="407" t="s">
        <v>5736</v>
      </c>
      <c r="H3349" s="460">
        <v>133.63460000000001</v>
      </c>
      <c r="I3349" s="460">
        <v>5.3261599999999998</v>
      </c>
      <c r="J3349" s="460">
        <v>23.25816</v>
      </c>
      <c r="K3349" s="460">
        <v>2169.2782900000002</v>
      </c>
      <c r="L3349" s="459" t="s">
        <v>538</v>
      </c>
      <c r="O3349">
        <v>4.8070000000000004</v>
      </c>
      <c r="P3349" t="s">
        <v>9542</v>
      </c>
    </row>
    <row r="3350" spans="1:16" ht="14.4" x14ac:dyDescent="0.3">
      <c r="A3350">
        <v>353410</v>
      </c>
      <c r="B3350" t="str">
        <f t="shared" si="104"/>
        <v>SEVROLL Ursus tor górny 3,6 m surowy</v>
      </c>
      <c r="C3350" s="185" t="e">
        <f t="shared" si="105"/>
        <v>#N/A</v>
      </c>
      <c r="D3350" s="407" t="s">
        <v>3436</v>
      </c>
      <c r="E3350" s="407" t="s">
        <v>4879</v>
      </c>
      <c r="F3350" s="407" t="s">
        <v>4880</v>
      </c>
      <c r="G3350" s="407" t="s">
        <v>4881</v>
      </c>
      <c r="H3350" s="460" t="e">
        <v>#N/A</v>
      </c>
      <c r="I3350" s="460" t="e">
        <v>#N/A</v>
      </c>
      <c r="J3350" s="460" t="e">
        <v>#N/A</v>
      </c>
      <c r="K3350" s="460" t="e">
        <v>#N/A</v>
      </c>
      <c r="L3350" s="459" t="e">
        <v>#N/A</v>
      </c>
      <c r="O3350">
        <v>41.36</v>
      </c>
      <c r="P3350" t="s">
        <v>9268</v>
      </c>
    </row>
    <row r="3351" spans="1:16" ht="14.4" x14ac:dyDescent="0.3">
      <c r="A3351">
        <v>358263</v>
      </c>
      <c r="B3351" t="str">
        <f t="shared" si="104"/>
        <v>SEVROLL Prosper II rączka 2,8m jasny brąz</v>
      </c>
      <c r="C3351" s="185" t="e">
        <f t="shared" si="105"/>
        <v>#N/A</v>
      </c>
      <c r="D3351" s="407" t="s">
        <v>1406</v>
      </c>
      <c r="E3351" s="407" t="s">
        <v>1850</v>
      </c>
      <c r="F3351" s="407" t="s">
        <v>1406</v>
      </c>
      <c r="G3351" s="407" t="s">
        <v>2404</v>
      </c>
      <c r="H3351" s="460" t="e">
        <v>#N/A</v>
      </c>
      <c r="I3351" s="460" t="e">
        <v>#N/A</v>
      </c>
      <c r="J3351" s="460" t="e">
        <v>#N/A</v>
      </c>
      <c r="K3351" s="460" t="e">
        <v>#N/A</v>
      </c>
      <c r="L3351" s="459" t="e">
        <v>#N/A</v>
      </c>
      <c r="O3351" t="e">
        <v>#N/A</v>
      </c>
      <c r="P3351" t="e">
        <v>#N/A</v>
      </c>
    </row>
    <row r="3352" spans="1:16" ht="14.4" x14ac:dyDescent="0.3">
      <c r="A3352">
        <v>360719</v>
      </c>
      <c r="B3352" t="str">
        <f t="shared" si="104"/>
        <v>SEVROLL Pax uchwyt przyklejany przeźroczysty</v>
      </c>
      <c r="C3352" s="185" t="e">
        <f t="shared" si="105"/>
        <v>#N/A</v>
      </c>
      <c r="D3352" s="407" t="s">
        <v>3437</v>
      </c>
      <c r="E3352" s="407" t="s">
        <v>3943</v>
      </c>
      <c r="F3352" s="407" t="s">
        <v>3944</v>
      </c>
      <c r="G3352" s="407" t="s">
        <v>3945</v>
      </c>
      <c r="H3352" s="460" t="e">
        <v>#N/A</v>
      </c>
      <c r="I3352" s="460" t="e">
        <v>#N/A</v>
      </c>
      <c r="J3352" s="460" t="e">
        <v>#N/A</v>
      </c>
      <c r="K3352" s="460" t="e">
        <v>#N/A</v>
      </c>
      <c r="L3352" s="459" t="e">
        <v>#N/A</v>
      </c>
      <c r="O3352">
        <v>6.5119999999999996</v>
      </c>
      <c r="P3352" t="s">
        <v>8981</v>
      </c>
    </row>
    <row r="3353" spans="1:16" ht="14.4" x14ac:dyDescent="0.3">
      <c r="A3353">
        <v>360760</v>
      </c>
      <c r="B3353" t="str">
        <f t="shared" si="104"/>
        <v>SEVROLL profil "U" do płyty laminowanej 18mm 3m biały połysk</v>
      </c>
      <c r="C3353" s="185">
        <f t="shared" si="105"/>
        <v>27.009599999999999</v>
      </c>
      <c r="D3353" s="407" t="s">
        <v>3438</v>
      </c>
      <c r="E3353" s="407" t="s">
        <v>3796</v>
      </c>
      <c r="F3353" s="407" t="s">
        <v>3797</v>
      </c>
      <c r="G3353" s="407" t="s">
        <v>3798</v>
      </c>
      <c r="H3353" s="460">
        <v>172.25201999999999</v>
      </c>
      <c r="I3353" s="460">
        <v>6.1933800000000003</v>
      </c>
      <c r="J3353" s="460">
        <v>27.009599999999999</v>
      </c>
      <c r="K3353" s="460">
        <v>2383.7428100000002</v>
      </c>
      <c r="L3353" s="459" t="s">
        <v>539</v>
      </c>
      <c r="O3353">
        <v>6.5339999999999998</v>
      </c>
      <c r="P3353" t="s">
        <v>8930</v>
      </c>
    </row>
    <row r="3354" spans="1:16" ht="14.4" x14ac:dyDescent="0.3">
      <c r="A3354">
        <v>361759</v>
      </c>
      <c r="B3354" t="str">
        <f t="shared" si="104"/>
        <v>SEVROLL 20143-SV szczotka odbojowa z klejem 6,7x9mm szara</v>
      </c>
      <c r="C3354" s="185">
        <f t="shared" si="105"/>
        <v>1.581</v>
      </c>
      <c r="D3354" s="407" t="s">
        <v>5121</v>
      </c>
      <c r="E3354" s="407" t="s">
        <v>5122</v>
      </c>
      <c r="F3354" s="407" t="s">
        <v>5123</v>
      </c>
      <c r="G3354" s="407" t="s">
        <v>5124</v>
      </c>
      <c r="H3354" s="460">
        <v>11.520099999999999</v>
      </c>
      <c r="I3354" s="460">
        <v>0.39034000000000002</v>
      </c>
      <c r="J3354" s="460">
        <v>1.581</v>
      </c>
      <c r="K3354" s="460">
        <v>153.77086</v>
      </c>
      <c r="L3354" s="459" t="s">
        <v>538</v>
      </c>
      <c r="O3354">
        <v>0.374</v>
      </c>
      <c r="P3354" t="s">
        <v>9330</v>
      </c>
    </row>
    <row r="3355" spans="1:16" ht="14.4" x14ac:dyDescent="0.3">
      <c r="A3355">
        <v>362252</v>
      </c>
      <c r="B3355" t="str">
        <f t="shared" si="104"/>
        <v>SEVROLL 2x wózek dolny WD18V bez pozycjonera ze sprężyną</v>
      </c>
      <c r="C3355" s="185">
        <f t="shared" si="105"/>
        <v>24.316800000000001</v>
      </c>
      <c r="D3355" s="407" t="s">
        <v>3439</v>
      </c>
      <c r="E3355" s="407" t="s">
        <v>5097</v>
      </c>
      <c r="F3355" s="407" t="s">
        <v>5098</v>
      </c>
      <c r="G3355" s="407" t="s">
        <v>5099</v>
      </c>
      <c r="H3355" s="460">
        <v>154.36919</v>
      </c>
      <c r="I3355" s="460">
        <v>5.2305400000000004</v>
      </c>
      <c r="J3355" s="460">
        <v>24.316800000000001</v>
      </c>
      <c r="K3355" s="460">
        <v>2060.5293299999998</v>
      </c>
      <c r="L3355" s="459" t="s">
        <v>538</v>
      </c>
      <c r="O3355">
        <v>4.4219999999999997</v>
      </c>
      <c r="P3355" t="s">
        <v>9323</v>
      </c>
    </row>
    <row r="3356" spans="1:16" ht="14.4" x14ac:dyDescent="0.3">
      <c r="A3356">
        <v>362316</v>
      </c>
      <c r="B3356" t="str">
        <f t="shared" si="104"/>
        <v>SEVROLL 2x wózek dolny do płyty laminowanej 18mm bez pozycjonera bez sprężyny</v>
      </c>
      <c r="C3356" s="185">
        <f t="shared" si="105"/>
        <v>18.35596</v>
      </c>
      <c r="D3356" s="407" t="s">
        <v>3440</v>
      </c>
      <c r="E3356" s="407" t="s">
        <v>3692</v>
      </c>
      <c r="F3356" s="407" t="s">
        <v>3693</v>
      </c>
      <c r="G3356" s="407" t="s">
        <v>3694</v>
      </c>
      <c r="H3356" s="460">
        <v>145.15313</v>
      </c>
      <c r="I3356" s="460">
        <v>4.9182699999999997</v>
      </c>
      <c r="J3356" s="460">
        <v>18.35596</v>
      </c>
      <c r="K3356" s="460">
        <v>1937.5129899999999</v>
      </c>
      <c r="L3356" s="459" t="s">
        <v>538</v>
      </c>
      <c r="O3356">
        <v>4.1580000000000004</v>
      </c>
      <c r="P3356" t="s">
        <v>8897</v>
      </c>
    </row>
    <row r="3357" spans="1:16" ht="14.4" x14ac:dyDescent="0.3">
      <c r="A3357">
        <v>362913</v>
      </c>
      <c r="B3357" t="str">
        <f t="shared" si="104"/>
        <v>SEVROLL Pax XL rączka 2,7m biały polysk</v>
      </c>
      <c r="C3357" s="185" t="e">
        <f t="shared" si="105"/>
        <v>#N/A</v>
      </c>
      <c r="D3357" s="407" t="s">
        <v>1324</v>
      </c>
      <c r="E3357" s="407" t="s">
        <v>1775</v>
      </c>
      <c r="F3357" s="407" t="s">
        <v>5783</v>
      </c>
      <c r="G3357" s="407" t="s">
        <v>2354</v>
      </c>
      <c r="H3357" s="460" t="e">
        <v>#N/A</v>
      </c>
      <c r="I3357" s="460" t="e">
        <v>#N/A</v>
      </c>
      <c r="J3357" s="460" t="e">
        <v>#N/A</v>
      </c>
      <c r="K3357" s="460" t="e">
        <v>#N/A</v>
      </c>
      <c r="L3357" s="459" t="e">
        <v>#N/A</v>
      </c>
      <c r="O3357">
        <v>31.372</v>
      </c>
      <c r="P3357" t="s">
        <v>9630</v>
      </c>
    </row>
    <row r="3358" spans="1:16" ht="14.4" x14ac:dyDescent="0.3">
      <c r="A3358">
        <v>363019</v>
      </c>
      <c r="B3358" t="str">
        <f t="shared" si="104"/>
        <v>SEVROLL zamek do drzwi przesuwnych, do rączek Karat i Prosper</v>
      </c>
      <c r="C3358" s="185">
        <f t="shared" si="105"/>
        <v>134.51759999999999</v>
      </c>
      <c r="D3358" s="407" t="s">
        <v>3441</v>
      </c>
      <c r="E3358" s="407" t="s">
        <v>4806</v>
      </c>
      <c r="F3358" s="407" t="s">
        <v>4807</v>
      </c>
      <c r="G3358" s="407" t="s">
        <v>4808</v>
      </c>
      <c r="H3358" s="460">
        <v>1077.51234</v>
      </c>
      <c r="I3358" s="460">
        <v>36.512309999999999</v>
      </c>
      <c r="J3358" s="460">
        <v>134.51759999999999</v>
      </c>
      <c r="K3358" s="460">
        <v>14382.7009</v>
      </c>
      <c r="L3358" s="459" t="s">
        <v>539</v>
      </c>
      <c r="O3358">
        <v>36.101999999999997</v>
      </c>
      <c r="P3358" t="s">
        <v>9250</v>
      </c>
    </row>
    <row r="3359" spans="1:16" ht="14.4" x14ac:dyDescent="0.3">
      <c r="A3359">
        <v>364016</v>
      </c>
      <c r="B3359" t="str">
        <f t="shared" si="104"/>
        <v>SEVROLL Szpros S18 z klejem 3m biały połysk</v>
      </c>
      <c r="C3359" s="185">
        <f t="shared" si="105"/>
        <v>51.453940000000003</v>
      </c>
      <c r="D3359" s="407" t="s">
        <v>3442</v>
      </c>
      <c r="E3359" s="407" t="s">
        <v>4188</v>
      </c>
      <c r="F3359" s="407" t="s">
        <v>4189</v>
      </c>
      <c r="G3359" s="407" t="s">
        <v>4190</v>
      </c>
      <c r="H3359" s="460">
        <v>416.1551</v>
      </c>
      <c r="I3359" s="460">
        <v>14.962999999999999</v>
      </c>
      <c r="J3359" s="460">
        <v>51.453940000000003</v>
      </c>
      <c r="K3359" s="460">
        <v>5759.0426799999996</v>
      </c>
      <c r="L3359" s="459" t="s">
        <v>539</v>
      </c>
      <c r="O3359">
        <v>11.55</v>
      </c>
      <c r="P3359" t="s">
        <v>9058</v>
      </c>
    </row>
    <row r="3360" spans="1:16" ht="14.4" x14ac:dyDescent="0.3">
      <c r="A3360">
        <v>364633</v>
      </c>
      <c r="B3360" t="str">
        <f t="shared" si="104"/>
        <v>SEVROLL Single tor górny 6m jasny brąz</v>
      </c>
      <c r="C3360" s="185" t="e">
        <f t="shared" si="105"/>
        <v>#N/A</v>
      </c>
      <c r="D3360" s="407" t="s">
        <v>1472</v>
      </c>
      <c r="E3360" s="407" t="s">
        <v>1902</v>
      </c>
      <c r="F3360" s="407" t="s">
        <v>5973</v>
      </c>
      <c r="G3360" s="407" t="s">
        <v>2431</v>
      </c>
      <c r="H3360" s="460" t="e">
        <v>#N/A</v>
      </c>
      <c r="I3360" s="460" t="e">
        <v>#N/A</v>
      </c>
      <c r="J3360" s="460" t="e">
        <v>#N/A</v>
      </c>
      <c r="K3360" s="460" t="e">
        <v>#N/A</v>
      </c>
      <c r="L3360" s="459" t="e">
        <v>#N/A</v>
      </c>
      <c r="O3360">
        <v>54.384</v>
      </c>
      <c r="P3360" t="s">
        <v>9995</v>
      </c>
    </row>
    <row r="3361" spans="1:16" ht="14.4" x14ac:dyDescent="0.3">
      <c r="A3361">
        <v>365378</v>
      </c>
      <c r="B3361" t="str">
        <f t="shared" si="104"/>
        <v>SEVROLL wózek dolny WD10 V Duo 60kg (2 szt)</v>
      </c>
      <c r="C3361" s="185">
        <f t="shared" si="105"/>
        <v>65.147400000000005</v>
      </c>
      <c r="D3361" s="407" t="s">
        <v>1473</v>
      </c>
      <c r="E3361" s="407" t="s">
        <v>1903</v>
      </c>
      <c r="F3361" s="407" t="s">
        <v>5974</v>
      </c>
      <c r="G3361" s="407" t="s">
        <v>2432</v>
      </c>
      <c r="H3361" s="460">
        <v>549.89227000000005</v>
      </c>
      <c r="I3361" s="460">
        <v>18.632180000000002</v>
      </c>
      <c r="J3361" s="460">
        <v>65.147400000000005</v>
      </c>
      <c r="K3361" s="460">
        <v>7339.9954900000002</v>
      </c>
      <c r="L3361" s="459" t="s">
        <v>539</v>
      </c>
      <c r="O3361">
        <v>17.489999999999998</v>
      </c>
      <c r="P3361" t="s">
        <v>9996</v>
      </c>
    </row>
    <row r="3362" spans="1:16" ht="14.4" x14ac:dyDescent="0.3">
      <c r="A3362">
        <v>367537</v>
      </c>
      <c r="B3362" t="str">
        <f t="shared" si="104"/>
        <v>SEVROLL Oxford rączka 2,7m srebrny</v>
      </c>
      <c r="C3362" s="185" t="e">
        <f t="shared" si="105"/>
        <v>#N/A</v>
      </c>
      <c r="D3362" s="407" t="s">
        <v>1295</v>
      </c>
      <c r="E3362" s="407" t="s">
        <v>1748</v>
      </c>
      <c r="F3362" s="407" t="s">
        <v>5759</v>
      </c>
      <c r="G3362" s="407" t="s">
        <v>2328</v>
      </c>
      <c r="H3362" s="460" t="e">
        <v>#N/A</v>
      </c>
      <c r="I3362" s="460" t="e">
        <v>#N/A</v>
      </c>
      <c r="J3362" s="460" t="e">
        <v>#N/A</v>
      </c>
      <c r="K3362" s="460" t="e">
        <v>#N/A</v>
      </c>
      <c r="L3362" s="459" t="e">
        <v>#N/A</v>
      </c>
      <c r="O3362">
        <v>25.431999999999999</v>
      </c>
      <c r="P3362" t="s">
        <v>9593</v>
      </c>
    </row>
    <row r="3363" spans="1:16" ht="14.4" x14ac:dyDescent="0.3">
      <c r="A3363">
        <v>368066</v>
      </c>
      <c r="B3363" t="str">
        <f t="shared" si="104"/>
        <v>SEVROLL Ekonomik rączka 2,7m srebrny</v>
      </c>
      <c r="C3363" s="185" t="e">
        <f t="shared" si="105"/>
        <v>#N/A</v>
      </c>
      <c r="D3363" s="407" t="s">
        <v>1296</v>
      </c>
      <c r="E3363" s="407" t="s">
        <v>1749</v>
      </c>
      <c r="F3363" s="407" t="s">
        <v>5760</v>
      </c>
      <c r="G3363" s="407" t="s">
        <v>2329</v>
      </c>
      <c r="H3363" s="460" t="e">
        <v>#N/A</v>
      </c>
      <c r="I3363" s="460" t="e">
        <v>#N/A</v>
      </c>
      <c r="J3363" s="460" t="e">
        <v>#N/A</v>
      </c>
      <c r="K3363" s="460" t="e">
        <v>#N/A</v>
      </c>
      <c r="L3363" s="459" t="e">
        <v>#N/A</v>
      </c>
      <c r="O3363">
        <v>11.044</v>
      </c>
      <c r="P3363" t="s">
        <v>9595</v>
      </c>
    </row>
    <row r="3364" spans="1:16" ht="14.4" x14ac:dyDescent="0.3">
      <c r="A3364">
        <v>368068</v>
      </c>
      <c r="B3364" t="str">
        <f t="shared" si="104"/>
        <v>SEVROLL Ekonomik tor górny 2m srebrny</v>
      </c>
      <c r="C3364" s="185" t="e">
        <f t="shared" si="105"/>
        <v>#N/A</v>
      </c>
      <c r="D3364" s="407" t="s">
        <v>1297</v>
      </c>
      <c r="E3364" s="407" t="s">
        <v>1750</v>
      </c>
      <c r="F3364" s="407" t="s">
        <v>5761</v>
      </c>
      <c r="G3364" s="407" t="s">
        <v>2330</v>
      </c>
      <c r="H3364" s="460" t="e">
        <v>#N/A</v>
      </c>
      <c r="I3364" s="460" t="e">
        <v>#N/A</v>
      </c>
      <c r="J3364" s="460" t="e">
        <v>#N/A</v>
      </c>
      <c r="K3364" s="460" t="e">
        <v>#N/A</v>
      </c>
      <c r="L3364" s="459" t="e">
        <v>#N/A</v>
      </c>
      <c r="O3364">
        <v>15.95</v>
      </c>
      <c r="P3364" t="s">
        <v>9596</v>
      </c>
    </row>
    <row r="3365" spans="1:16" ht="14.4" x14ac:dyDescent="0.3">
      <c r="A3365">
        <v>368069</v>
      </c>
      <c r="B3365" t="str">
        <f t="shared" si="104"/>
        <v>SEVROLL Ekonomik tor górny 3m srebrny</v>
      </c>
      <c r="C3365" s="185">
        <f t="shared" si="105"/>
        <v>89.086799999999997</v>
      </c>
      <c r="D3365" s="407" t="s">
        <v>1298</v>
      </c>
      <c r="E3365" s="407" t="s">
        <v>1751</v>
      </c>
      <c r="F3365" s="407" t="s">
        <v>5762</v>
      </c>
      <c r="G3365" s="407" t="s">
        <v>2331</v>
      </c>
      <c r="H3365" s="460">
        <v>709.99676999999997</v>
      </c>
      <c r="I3365" s="460">
        <v>25.528169999999999</v>
      </c>
      <c r="J3365" s="460">
        <v>89.086799999999997</v>
      </c>
      <c r="K3365" s="460">
        <v>9825.4274700000005</v>
      </c>
      <c r="L3365" s="459" t="s">
        <v>539</v>
      </c>
      <c r="O3365">
        <v>23.914000000000001</v>
      </c>
      <c r="P3365" t="s">
        <v>9597</v>
      </c>
    </row>
    <row r="3366" spans="1:16" ht="14.4" x14ac:dyDescent="0.3">
      <c r="A3366">
        <v>368070</v>
      </c>
      <c r="B3366" t="str">
        <f t="shared" si="104"/>
        <v>SEVROLL Ekonomik tor górny 6m srebrny</v>
      </c>
      <c r="C3366" s="185" t="e">
        <f t="shared" si="105"/>
        <v>#N/A</v>
      </c>
      <c r="D3366" s="407" t="s">
        <v>1299</v>
      </c>
      <c r="E3366" s="407" t="s">
        <v>1752</v>
      </c>
      <c r="F3366" s="407" t="s">
        <v>5763</v>
      </c>
      <c r="G3366" s="407" t="s">
        <v>2332</v>
      </c>
      <c r="H3366" s="460" t="e">
        <v>#N/A</v>
      </c>
      <c r="I3366" s="460" t="e">
        <v>#N/A</v>
      </c>
      <c r="J3366" s="460" t="e">
        <v>#N/A</v>
      </c>
      <c r="K3366" s="460" t="e">
        <v>#N/A</v>
      </c>
      <c r="L3366" s="459" t="e">
        <v>#N/A</v>
      </c>
      <c r="O3366">
        <v>47.828000000000003</v>
      </c>
      <c r="P3366" t="s">
        <v>9598</v>
      </c>
    </row>
    <row r="3367" spans="1:16" ht="14.4" x14ac:dyDescent="0.3">
      <c r="A3367">
        <v>368071</v>
      </c>
      <c r="B3367" t="str">
        <f t="shared" si="104"/>
        <v>SEVROLL Ekonomik tor dolny 2m srebrny</v>
      </c>
      <c r="C3367" s="185" t="e">
        <f t="shared" si="105"/>
        <v>#N/A</v>
      </c>
      <c r="D3367" s="407" t="s">
        <v>1300</v>
      </c>
      <c r="E3367" s="407" t="s">
        <v>1753</v>
      </c>
      <c r="F3367" s="407" t="s">
        <v>5764</v>
      </c>
      <c r="G3367" s="407" t="s">
        <v>2333</v>
      </c>
      <c r="H3367" s="460" t="e">
        <v>#N/A</v>
      </c>
      <c r="I3367" s="460" t="e">
        <v>#N/A</v>
      </c>
      <c r="J3367" s="460" t="e">
        <v>#N/A</v>
      </c>
      <c r="K3367" s="460" t="e">
        <v>#N/A</v>
      </c>
      <c r="L3367" s="459" t="e">
        <v>#N/A</v>
      </c>
      <c r="O3367">
        <v>8.7560000000000002</v>
      </c>
      <c r="P3367" t="s">
        <v>9599</v>
      </c>
    </row>
    <row r="3368" spans="1:16" ht="14.4" x14ac:dyDescent="0.3">
      <c r="A3368">
        <v>368072</v>
      </c>
      <c r="B3368" t="str">
        <f t="shared" si="104"/>
        <v>SEVROLL Ekonomik tor dolny 3m srebrny</v>
      </c>
      <c r="C3368" s="185">
        <f t="shared" si="105"/>
        <v>49.225200000000001</v>
      </c>
      <c r="D3368" s="407" t="s">
        <v>1301</v>
      </c>
      <c r="E3368" s="407" t="s">
        <v>1754</v>
      </c>
      <c r="F3368" s="407" t="s">
        <v>5765</v>
      </c>
      <c r="G3368" s="407" t="s">
        <v>2334</v>
      </c>
      <c r="H3368" s="460">
        <v>392.27140000000003</v>
      </c>
      <c r="I3368" s="460">
        <v>14.10425</v>
      </c>
      <c r="J3368" s="460">
        <v>49.225200000000001</v>
      </c>
      <c r="K3368" s="460">
        <v>5428.5237900000002</v>
      </c>
      <c r="L3368" s="459" t="s">
        <v>539</v>
      </c>
      <c r="O3368">
        <v>13.222</v>
      </c>
      <c r="P3368" t="s">
        <v>9600</v>
      </c>
    </row>
    <row r="3369" spans="1:16" ht="14.4" x14ac:dyDescent="0.3">
      <c r="A3369">
        <v>368073</v>
      </c>
      <c r="B3369" t="str">
        <f t="shared" si="104"/>
        <v>SEVROLL Ekonomik tor dolny 6m srebrny</v>
      </c>
      <c r="C3369" s="185" t="e">
        <f t="shared" si="105"/>
        <v>#N/A</v>
      </c>
      <c r="D3369" s="407" t="s">
        <v>1302</v>
      </c>
      <c r="E3369" s="407" t="s">
        <v>1755</v>
      </c>
      <c r="F3369" s="407" t="s">
        <v>5766</v>
      </c>
      <c r="G3369" s="407" t="s">
        <v>2335</v>
      </c>
      <c r="H3369" s="460" t="e">
        <v>#N/A</v>
      </c>
      <c r="I3369" s="460" t="e">
        <v>#N/A</v>
      </c>
      <c r="J3369" s="460" t="e">
        <v>#N/A</v>
      </c>
      <c r="K3369" s="460" t="e">
        <v>#N/A</v>
      </c>
      <c r="L3369" s="459" t="e">
        <v>#N/A</v>
      </c>
      <c r="O3369" t="e">
        <v>#N/A</v>
      </c>
      <c r="P3369" t="e">
        <v>#N/A</v>
      </c>
    </row>
    <row r="3370" spans="1:16" ht="14.4" x14ac:dyDescent="0.3">
      <c r="A3370">
        <v>368077</v>
      </c>
      <c r="B3370" t="str">
        <f t="shared" si="104"/>
        <v>SEVROLL wózek górny Ekonomik Duo</v>
      </c>
      <c r="C3370" s="185">
        <f t="shared" si="105"/>
        <v>6.8120000000000003</v>
      </c>
      <c r="D3370" s="407" t="s">
        <v>1303</v>
      </c>
      <c r="E3370" s="407" t="s">
        <v>1756</v>
      </c>
      <c r="F3370" s="407" t="s">
        <v>5767</v>
      </c>
      <c r="G3370" s="407" t="s">
        <v>2336</v>
      </c>
      <c r="H3370" s="460">
        <v>59.904470000000003</v>
      </c>
      <c r="I3370" s="460">
        <v>2.02976</v>
      </c>
      <c r="J3370" s="460">
        <v>6.8120000000000003</v>
      </c>
      <c r="K3370" s="460">
        <v>799.60839999999996</v>
      </c>
      <c r="L3370" s="459" t="s">
        <v>539</v>
      </c>
      <c r="O3370">
        <v>1.804</v>
      </c>
      <c r="P3370" t="s">
        <v>9601</v>
      </c>
    </row>
    <row r="3371" spans="1:16" ht="14.4" x14ac:dyDescent="0.3">
      <c r="A3371">
        <v>368078</v>
      </c>
      <c r="B3371" t="str">
        <f t="shared" si="104"/>
        <v>SEVROLL wózek dolny Ekonomik WD10V</v>
      </c>
      <c r="C3371" s="185">
        <f t="shared" si="105"/>
        <v>11.543100000000001</v>
      </c>
      <c r="D3371" s="407" t="s">
        <v>1304</v>
      </c>
      <c r="E3371" s="407" t="s">
        <v>1757</v>
      </c>
      <c r="F3371" s="407" t="s">
        <v>5768</v>
      </c>
      <c r="G3371" s="407" t="s">
        <v>2337</v>
      </c>
      <c r="H3371" s="460">
        <v>101.37678</v>
      </c>
      <c r="I3371" s="460">
        <v>3.4349799999999999</v>
      </c>
      <c r="J3371" s="460">
        <v>11.543100000000001</v>
      </c>
      <c r="K3371" s="460">
        <v>1353.18363</v>
      </c>
      <c r="L3371" s="459" t="s">
        <v>539</v>
      </c>
      <c r="O3371">
        <v>2.9039999999999999</v>
      </c>
      <c r="P3371" t="s">
        <v>9602</v>
      </c>
    </row>
    <row r="3372" spans="1:16" ht="14.4" x14ac:dyDescent="0.3">
      <c r="A3372">
        <v>368089</v>
      </c>
      <c r="B3372" t="str">
        <f t="shared" si="104"/>
        <v>SEVROLL blachowkręt 2,9x6,5 Ekonomik (100 szt)</v>
      </c>
      <c r="C3372" s="185">
        <f t="shared" si="105"/>
        <v>8.67</v>
      </c>
      <c r="D3372" s="407" t="s">
        <v>1305</v>
      </c>
      <c r="E3372" s="407" t="s">
        <v>1758</v>
      </c>
      <c r="F3372" s="407" t="s">
        <v>5769</v>
      </c>
      <c r="G3372" s="407" t="s">
        <v>2338</v>
      </c>
      <c r="H3372" s="460">
        <v>66.048519999999996</v>
      </c>
      <c r="I3372" s="460">
        <v>2.23794</v>
      </c>
      <c r="J3372" s="460">
        <v>8.67</v>
      </c>
      <c r="K3372" s="460">
        <v>881.61941999999999</v>
      </c>
      <c r="L3372" s="459" t="s">
        <v>539</v>
      </c>
      <c r="O3372">
        <v>2.1120000000000001</v>
      </c>
      <c r="P3372" t="s">
        <v>9603</v>
      </c>
    </row>
    <row r="3373" spans="1:16" ht="14.4" x14ac:dyDescent="0.3">
      <c r="A3373">
        <v>368096</v>
      </c>
      <c r="B3373" t="str">
        <f t="shared" si="104"/>
        <v>SEVROLL Ekonomik zestaw okuć dla 2 drzwi</v>
      </c>
      <c r="C3373" s="185" t="e">
        <f t="shared" si="105"/>
        <v>#N/A</v>
      </c>
      <c r="D3373" s="407" t="s">
        <v>1306</v>
      </c>
      <c r="E3373" s="407" t="s">
        <v>1759</v>
      </c>
      <c r="F3373" s="407" t="s">
        <v>5770</v>
      </c>
      <c r="G3373" s="407" t="s">
        <v>2339</v>
      </c>
      <c r="H3373" s="460" t="e">
        <v>#N/A</v>
      </c>
      <c r="I3373" s="460" t="e">
        <v>#N/A</v>
      </c>
      <c r="J3373" s="460" t="e">
        <v>#N/A</v>
      </c>
      <c r="K3373" s="460" t="e">
        <v>#N/A</v>
      </c>
      <c r="L3373" s="459" t="e">
        <v>#N/A</v>
      </c>
      <c r="O3373">
        <v>0</v>
      </c>
      <c r="P3373" t="s">
        <v>9604</v>
      </c>
    </row>
    <row r="3374" spans="1:16" ht="14.4" x14ac:dyDescent="0.3">
      <c r="A3374">
        <v>368090</v>
      </c>
      <c r="B3374" t="str">
        <f t="shared" si="104"/>
        <v>SEVROLL wkręt Unix 3x10mm (1000 szt)</v>
      </c>
      <c r="C3374" s="185" t="e">
        <f t="shared" si="105"/>
        <v>#N/A</v>
      </c>
      <c r="D3374" s="407" t="s">
        <v>1307</v>
      </c>
      <c r="E3374" s="407" t="s">
        <v>1760</v>
      </c>
      <c r="F3374" s="407" t="s">
        <v>1307</v>
      </c>
      <c r="G3374" s="407" t="s">
        <v>2340</v>
      </c>
      <c r="H3374" s="460" t="e">
        <v>#N/A</v>
      </c>
      <c r="I3374" s="460" t="e">
        <v>#N/A</v>
      </c>
      <c r="J3374" s="460" t="e">
        <v>#N/A</v>
      </c>
      <c r="K3374" s="460" t="e">
        <v>#N/A</v>
      </c>
      <c r="L3374" s="459" t="e">
        <v>#N/A</v>
      </c>
      <c r="O3374">
        <v>11.638</v>
      </c>
      <c r="P3374" t="s">
        <v>9605</v>
      </c>
    </row>
    <row r="3375" spans="1:16" ht="14.4" x14ac:dyDescent="0.3">
      <c r="A3375">
        <v>368091</v>
      </c>
      <c r="B3375" t="str">
        <f t="shared" si="104"/>
        <v>SEVROLL wkręt Unix 3x16mm (100 szt)</v>
      </c>
      <c r="C3375" s="185" t="e">
        <f t="shared" si="105"/>
        <v>#N/A</v>
      </c>
      <c r="D3375" s="407" t="s">
        <v>1308</v>
      </c>
      <c r="E3375" s="407" t="s">
        <v>1761</v>
      </c>
      <c r="F3375" s="407" t="s">
        <v>1308</v>
      </c>
      <c r="G3375" s="407" t="s">
        <v>2341</v>
      </c>
      <c r="H3375" s="460" t="e">
        <v>#N/A</v>
      </c>
      <c r="I3375" s="460" t="e">
        <v>#N/A</v>
      </c>
      <c r="J3375" s="460" t="e">
        <v>#N/A</v>
      </c>
      <c r="K3375" s="460" t="e">
        <v>#N/A</v>
      </c>
      <c r="L3375" s="459" t="e">
        <v>#N/A</v>
      </c>
      <c r="O3375">
        <v>1.1439999999999999</v>
      </c>
      <c r="P3375" t="s">
        <v>9606</v>
      </c>
    </row>
    <row r="3376" spans="1:16" ht="14.4" x14ac:dyDescent="0.3">
      <c r="A3376">
        <v>368092</v>
      </c>
      <c r="B3376" t="str">
        <f t="shared" si="104"/>
        <v>SEVROLL podkładka okrągła 3x6mm (100 szt)</v>
      </c>
      <c r="C3376" s="185">
        <f t="shared" si="105"/>
        <v>17.718050000000002</v>
      </c>
      <c r="D3376" s="407" t="s">
        <v>1309</v>
      </c>
      <c r="E3376" s="407" t="s">
        <v>1762</v>
      </c>
      <c r="F3376" s="407" t="s">
        <v>5771</v>
      </c>
      <c r="G3376" s="407" t="s">
        <v>2342</v>
      </c>
      <c r="H3376" s="460">
        <v>143.30211</v>
      </c>
      <c r="I3376" s="460">
        <v>5.1524700000000001</v>
      </c>
      <c r="J3376" s="460">
        <v>17.718050000000002</v>
      </c>
      <c r="K3376" s="460">
        <v>1983.11376</v>
      </c>
      <c r="L3376" s="459" t="s">
        <v>539</v>
      </c>
      <c r="O3376">
        <v>4.3559999999999999</v>
      </c>
      <c r="P3376" t="s">
        <v>9607</v>
      </c>
    </row>
    <row r="3377" spans="1:16" ht="14.4" x14ac:dyDescent="0.3">
      <c r="A3377">
        <v>368097</v>
      </c>
      <c r="B3377" t="str">
        <f t="shared" si="104"/>
        <v>SEVROLL Ekonomik zestaw okuć dla 3 drzwi</v>
      </c>
      <c r="C3377" s="185" t="e">
        <f t="shared" si="105"/>
        <v>#N/A</v>
      </c>
      <c r="D3377" s="407" t="s">
        <v>1310</v>
      </c>
      <c r="E3377" s="407" t="s">
        <v>1763</v>
      </c>
      <c r="F3377" s="407" t="s">
        <v>5772</v>
      </c>
      <c r="G3377" s="407" t="s">
        <v>2343</v>
      </c>
      <c r="H3377" s="460" t="e">
        <v>#N/A</v>
      </c>
      <c r="I3377" s="460" t="e">
        <v>#N/A</v>
      </c>
      <c r="J3377" s="460" t="e">
        <v>#N/A</v>
      </c>
      <c r="K3377" s="460" t="e">
        <v>#N/A</v>
      </c>
      <c r="L3377" s="459" t="e">
        <v>#N/A</v>
      </c>
      <c r="O3377" t="e">
        <v>#N/A</v>
      </c>
      <c r="P3377" t="e">
        <v>#N/A</v>
      </c>
    </row>
    <row r="3378" spans="1:16" ht="14.4" x14ac:dyDescent="0.3">
      <c r="A3378">
        <v>368443</v>
      </c>
      <c r="B3378" t="str">
        <f t="shared" si="104"/>
        <v>SEVROLL Herkules plus tor górny 3 m alu</v>
      </c>
      <c r="C3378" s="185" t="e">
        <f t="shared" si="105"/>
        <v>#N/A</v>
      </c>
      <c r="D3378" s="407" t="s">
        <v>1311</v>
      </c>
      <c r="E3378" s="407" t="s">
        <v>1764</v>
      </c>
      <c r="F3378" s="407" t="s">
        <v>5773</v>
      </c>
      <c r="G3378" s="407" t="s">
        <v>2344</v>
      </c>
      <c r="H3378" s="460" t="e">
        <v>#N/A</v>
      </c>
      <c r="I3378" s="460" t="e">
        <v>#N/A</v>
      </c>
      <c r="J3378" s="460" t="e">
        <v>#N/A</v>
      </c>
      <c r="K3378" s="460" t="e">
        <v>#N/A</v>
      </c>
      <c r="L3378" s="459" t="e">
        <v>#N/A</v>
      </c>
      <c r="O3378" t="e">
        <v>#N/A</v>
      </c>
      <c r="P3378" t="e">
        <v>#N/A</v>
      </c>
    </row>
    <row r="3379" spans="1:16" ht="14.4" x14ac:dyDescent="0.3">
      <c r="A3379">
        <v>369847</v>
      </c>
      <c r="B3379" t="str">
        <f t="shared" si="104"/>
        <v>SEVROLL profile "U" Mini 36 do DTD 2x18 mm srebrny 3 m</v>
      </c>
      <c r="C3379" s="185" t="e">
        <f t="shared" si="105"/>
        <v>#N/A</v>
      </c>
      <c r="D3379" s="407" t="s">
        <v>1430</v>
      </c>
      <c r="E3379" s="407" t="s">
        <v>1870</v>
      </c>
      <c r="F3379" s="407" t="s">
        <v>2176</v>
      </c>
      <c r="G3379" s="407" t="s">
        <v>2410</v>
      </c>
      <c r="H3379" s="460" t="e">
        <v>#N/A</v>
      </c>
      <c r="I3379" s="460" t="e">
        <v>#N/A</v>
      </c>
      <c r="J3379" s="460" t="e">
        <v>#N/A</v>
      </c>
      <c r="K3379" s="460" t="e">
        <v>#N/A</v>
      </c>
      <c r="L3379" s="459" t="e">
        <v>#N/A</v>
      </c>
      <c r="O3379" t="e">
        <v>#N/A</v>
      </c>
      <c r="P3379" t="e">
        <v>#N/A</v>
      </c>
    </row>
    <row r="3380" spans="1:16" ht="14.4" x14ac:dyDescent="0.3">
      <c r="A3380">
        <v>372424</v>
      </c>
      <c r="B3380" t="str">
        <f t="shared" si="104"/>
        <v>SEVROLL klucz imbusowy SEVROLL</v>
      </c>
      <c r="C3380" s="185">
        <f t="shared" si="105"/>
        <v>13.870189999999999</v>
      </c>
      <c r="D3380" s="407" t="s">
        <v>1276</v>
      </c>
      <c r="E3380" s="407" t="s">
        <v>1728</v>
      </c>
      <c r="F3380" s="407" t="s">
        <v>2147</v>
      </c>
      <c r="G3380" s="407" t="s">
        <v>2312</v>
      </c>
      <c r="H3380" s="460">
        <v>112.18095</v>
      </c>
      <c r="I3380" s="460">
        <v>4.0335000000000001</v>
      </c>
      <c r="J3380" s="460">
        <v>13.870189999999999</v>
      </c>
      <c r="K3380" s="460">
        <v>1552.4376</v>
      </c>
      <c r="L3380" s="459" t="s">
        <v>539</v>
      </c>
      <c r="O3380">
        <v>3.0139999999999998</v>
      </c>
      <c r="P3380" t="s">
        <v>9556</v>
      </c>
    </row>
    <row r="3381" spans="1:16" ht="14.4" x14ac:dyDescent="0.3">
      <c r="A3381">
        <v>372603</v>
      </c>
      <c r="B3381" t="str">
        <f t="shared" si="104"/>
        <v>Sevroll Rączka Era 18 mm 2,70 m, biała połysk</v>
      </c>
      <c r="C3381" s="185">
        <f t="shared" si="105"/>
        <v>55.817450000000001</v>
      </c>
      <c r="D3381" s="407" t="s">
        <v>1277</v>
      </c>
      <c r="E3381" s="407" t="s">
        <v>1729</v>
      </c>
      <c r="F3381" s="407" t="s">
        <v>5738</v>
      </c>
      <c r="G3381" s="407" t="s">
        <v>5739</v>
      </c>
      <c r="H3381" s="460">
        <v>437.43795999999998</v>
      </c>
      <c r="I3381" s="460">
        <v>15.89981</v>
      </c>
      <c r="J3381" s="460">
        <v>55.817450000000001</v>
      </c>
      <c r="K3381" s="460">
        <v>6215.6025399999999</v>
      </c>
      <c r="L3381" s="459" t="s">
        <v>538</v>
      </c>
      <c r="O3381">
        <v>14.938000000000001</v>
      </c>
      <c r="P3381" t="s">
        <v>9557</v>
      </c>
    </row>
    <row r="3382" spans="1:16" ht="14.4" x14ac:dyDescent="0.3">
      <c r="A3382">
        <v>372604</v>
      </c>
      <c r="B3382" t="str">
        <f t="shared" si="104"/>
        <v>SEVROLL Rączka Vitara 2,7m srebrna</v>
      </c>
      <c r="C3382" s="185">
        <f t="shared" si="105"/>
        <v>57.018000000000001</v>
      </c>
      <c r="D3382" s="407" t="s">
        <v>1278</v>
      </c>
      <c r="E3382" s="407" t="s">
        <v>1730</v>
      </c>
      <c r="F3382" s="407" t="s">
        <v>5740</v>
      </c>
      <c r="G3382" s="407" t="s">
        <v>2313</v>
      </c>
      <c r="H3382" s="460">
        <v>404.57512000000003</v>
      </c>
      <c r="I3382" s="460">
        <v>14.54663</v>
      </c>
      <c r="J3382" s="460">
        <v>57.018000000000001</v>
      </c>
      <c r="K3382" s="460">
        <v>5598.7912200000001</v>
      </c>
      <c r="L3382" s="459" t="s">
        <v>538</v>
      </c>
      <c r="O3382">
        <v>13.772</v>
      </c>
      <c r="P3382" t="s">
        <v>9558</v>
      </c>
    </row>
    <row r="3383" spans="1:16" ht="14.4" x14ac:dyDescent="0.3">
      <c r="A3383">
        <v>372605</v>
      </c>
      <c r="B3383" t="str">
        <f t="shared" si="104"/>
        <v>SEVROLL Rączka Vitara 2,7m oliwka</v>
      </c>
      <c r="C3383" s="185">
        <f t="shared" si="105"/>
        <v>63.872399999999999</v>
      </c>
      <c r="D3383" s="407" t="s">
        <v>1279</v>
      </c>
      <c r="E3383" s="407" t="s">
        <v>1731</v>
      </c>
      <c r="F3383" s="407" t="s">
        <v>1279</v>
      </c>
      <c r="G3383" s="407" t="s">
        <v>2314</v>
      </c>
      <c r="H3383" s="460">
        <v>507.34733</v>
      </c>
      <c r="I3383" s="460">
        <v>18.24184</v>
      </c>
      <c r="J3383" s="460">
        <v>63.872399999999999</v>
      </c>
      <c r="K3383" s="460">
        <v>7021.0240599999997</v>
      </c>
      <c r="L3383" s="459" t="s">
        <v>538</v>
      </c>
      <c r="O3383">
        <v>15.422000000000001</v>
      </c>
      <c r="P3383" t="s">
        <v>9559</v>
      </c>
    </row>
    <row r="3384" spans="1:16" ht="14.4" x14ac:dyDescent="0.3">
      <c r="A3384">
        <v>372606</v>
      </c>
      <c r="B3384" t="str">
        <f t="shared" si="104"/>
        <v>SEVROLL Rączka Vitara 2,7m biały błyszczący</v>
      </c>
      <c r="C3384" s="185">
        <f t="shared" si="105"/>
        <v>74.143799999999999</v>
      </c>
      <c r="D3384" s="407" t="s">
        <v>1280</v>
      </c>
      <c r="E3384" s="407" t="s">
        <v>1732</v>
      </c>
      <c r="F3384" s="407" t="s">
        <v>5741</v>
      </c>
      <c r="G3384" s="407" t="s">
        <v>2315</v>
      </c>
      <c r="H3384" s="460">
        <v>525.44104000000004</v>
      </c>
      <c r="I3384" s="460">
        <v>18.892410000000002</v>
      </c>
      <c r="J3384" s="460">
        <v>74.143799999999999</v>
      </c>
      <c r="K3384" s="460">
        <v>7271.4172099999996</v>
      </c>
      <c r="L3384" s="459" t="s">
        <v>538</v>
      </c>
      <c r="O3384">
        <v>17.885999999999999</v>
      </c>
      <c r="P3384" t="s">
        <v>9560</v>
      </c>
    </row>
    <row r="3385" spans="1:16" ht="14.4" x14ac:dyDescent="0.3">
      <c r="A3385">
        <v>375328</v>
      </c>
      <c r="B3385" t="str">
        <f t="shared" si="104"/>
        <v>SEVROLL Klamra ścienna do płyty 16 - 25mm</v>
      </c>
      <c r="C3385" s="185">
        <f t="shared" si="105"/>
        <v>7.9903700000000004</v>
      </c>
      <c r="D3385" s="407" t="s">
        <v>1403</v>
      </c>
      <c r="E3385" s="407" t="s">
        <v>1848</v>
      </c>
      <c r="F3385" s="407" t="s">
        <v>5859</v>
      </c>
      <c r="G3385" s="407" t="s">
        <v>5860</v>
      </c>
      <c r="H3385" s="460">
        <v>62.091329999999999</v>
      </c>
      <c r="I3385" s="460">
        <v>2.3420299999999998</v>
      </c>
      <c r="J3385" s="460">
        <v>7.9903700000000004</v>
      </c>
      <c r="K3385" s="460">
        <v>883.74058000000002</v>
      </c>
      <c r="L3385" s="459" t="s">
        <v>539</v>
      </c>
      <c r="O3385">
        <v>1.98</v>
      </c>
      <c r="P3385" t="s">
        <v>9840</v>
      </c>
    </row>
    <row r="3386" spans="1:16" ht="14.4" x14ac:dyDescent="0.3">
      <c r="A3386">
        <v>375331</v>
      </c>
      <c r="B3386" t="str">
        <f t="shared" si="104"/>
        <v>SEVROLL 214-694 Herkules II listwa maskująca 1,8m srebrna</v>
      </c>
      <c r="C3386" s="185" t="e">
        <f t="shared" si="105"/>
        <v>#N/A</v>
      </c>
      <c r="D3386" s="407" t="s">
        <v>1404</v>
      </c>
      <c r="E3386" s="407" t="s">
        <v>1849</v>
      </c>
      <c r="F3386" s="407" t="s">
        <v>5861</v>
      </c>
      <c r="G3386" s="407" t="s">
        <v>5862</v>
      </c>
      <c r="H3386" s="460" t="e">
        <v>#N/A</v>
      </c>
      <c r="I3386" s="460" t="e">
        <v>#N/A</v>
      </c>
      <c r="J3386" s="460" t="e">
        <v>#N/A</v>
      </c>
      <c r="K3386" s="460" t="e">
        <v>#N/A</v>
      </c>
      <c r="L3386" s="459" t="e">
        <v>#N/A</v>
      </c>
      <c r="O3386" t="e">
        <v>#N/A</v>
      </c>
      <c r="P3386" t="e">
        <v>#N/A</v>
      </c>
    </row>
    <row r="3387" spans="1:16" ht="14.4" x14ac:dyDescent="0.3">
      <c r="A3387">
        <v>376054</v>
      </c>
      <c r="B3387" t="str">
        <f t="shared" si="104"/>
        <v>SEVROLL 04709 profil maskujący Herakles 3m</v>
      </c>
      <c r="C3387" s="185" t="e">
        <f t="shared" si="105"/>
        <v>#N/A</v>
      </c>
      <c r="D3387" s="407" t="s">
        <v>1532</v>
      </c>
      <c r="E3387" s="407" t="s">
        <v>1961</v>
      </c>
      <c r="F3387" s="407" t="s">
        <v>1532</v>
      </c>
      <c r="G3387" s="407" t="s">
        <v>6034</v>
      </c>
      <c r="H3387" s="460" t="e">
        <v>#N/A</v>
      </c>
      <c r="I3387" s="460" t="e">
        <v>#N/A</v>
      </c>
      <c r="J3387" s="460" t="e">
        <v>#N/A</v>
      </c>
      <c r="K3387" s="460" t="e">
        <v>#N/A</v>
      </c>
      <c r="L3387" s="459" t="e">
        <v>#N/A</v>
      </c>
      <c r="O3387">
        <v>20.173999999999999</v>
      </c>
      <c r="P3387" t="s">
        <v>10136</v>
      </c>
    </row>
    <row r="3388" spans="1:16" ht="14.4" x14ac:dyDescent="0.3">
      <c r="A3388">
        <v>376055</v>
      </c>
      <c r="B3388" t="str">
        <f t="shared" si="104"/>
        <v/>
      </c>
      <c r="C3388" s="185" t="e">
        <f t="shared" si="105"/>
        <v>#N/A</v>
      </c>
      <c r="D3388" s="407" t="s">
        <v>1533</v>
      </c>
      <c r="E3388" s="407" t="s">
        <v>1962</v>
      </c>
      <c r="F3388" s="407" t="s">
        <v>6035</v>
      </c>
      <c r="G3388" s="407" t="s">
        <v>68</v>
      </c>
      <c r="H3388" s="460" t="e">
        <v>#N/A</v>
      </c>
      <c r="I3388" s="460" t="e">
        <v>#N/A</v>
      </c>
      <c r="J3388" s="460" t="e">
        <v>#N/A</v>
      </c>
      <c r="K3388" s="460" t="e">
        <v>#N/A</v>
      </c>
      <c r="L3388" s="459" t="e">
        <v>#N/A</v>
      </c>
      <c r="O3388">
        <v>21.67</v>
      </c>
      <c r="P3388" t="s">
        <v>10137</v>
      </c>
    </row>
    <row r="3389" spans="1:16" ht="14.4" x14ac:dyDescent="0.3">
      <c r="A3389">
        <v>376056</v>
      </c>
      <c r="B3389" t="str">
        <f t="shared" si="104"/>
        <v>SEVROLL 20392 Amortyzator Herakles 40kg</v>
      </c>
      <c r="C3389" s="185" t="e">
        <f t="shared" si="105"/>
        <v>#N/A</v>
      </c>
      <c r="D3389" s="407" t="s">
        <v>1534</v>
      </c>
      <c r="E3389" s="407" t="s">
        <v>1963</v>
      </c>
      <c r="F3389" s="407" t="s">
        <v>6036</v>
      </c>
      <c r="G3389" s="407" t="s">
        <v>6037</v>
      </c>
      <c r="H3389" s="460" t="e">
        <v>#N/A</v>
      </c>
      <c r="I3389" s="460" t="e">
        <v>#N/A</v>
      </c>
      <c r="J3389" s="460" t="e">
        <v>#N/A</v>
      </c>
      <c r="K3389" s="460" t="e">
        <v>#N/A</v>
      </c>
      <c r="L3389" s="459" t="e">
        <v>#N/A</v>
      </c>
      <c r="O3389" t="e">
        <v>#N/A</v>
      </c>
      <c r="P3389" t="e">
        <v>#N/A</v>
      </c>
    </row>
    <row r="3390" spans="1:16" ht="14.4" x14ac:dyDescent="0.3">
      <c r="A3390">
        <v>376057</v>
      </c>
      <c r="B3390" t="str">
        <f t="shared" si="104"/>
        <v>SEVROLL 20393 Amortyzator Herakles 40 - 80kg</v>
      </c>
      <c r="C3390" s="185" t="e">
        <f t="shared" si="105"/>
        <v>#N/A</v>
      </c>
      <c r="D3390" s="407" t="s">
        <v>1535</v>
      </c>
      <c r="E3390" s="407" t="s">
        <v>1964</v>
      </c>
      <c r="F3390" s="407" t="s">
        <v>6038</v>
      </c>
      <c r="G3390" s="407" t="s">
        <v>6039</v>
      </c>
      <c r="H3390" s="460" t="e">
        <v>#N/A</v>
      </c>
      <c r="I3390" s="460" t="e">
        <v>#N/A</v>
      </c>
      <c r="J3390" s="460" t="e">
        <v>#N/A</v>
      </c>
      <c r="K3390" s="460" t="e">
        <v>#N/A</v>
      </c>
      <c r="L3390" s="459" t="e">
        <v>#N/A</v>
      </c>
      <c r="O3390" t="e">
        <v>#N/A</v>
      </c>
      <c r="P3390" t="e">
        <v>#N/A</v>
      </c>
    </row>
    <row r="3391" spans="1:16" ht="14.4" x14ac:dyDescent="0.3">
      <c r="A3391">
        <v>376058</v>
      </c>
      <c r="B3391" t="str">
        <f t="shared" si="104"/>
        <v>SEVROLL 10216 Zestaw okuć Herakles ZPH-18 na 1 skrzydło</v>
      </c>
      <c r="C3391" s="185">
        <f t="shared" si="105"/>
        <v>65.520989999999998</v>
      </c>
      <c r="D3391" s="407" t="s">
        <v>1536</v>
      </c>
      <c r="E3391" s="407" t="s">
        <v>1965</v>
      </c>
      <c r="F3391" s="407" t="s">
        <v>6040</v>
      </c>
      <c r="G3391" s="407" t="s">
        <v>6041</v>
      </c>
      <c r="H3391" s="460">
        <v>509.14890000000003</v>
      </c>
      <c r="I3391" s="460">
        <v>19.20468</v>
      </c>
      <c r="J3391" s="460">
        <v>65.520989999999998</v>
      </c>
      <c r="K3391" s="460">
        <v>7246.6725800000004</v>
      </c>
      <c r="L3391" s="459" t="s">
        <v>539</v>
      </c>
      <c r="O3391">
        <v>17.094000000000001</v>
      </c>
      <c r="P3391" t="s">
        <v>10138</v>
      </c>
    </row>
    <row r="3392" spans="1:16" ht="14.4" x14ac:dyDescent="0.3">
      <c r="A3392">
        <v>376059</v>
      </c>
      <c r="B3392" t="str">
        <f t="shared" si="104"/>
        <v/>
      </c>
      <c r="C3392" s="185">
        <f t="shared" si="105"/>
        <v>6.39229</v>
      </c>
      <c r="D3392" s="407" t="s">
        <v>1537</v>
      </c>
      <c r="E3392" s="407" t="s">
        <v>1966</v>
      </c>
      <c r="F3392" s="407" t="s">
        <v>6042</v>
      </c>
      <c r="G3392" s="407" t="s">
        <v>68</v>
      </c>
      <c r="H3392" s="460">
        <v>49.67306</v>
      </c>
      <c r="I3392" s="460">
        <v>1.8736299999999999</v>
      </c>
      <c r="J3392" s="460">
        <v>6.39229</v>
      </c>
      <c r="K3392" s="460">
        <v>706.99252999999999</v>
      </c>
      <c r="L3392" s="459" t="s">
        <v>539</v>
      </c>
      <c r="O3392">
        <v>1.5840000000000001</v>
      </c>
      <c r="P3392" t="s">
        <v>10139</v>
      </c>
    </row>
    <row r="3393" spans="1:16" ht="14.4" x14ac:dyDescent="0.3">
      <c r="A3393">
        <v>377230</v>
      </c>
      <c r="B3393" t="str">
        <f t="shared" si="104"/>
        <v>V-SEVROLL Szpros S10 3m srebrny</v>
      </c>
      <c r="C3393" s="185" t="e">
        <f t="shared" si="105"/>
        <v>#N/A</v>
      </c>
      <c r="D3393" s="407" t="s">
        <v>1527</v>
      </c>
      <c r="E3393" s="407" t="s">
        <v>1957</v>
      </c>
      <c r="F3393" s="407" t="s">
        <v>2180</v>
      </c>
      <c r="G3393" s="407" t="s">
        <v>2474</v>
      </c>
      <c r="H3393" s="460" t="e">
        <v>#N/A</v>
      </c>
      <c r="I3393" s="460" t="e">
        <v>#N/A</v>
      </c>
      <c r="J3393" s="460" t="e">
        <v>#N/A</v>
      </c>
      <c r="K3393" s="460" t="e">
        <v>#N/A</v>
      </c>
      <c r="L3393" s="459" t="e">
        <v>#N/A</v>
      </c>
      <c r="O3393">
        <v>0</v>
      </c>
      <c r="P3393" t="s">
        <v>10117</v>
      </c>
    </row>
    <row r="3394" spans="1:16" ht="14.4" x14ac:dyDescent="0.3">
      <c r="A3394">
        <v>377236</v>
      </c>
      <c r="B3394" t="str">
        <f t="shared" si="104"/>
        <v>V-SEVROLL Szpros S20 3m srebrny</v>
      </c>
      <c r="C3394" s="185" t="e">
        <f t="shared" si="105"/>
        <v>#N/A</v>
      </c>
      <c r="D3394" s="407" t="s">
        <v>1528</v>
      </c>
      <c r="E3394" s="407" t="s">
        <v>1958</v>
      </c>
      <c r="F3394" s="407" t="s">
        <v>2181</v>
      </c>
      <c r="G3394" s="407" t="s">
        <v>2475</v>
      </c>
      <c r="H3394" s="460" t="e">
        <v>#N/A</v>
      </c>
      <c r="I3394" s="460" t="e">
        <v>#N/A</v>
      </c>
      <c r="J3394" s="460" t="e">
        <v>#N/A</v>
      </c>
      <c r="K3394" s="460" t="e">
        <v>#N/A</v>
      </c>
      <c r="L3394" s="459" t="e">
        <v>#N/A</v>
      </c>
      <c r="O3394">
        <v>0</v>
      </c>
      <c r="P3394" t="s">
        <v>10118</v>
      </c>
    </row>
    <row r="3395" spans="1:16" ht="14.4" x14ac:dyDescent="0.3">
      <c r="A3395">
        <v>378570</v>
      </c>
      <c r="B3395" t="str">
        <f t="shared" si="104"/>
        <v>SEVROLL 40265 Prosty szablon do wózków do laminatu 18mm</v>
      </c>
      <c r="C3395" s="185">
        <f t="shared" si="105"/>
        <v>20.175750000000001</v>
      </c>
      <c r="D3395" s="407" t="s">
        <v>1501</v>
      </c>
      <c r="E3395" s="407" t="s">
        <v>1931</v>
      </c>
      <c r="F3395" s="407" t="s">
        <v>6005</v>
      </c>
      <c r="G3395" s="407" t="s">
        <v>6006</v>
      </c>
      <c r="H3395" s="460">
        <v>115.8982</v>
      </c>
      <c r="I3395" s="460">
        <v>4.6192500000000001</v>
      </c>
      <c r="J3395" s="460">
        <v>20.175750000000001</v>
      </c>
      <c r="K3395" s="460">
        <v>1881.7835700000001</v>
      </c>
      <c r="L3395" s="459" t="s">
        <v>539</v>
      </c>
      <c r="O3395">
        <v>4.1689999999999996</v>
      </c>
      <c r="P3395" t="s">
        <v>10090</v>
      </c>
    </row>
    <row r="3396" spans="1:16" ht="14.4" x14ac:dyDescent="0.3">
      <c r="A3396">
        <v>378693</v>
      </c>
      <c r="B3396" t="str">
        <f t="shared" ref="B3396:B3459" si="106">IF($A$2=1,D3396,IF($A$2=2,F3396,IF($A$2=3,G3396,IF($A$2=4,E3396,IF($A$2&gt;4,P3396,"zadat jazyk")))))</f>
        <v/>
      </c>
      <c r="C3396" s="185" t="e">
        <f t="shared" ref="C3396:C3459" si="107">IF($A$2=1,H3396,IF($A$2=2,I3396,IF($A$2=3,J3396,IF($A$2=4,K3396,IF($A$2&gt;4,O3396,"zadat jazyk")))))</f>
        <v>#N/A</v>
      </c>
      <c r="D3396" s="407" t="s">
        <v>1502</v>
      </c>
      <c r="E3396" s="407" t="s">
        <v>68</v>
      </c>
      <c r="F3396" s="407" t="s">
        <v>68</v>
      </c>
      <c r="G3396" s="407" t="s">
        <v>68</v>
      </c>
      <c r="H3396" s="460" t="e">
        <v>#N/A</v>
      </c>
      <c r="I3396" s="460" t="e">
        <v>#N/A</v>
      </c>
      <c r="J3396" s="460" t="e">
        <v>#N/A</v>
      </c>
      <c r="K3396" s="460" t="e">
        <v>#N/A</v>
      </c>
      <c r="L3396" s="459" t="e">
        <v>#N/A</v>
      </c>
      <c r="O3396">
        <v>0</v>
      </c>
      <c r="P3396" t="s">
        <v>10091</v>
      </c>
    </row>
    <row r="3397" spans="1:16" ht="14.4" x14ac:dyDescent="0.3">
      <c r="A3397">
        <v>378694</v>
      </c>
      <c r="B3397" t="str">
        <f t="shared" si="106"/>
        <v/>
      </c>
      <c r="C3397" s="185" t="e">
        <f t="shared" si="107"/>
        <v>#N/A</v>
      </c>
      <c r="D3397" s="407" t="s">
        <v>1503</v>
      </c>
      <c r="E3397" s="407" t="s">
        <v>68</v>
      </c>
      <c r="F3397" s="407" t="s">
        <v>68</v>
      </c>
      <c r="G3397" s="407" t="s">
        <v>68</v>
      </c>
      <c r="H3397" s="460" t="e">
        <v>#N/A</v>
      </c>
      <c r="I3397" s="460" t="e">
        <v>#N/A</v>
      </c>
      <c r="J3397" s="460" t="e">
        <v>#N/A</v>
      </c>
      <c r="K3397" s="460" t="e">
        <v>#N/A</v>
      </c>
      <c r="L3397" s="459" t="e">
        <v>#N/A</v>
      </c>
      <c r="O3397">
        <v>0</v>
      </c>
      <c r="P3397" t="s">
        <v>10092</v>
      </c>
    </row>
    <row r="3398" spans="1:16" ht="14.4" x14ac:dyDescent="0.3">
      <c r="A3398">
        <v>378696</v>
      </c>
      <c r="B3398" t="str">
        <f t="shared" si="106"/>
        <v/>
      </c>
      <c r="C3398" s="185" t="e">
        <f t="shared" si="107"/>
        <v>#N/A</v>
      </c>
      <c r="D3398" s="407" t="s">
        <v>1504</v>
      </c>
      <c r="E3398" s="407" t="s">
        <v>68</v>
      </c>
      <c r="F3398" s="407" t="s">
        <v>68</v>
      </c>
      <c r="G3398" s="407" t="s">
        <v>68</v>
      </c>
      <c r="H3398" s="460" t="e">
        <v>#N/A</v>
      </c>
      <c r="I3398" s="460" t="e">
        <v>#N/A</v>
      </c>
      <c r="J3398" s="460" t="e">
        <v>#N/A</v>
      </c>
      <c r="K3398" s="460" t="e">
        <v>#N/A</v>
      </c>
      <c r="L3398" s="459" t="e">
        <v>#N/A</v>
      </c>
      <c r="O3398" t="e">
        <v>#N/A</v>
      </c>
      <c r="P3398" t="e">
        <v>#N/A</v>
      </c>
    </row>
    <row r="3399" spans="1:16" ht="14.4" x14ac:dyDescent="0.3">
      <c r="A3399">
        <v>379934</v>
      </c>
      <c r="B3399" t="str">
        <f t="shared" si="106"/>
        <v>SEVROLL zaślepka do toru Elegant II 3m, biała matowa</v>
      </c>
      <c r="C3399" s="185" t="e">
        <f t="shared" si="107"/>
        <v>#N/A</v>
      </c>
      <c r="D3399" s="407" t="s">
        <v>1337</v>
      </c>
      <c r="E3399" s="407" t="s">
        <v>1797</v>
      </c>
      <c r="F3399" s="407" t="s">
        <v>5803</v>
      </c>
      <c r="G3399" s="407" t="s">
        <v>5810</v>
      </c>
      <c r="H3399" s="460" t="e">
        <v>#N/A</v>
      </c>
      <c r="I3399" s="460" t="e">
        <v>#N/A</v>
      </c>
      <c r="J3399" s="460" t="e">
        <v>#N/A</v>
      </c>
      <c r="K3399" s="460" t="e">
        <v>#N/A</v>
      </c>
      <c r="L3399" s="459" t="e">
        <v>#N/A</v>
      </c>
      <c r="O3399" t="e">
        <v>#N/A</v>
      </c>
      <c r="P3399" t="e">
        <v>#N/A</v>
      </c>
    </row>
    <row r="3400" spans="1:16" ht="14.4" x14ac:dyDescent="0.3">
      <c r="A3400">
        <v>384363</v>
      </c>
      <c r="B3400" t="str">
        <f t="shared" si="106"/>
        <v>SEVROLL 219-043 mocowanie toru górnego do lamina 25 - 45 mm</v>
      </c>
      <c r="C3400" s="185" t="e">
        <f t="shared" si="107"/>
        <v>#N/A</v>
      </c>
      <c r="D3400" s="407" t="s">
        <v>1449</v>
      </c>
      <c r="E3400" s="407" t="s">
        <v>1881</v>
      </c>
      <c r="F3400" s="407" t="s">
        <v>5930</v>
      </c>
      <c r="G3400" s="407" t="s">
        <v>5931</v>
      </c>
      <c r="H3400" s="460" t="e">
        <v>#N/A</v>
      </c>
      <c r="I3400" s="460" t="e">
        <v>#N/A</v>
      </c>
      <c r="J3400" s="460" t="e">
        <v>#N/A</v>
      </c>
      <c r="K3400" s="460" t="e">
        <v>#N/A</v>
      </c>
      <c r="L3400" s="459" t="e">
        <v>#N/A</v>
      </c>
      <c r="O3400">
        <v>1.98</v>
      </c>
      <c r="P3400" t="s">
        <v>9963</v>
      </c>
    </row>
    <row r="3401" spans="1:16" ht="14.4" x14ac:dyDescent="0.3">
      <c r="A3401">
        <v>385004</v>
      </c>
      <c r="B3401" t="str">
        <f t="shared" si="106"/>
        <v/>
      </c>
      <c r="C3401" s="185" t="e">
        <f t="shared" si="107"/>
        <v>#N/A</v>
      </c>
      <c r="D3401" s="407" t="s">
        <v>1450</v>
      </c>
      <c r="E3401" s="407" t="s">
        <v>68</v>
      </c>
      <c r="F3401" s="407" t="s">
        <v>68</v>
      </c>
      <c r="G3401" s="407" t="s">
        <v>68</v>
      </c>
      <c r="H3401" s="460" t="e">
        <v>#N/A</v>
      </c>
      <c r="I3401" s="460" t="e">
        <v>#N/A</v>
      </c>
      <c r="J3401" s="460" t="e">
        <v>#N/A</v>
      </c>
      <c r="K3401" s="460" t="e">
        <v>#N/A</v>
      </c>
      <c r="L3401" s="459" t="e">
        <v>#N/A</v>
      </c>
      <c r="O3401">
        <v>0</v>
      </c>
      <c r="P3401" t="s">
        <v>9964</v>
      </c>
    </row>
    <row r="3402" spans="1:16" ht="14.4" x14ac:dyDescent="0.3">
      <c r="A3402">
        <v>385007</v>
      </c>
      <c r="B3402" t="str">
        <f t="shared" si="106"/>
        <v/>
      </c>
      <c r="C3402" s="185" t="e">
        <f t="shared" si="107"/>
        <v>#N/A</v>
      </c>
      <c r="D3402" s="407" t="s">
        <v>1451</v>
      </c>
      <c r="E3402" s="407" t="s">
        <v>68</v>
      </c>
      <c r="F3402" s="407" t="s">
        <v>68</v>
      </c>
      <c r="G3402" s="407" t="s">
        <v>68</v>
      </c>
      <c r="H3402" s="460" t="e">
        <v>#N/A</v>
      </c>
      <c r="I3402" s="460" t="e">
        <v>#N/A</v>
      </c>
      <c r="J3402" s="460" t="e">
        <v>#N/A</v>
      </c>
      <c r="K3402" s="460" t="e">
        <v>#N/A</v>
      </c>
      <c r="L3402" s="459" t="e">
        <v>#N/A</v>
      </c>
      <c r="O3402">
        <v>4.1580000000000004</v>
      </c>
      <c r="P3402" t="s">
        <v>8897</v>
      </c>
    </row>
    <row r="3403" spans="1:16" ht="14.4" x14ac:dyDescent="0.3">
      <c r="A3403">
        <v>385008</v>
      </c>
      <c r="B3403" t="str">
        <f t="shared" si="106"/>
        <v/>
      </c>
      <c r="C3403" s="185" t="e">
        <f t="shared" si="107"/>
        <v>#N/A</v>
      </c>
      <c r="D3403" s="407" t="s">
        <v>1294</v>
      </c>
      <c r="E3403" s="407" t="s">
        <v>1747</v>
      </c>
      <c r="F3403" s="407" t="s">
        <v>68</v>
      </c>
      <c r="G3403" s="407" t="s">
        <v>68</v>
      </c>
      <c r="H3403" s="460" t="e">
        <v>#N/A</v>
      </c>
      <c r="I3403" s="460" t="e">
        <v>#N/A</v>
      </c>
      <c r="J3403" s="460" t="e">
        <v>#N/A</v>
      </c>
      <c r="K3403" s="460" t="e">
        <v>#N/A</v>
      </c>
      <c r="L3403" s="459" t="e">
        <v>#N/A</v>
      </c>
      <c r="O3403">
        <v>0</v>
      </c>
      <c r="P3403" t="s">
        <v>9588</v>
      </c>
    </row>
    <row r="3404" spans="1:16" ht="14.4" x14ac:dyDescent="0.3">
      <c r="A3404">
        <v>387397</v>
      </c>
      <c r="B3404" t="str">
        <f t="shared" si="106"/>
        <v/>
      </c>
      <c r="C3404" s="185" t="e">
        <f t="shared" si="107"/>
        <v>#N/A</v>
      </c>
      <c r="D3404" s="407" t="s">
        <v>1294</v>
      </c>
      <c r="E3404" s="407" t="s">
        <v>1747</v>
      </c>
      <c r="F3404" s="407" t="s">
        <v>68</v>
      </c>
      <c r="G3404" s="407" t="s">
        <v>68</v>
      </c>
      <c r="H3404" s="460" t="e">
        <v>#N/A</v>
      </c>
      <c r="I3404" s="460" t="e">
        <v>#N/A</v>
      </c>
      <c r="J3404" s="460" t="e">
        <v>#N/A</v>
      </c>
      <c r="K3404" s="460" t="e">
        <v>#N/A</v>
      </c>
      <c r="L3404" s="459" t="e">
        <v>#N/A</v>
      </c>
      <c r="O3404">
        <v>0</v>
      </c>
      <c r="P3404" t="s">
        <v>9588</v>
      </c>
    </row>
    <row r="3405" spans="1:16" ht="14.4" x14ac:dyDescent="0.3">
      <c r="A3405">
        <v>387402</v>
      </c>
      <c r="B3405" t="str">
        <f t="shared" si="106"/>
        <v/>
      </c>
      <c r="C3405" s="185" t="e">
        <f t="shared" si="107"/>
        <v>#N/A</v>
      </c>
      <c r="D3405" s="407" t="s">
        <v>1418</v>
      </c>
      <c r="E3405" s="407" t="s">
        <v>1863</v>
      </c>
      <c r="F3405" s="407" t="s">
        <v>68</v>
      </c>
      <c r="G3405" s="407" t="s">
        <v>68</v>
      </c>
      <c r="H3405" s="460" t="e">
        <v>#N/A</v>
      </c>
      <c r="I3405" s="460" t="e">
        <v>#N/A</v>
      </c>
      <c r="J3405" s="460" t="e">
        <v>#N/A</v>
      </c>
      <c r="K3405" s="460" t="e">
        <v>#N/A</v>
      </c>
      <c r="L3405" s="459" t="e">
        <v>#N/A</v>
      </c>
      <c r="O3405">
        <v>0</v>
      </c>
      <c r="P3405" t="s">
        <v>9912</v>
      </c>
    </row>
    <row r="3406" spans="1:16" ht="14.4" x14ac:dyDescent="0.3">
      <c r="A3406">
        <v>387424</v>
      </c>
      <c r="B3406" t="str">
        <f t="shared" si="106"/>
        <v>SEVROLL klip do mocowanie toru dolnego Gemini</v>
      </c>
      <c r="C3406" s="185">
        <f t="shared" si="107"/>
        <v>0.80537000000000003</v>
      </c>
      <c r="D3406" s="407" t="s">
        <v>1264</v>
      </c>
      <c r="E3406" s="407" t="s">
        <v>1265</v>
      </c>
      <c r="F3406" s="407" t="s">
        <v>5737</v>
      </c>
      <c r="G3406" s="407" t="s">
        <v>1266</v>
      </c>
      <c r="H3406" s="460">
        <v>6.5137299999999998</v>
      </c>
      <c r="I3406" s="460">
        <v>0.23419999999999999</v>
      </c>
      <c r="J3406" s="460">
        <v>0.80537000000000003</v>
      </c>
      <c r="K3406" s="460">
        <v>90.141710000000003</v>
      </c>
      <c r="L3406" s="459" t="s">
        <v>538</v>
      </c>
      <c r="O3406">
        <v>0.19800000000000001</v>
      </c>
      <c r="P3406" t="s">
        <v>9543</v>
      </c>
    </row>
    <row r="3407" spans="1:16" ht="14.4" x14ac:dyDescent="0.3">
      <c r="A3407">
        <v>388128</v>
      </c>
      <c r="B3407" t="str">
        <f t="shared" si="106"/>
        <v>SEVROLL 00884 Comfort Tor dolny 2,35 m srebrny</v>
      </c>
      <c r="C3407" s="185" t="e">
        <f t="shared" si="107"/>
        <v>#N/A</v>
      </c>
      <c r="D3407" s="407" t="s">
        <v>1419</v>
      </c>
      <c r="E3407" s="407" t="s">
        <v>1864</v>
      </c>
      <c r="F3407" s="407" t="s">
        <v>5885</v>
      </c>
      <c r="G3407" s="407" t="s">
        <v>5886</v>
      </c>
      <c r="H3407" s="460" t="e">
        <v>#N/A</v>
      </c>
      <c r="I3407" s="460" t="e">
        <v>#N/A</v>
      </c>
      <c r="J3407" s="460" t="e">
        <v>#N/A</v>
      </c>
      <c r="K3407" s="460" t="e">
        <v>#N/A</v>
      </c>
      <c r="L3407" s="459" t="e">
        <v>#N/A</v>
      </c>
      <c r="O3407">
        <v>19.756</v>
      </c>
      <c r="P3407" t="s">
        <v>9915</v>
      </c>
    </row>
    <row r="3408" spans="1:16" ht="14.4" x14ac:dyDescent="0.3">
      <c r="A3408">
        <v>388130</v>
      </c>
      <c r="B3408" t="str">
        <f t="shared" si="106"/>
        <v>SEVROLL 00885 Comfort Tor dolny 3m srebrny</v>
      </c>
      <c r="C3408" s="185">
        <f t="shared" si="107"/>
        <v>100.9392</v>
      </c>
      <c r="D3408" s="407" t="s">
        <v>1420</v>
      </c>
      <c r="E3408" s="407" t="s">
        <v>1865</v>
      </c>
      <c r="F3408" s="407" t="s">
        <v>5887</v>
      </c>
      <c r="G3408" s="407" t="s">
        <v>5888</v>
      </c>
      <c r="H3408" s="460">
        <v>749.07916999999998</v>
      </c>
      <c r="I3408" s="460">
        <v>26.933389999999999</v>
      </c>
      <c r="J3408" s="460">
        <v>100.9392</v>
      </c>
      <c r="K3408" s="460">
        <v>10366.276830000001</v>
      </c>
      <c r="L3408" s="459" t="s">
        <v>539</v>
      </c>
      <c r="O3408">
        <v>25.212</v>
      </c>
      <c r="P3408" t="s">
        <v>9916</v>
      </c>
    </row>
    <row r="3409" spans="1:16" ht="14.4" x14ac:dyDescent="0.3">
      <c r="A3409">
        <v>388131</v>
      </c>
      <c r="B3409" t="str">
        <f t="shared" si="106"/>
        <v>SEVROLL 01495 Comfort Tor dolny 4,05 m srebrny</v>
      </c>
      <c r="C3409" s="185" t="e">
        <f t="shared" si="107"/>
        <v>#N/A</v>
      </c>
      <c r="D3409" s="407" t="s">
        <v>1421</v>
      </c>
      <c r="E3409" s="407" t="s">
        <v>1866</v>
      </c>
      <c r="F3409" s="407" t="s">
        <v>5889</v>
      </c>
      <c r="G3409" s="407" t="s">
        <v>5890</v>
      </c>
      <c r="H3409" s="460" t="e">
        <v>#N/A</v>
      </c>
      <c r="I3409" s="460" t="e">
        <v>#N/A</v>
      </c>
      <c r="J3409" s="460" t="e">
        <v>#N/A</v>
      </c>
      <c r="K3409" s="460" t="e">
        <v>#N/A</v>
      </c>
      <c r="L3409" s="459" t="e">
        <v>#N/A</v>
      </c>
      <c r="O3409">
        <v>34.078000000000003</v>
      </c>
      <c r="P3409" t="s">
        <v>9917</v>
      </c>
    </row>
    <row r="3410" spans="1:16" ht="14.4" x14ac:dyDescent="0.3">
      <c r="A3410">
        <v>388133</v>
      </c>
      <c r="B3410" t="str">
        <f t="shared" si="106"/>
        <v/>
      </c>
      <c r="C3410" s="185" t="e">
        <f t="shared" si="107"/>
        <v>#N/A</v>
      </c>
      <c r="D3410" s="407" t="s">
        <v>1422</v>
      </c>
      <c r="E3410" s="407" t="s">
        <v>1867</v>
      </c>
      <c r="F3410" s="407" t="s">
        <v>68</v>
      </c>
      <c r="G3410" s="407" t="s">
        <v>68</v>
      </c>
      <c r="H3410" s="460" t="e">
        <v>#N/A</v>
      </c>
      <c r="I3410" s="460" t="e">
        <v>#N/A</v>
      </c>
      <c r="J3410" s="460" t="e">
        <v>#N/A</v>
      </c>
      <c r="K3410" s="460" t="e">
        <v>#N/A</v>
      </c>
      <c r="L3410" s="459" t="e">
        <v>#N/A</v>
      </c>
      <c r="O3410">
        <v>0</v>
      </c>
      <c r="P3410" t="s">
        <v>9918</v>
      </c>
    </row>
    <row r="3411" spans="1:16" ht="14.4" x14ac:dyDescent="0.3">
      <c r="A3411">
        <v>388134</v>
      </c>
      <c r="B3411" t="str">
        <f t="shared" si="106"/>
        <v/>
      </c>
      <c r="C3411" s="185" t="e">
        <f t="shared" si="107"/>
        <v>#N/A</v>
      </c>
      <c r="D3411" s="407" t="s">
        <v>1423</v>
      </c>
      <c r="E3411" s="407" t="s">
        <v>1868</v>
      </c>
      <c r="F3411" s="407" t="s">
        <v>68</v>
      </c>
      <c r="G3411" s="407" t="s">
        <v>68</v>
      </c>
      <c r="H3411" s="460" t="e">
        <v>#N/A</v>
      </c>
      <c r="I3411" s="460" t="e">
        <v>#N/A</v>
      </c>
      <c r="J3411" s="460" t="e">
        <v>#N/A</v>
      </c>
      <c r="K3411" s="460" t="e">
        <v>#N/A</v>
      </c>
      <c r="L3411" s="459" t="e">
        <v>#N/A</v>
      </c>
      <c r="O3411">
        <v>0</v>
      </c>
      <c r="P3411" t="s">
        <v>9919</v>
      </c>
    </row>
    <row r="3412" spans="1:16" ht="14.4" x14ac:dyDescent="0.3">
      <c r="A3412">
        <v>388462</v>
      </c>
      <c r="B3412" t="str">
        <f t="shared" si="106"/>
        <v>SEVROLL 222883 gąbka do usuwania drobnych zarysowań na srebrnych alu profilach</v>
      </c>
      <c r="C3412" s="185" t="e">
        <f t="shared" si="107"/>
        <v>#N/A</v>
      </c>
      <c r="D3412" s="407" t="s">
        <v>1407</v>
      </c>
      <c r="E3412" s="407" t="s">
        <v>1851</v>
      </c>
      <c r="F3412" s="407" t="s">
        <v>68</v>
      </c>
      <c r="G3412" s="407" t="s">
        <v>5863</v>
      </c>
      <c r="H3412" s="460" t="e">
        <v>#N/A</v>
      </c>
      <c r="I3412" s="460" t="e">
        <v>#N/A</v>
      </c>
      <c r="J3412" s="460" t="e">
        <v>#N/A</v>
      </c>
      <c r="K3412" s="460" t="e">
        <v>#N/A</v>
      </c>
      <c r="L3412" s="459" t="e">
        <v>#N/A</v>
      </c>
      <c r="O3412">
        <v>8.7560000000000002</v>
      </c>
      <c r="P3412" t="s">
        <v>9870</v>
      </c>
    </row>
    <row r="3413" spans="1:16" ht="14.4" x14ac:dyDescent="0.3">
      <c r="A3413">
        <v>391700</v>
      </c>
      <c r="B3413" t="str">
        <f t="shared" si="106"/>
        <v>SEVROLL Micra V komplet okuć dla 1 skrzydła</v>
      </c>
      <c r="C3413" s="185">
        <f t="shared" si="107"/>
        <v>25.214400000000001</v>
      </c>
      <c r="D3413" s="407" t="s">
        <v>1363</v>
      </c>
      <c r="E3413" s="407" t="s">
        <v>1813</v>
      </c>
      <c r="F3413" s="407" t="s">
        <v>5832</v>
      </c>
      <c r="G3413" s="407" t="s">
        <v>5833</v>
      </c>
      <c r="H3413" s="460">
        <v>176.59450000000001</v>
      </c>
      <c r="I3413" s="460">
        <v>6.3495100000000004</v>
      </c>
      <c r="J3413" s="460">
        <v>25.214400000000001</v>
      </c>
      <c r="K3413" s="460">
        <v>2443.8374100000001</v>
      </c>
      <c r="L3413" s="459" t="s">
        <v>538</v>
      </c>
      <c r="O3413">
        <v>5.9619999999999997</v>
      </c>
      <c r="P3413" t="s">
        <v>9704</v>
      </c>
    </row>
    <row r="3414" spans="1:16" ht="14.4" x14ac:dyDescent="0.3">
      <c r="A3414">
        <v>393278</v>
      </c>
      <c r="B3414" t="str">
        <f t="shared" si="106"/>
        <v>SEVROLL Maxim tor górny 1,8m srebrny</v>
      </c>
      <c r="C3414" s="185" t="e">
        <f t="shared" si="107"/>
        <v>#N/A</v>
      </c>
      <c r="D3414" s="407" t="s">
        <v>1358</v>
      </c>
      <c r="E3414" s="407" t="s">
        <v>1810</v>
      </c>
      <c r="F3414" s="407" t="s">
        <v>2152</v>
      </c>
      <c r="G3414" s="407" t="s">
        <v>2375</v>
      </c>
      <c r="H3414" s="460" t="e">
        <v>#N/A</v>
      </c>
      <c r="I3414" s="460" t="e">
        <v>#N/A</v>
      </c>
      <c r="J3414" s="460" t="e">
        <v>#N/A</v>
      </c>
      <c r="K3414" s="460" t="e">
        <v>#N/A</v>
      </c>
      <c r="L3414" s="459" t="e">
        <v>#N/A</v>
      </c>
      <c r="O3414">
        <v>15.773999999999999</v>
      </c>
      <c r="P3414" t="s">
        <v>9697</v>
      </c>
    </row>
    <row r="3415" spans="1:16" ht="14.4" x14ac:dyDescent="0.3">
      <c r="A3415">
        <v>393279</v>
      </c>
      <c r="B3415" t="str">
        <f t="shared" si="106"/>
        <v>SEVROLL Maxim maskownica dolna 1,8m 18mm srebrny</v>
      </c>
      <c r="C3415" s="185" t="e">
        <f t="shared" si="107"/>
        <v>#N/A</v>
      </c>
      <c r="D3415" s="407" t="s">
        <v>1359</v>
      </c>
      <c r="E3415" s="407" t="s">
        <v>1811</v>
      </c>
      <c r="F3415" s="407" t="s">
        <v>2159</v>
      </c>
      <c r="G3415" s="407" t="s">
        <v>2376</v>
      </c>
      <c r="H3415" s="460" t="e">
        <v>#N/A</v>
      </c>
      <c r="I3415" s="460" t="e">
        <v>#N/A</v>
      </c>
      <c r="J3415" s="460" t="e">
        <v>#N/A</v>
      </c>
      <c r="K3415" s="460" t="e">
        <v>#N/A</v>
      </c>
      <c r="L3415" s="459" t="e">
        <v>#N/A</v>
      </c>
      <c r="O3415" t="e">
        <v>#N/A</v>
      </c>
      <c r="P3415" t="e">
        <v>#N/A</v>
      </c>
    </row>
    <row r="3416" spans="1:16" ht="14.4" x14ac:dyDescent="0.3">
      <c r="A3416">
        <v>394231</v>
      </c>
      <c r="B3416" t="str">
        <f t="shared" si="106"/>
        <v>SEVROLL dolna listwa maskująca Simple/Blue 2m(do lam.18mm) biały błyszczący</v>
      </c>
      <c r="C3416" s="185">
        <f t="shared" si="107"/>
        <v>85.189250000000001</v>
      </c>
      <c r="D3416" s="407" t="s">
        <v>1481</v>
      </c>
      <c r="E3416" s="407" t="s">
        <v>1911</v>
      </c>
      <c r="F3416" s="407" t="s">
        <v>5983</v>
      </c>
      <c r="G3416" s="407" t="s">
        <v>2437</v>
      </c>
      <c r="H3416" s="460">
        <v>476.81455</v>
      </c>
      <c r="I3416" s="460">
        <v>17.331050000000001</v>
      </c>
      <c r="J3416" s="460">
        <v>85.189250000000001</v>
      </c>
      <c r="K3416" s="460">
        <v>6775.10851</v>
      </c>
      <c r="L3416" s="459" t="s">
        <v>539</v>
      </c>
      <c r="O3416">
        <v>16.521999999999998</v>
      </c>
      <c r="P3416" t="s">
        <v>10069</v>
      </c>
    </row>
    <row r="3417" spans="1:16" ht="14.4" x14ac:dyDescent="0.3">
      <c r="A3417">
        <v>394265</v>
      </c>
      <c r="B3417" t="str">
        <f t="shared" si="106"/>
        <v>SEVROLL maskownica dolna Simple/Blue 3m (do płyty laminowanej 18mm) biały połysk</v>
      </c>
      <c r="C3417" s="185">
        <f t="shared" si="107"/>
        <v>127.83893999999999</v>
      </c>
      <c r="D3417" s="407" t="s">
        <v>1482</v>
      </c>
      <c r="E3417" s="407" t="s">
        <v>1912</v>
      </c>
      <c r="F3417" s="407" t="s">
        <v>5984</v>
      </c>
      <c r="G3417" s="407" t="s">
        <v>2438</v>
      </c>
      <c r="H3417" s="460">
        <v>714.50588000000005</v>
      </c>
      <c r="I3417" s="460">
        <v>25.970549999999999</v>
      </c>
      <c r="J3417" s="460">
        <v>127.83893999999999</v>
      </c>
      <c r="K3417" s="460">
        <v>10152.490110000001</v>
      </c>
      <c r="L3417" s="459" t="s">
        <v>539</v>
      </c>
      <c r="O3417">
        <v>24.398</v>
      </c>
      <c r="P3417" t="s">
        <v>10070</v>
      </c>
    </row>
    <row r="3418" spans="1:16" ht="14.4" x14ac:dyDescent="0.3">
      <c r="A3418">
        <v>394267</v>
      </c>
      <c r="B3418" t="str">
        <f t="shared" si="106"/>
        <v>SEVROLL górna listwa prowadząca Simple/Blue 2m (do lam. 18mm)biały błyszczący</v>
      </c>
      <c r="C3418" s="185">
        <f t="shared" si="107"/>
        <v>44.207169999999998</v>
      </c>
      <c r="D3418" s="407" t="s">
        <v>1483</v>
      </c>
      <c r="E3418" s="407" t="s">
        <v>1913</v>
      </c>
      <c r="F3418" s="407" t="s">
        <v>5985</v>
      </c>
      <c r="G3418" s="407" t="s">
        <v>2439</v>
      </c>
      <c r="H3418" s="460">
        <v>243.41883999999999</v>
      </c>
      <c r="I3418" s="460">
        <v>8.8476800000000004</v>
      </c>
      <c r="J3418" s="460">
        <v>44.207169999999998</v>
      </c>
      <c r="K3418" s="460">
        <v>3458.7641899999999</v>
      </c>
      <c r="L3418" s="459" t="s">
        <v>538</v>
      </c>
      <c r="O3418">
        <v>8.5139999999999993</v>
      </c>
      <c r="P3418" t="s">
        <v>10071</v>
      </c>
    </row>
    <row r="3419" spans="1:16" ht="14.4" x14ac:dyDescent="0.3">
      <c r="A3419">
        <v>394270</v>
      </c>
      <c r="B3419" t="str">
        <f t="shared" si="106"/>
        <v>SEVROLL tor dolny Simple/Blue 3m (do płyty laminowanej 18mm) srebrny</v>
      </c>
      <c r="C3419" s="185">
        <f t="shared" si="107"/>
        <v>66.326480000000004</v>
      </c>
      <c r="D3419" s="407" t="s">
        <v>1484</v>
      </c>
      <c r="E3419" s="407" t="s">
        <v>1914</v>
      </c>
      <c r="F3419" s="407" t="s">
        <v>5986</v>
      </c>
      <c r="G3419" s="407" t="s">
        <v>2381</v>
      </c>
      <c r="H3419" s="460">
        <v>365.12824999999998</v>
      </c>
      <c r="I3419" s="460">
        <v>13.27153</v>
      </c>
      <c r="J3419" s="460">
        <v>66.326480000000004</v>
      </c>
      <c r="K3419" s="460">
        <v>5188.1462799999999</v>
      </c>
      <c r="L3419" s="459" t="s">
        <v>539</v>
      </c>
      <c r="O3419">
        <v>12.474</v>
      </c>
      <c r="P3419" t="s">
        <v>10072</v>
      </c>
    </row>
    <row r="3420" spans="1:16" ht="14.4" x14ac:dyDescent="0.3">
      <c r="A3420">
        <v>394273</v>
      </c>
      <c r="B3420" t="str">
        <f t="shared" si="106"/>
        <v>SEVROLL listwa łącząca Simple/Blue H21 3m (do płyty laminowanej 18mm) biały poły</v>
      </c>
      <c r="C3420" s="185">
        <f t="shared" si="107"/>
        <v>61.339410000000001</v>
      </c>
      <c r="D3420" s="407" t="s">
        <v>1485</v>
      </c>
      <c r="E3420" s="407" t="s">
        <v>1915</v>
      </c>
      <c r="F3420" s="407" t="s">
        <v>5987</v>
      </c>
      <c r="G3420" s="407" t="s">
        <v>2440</v>
      </c>
      <c r="H3420" s="460">
        <v>408.80045000000001</v>
      </c>
      <c r="I3420" s="460">
        <v>14.8589</v>
      </c>
      <c r="J3420" s="460">
        <v>61.339410000000001</v>
      </c>
      <c r="K3420" s="460">
        <v>5808.6891100000003</v>
      </c>
      <c r="L3420" s="459" t="s">
        <v>538</v>
      </c>
      <c r="O3420">
        <v>13.882</v>
      </c>
      <c r="P3420" t="s">
        <v>10073</v>
      </c>
    </row>
    <row r="3421" spans="1:16" ht="14.4" x14ac:dyDescent="0.3">
      <c r="A3421">
        <v>394281</v>
      </c>
      <c r="B3421" t="str">
        <f t="shared" si="106"/>
        <v>SEVROLL listwa łącząca Simple/Blue H28 3m (do płyty laminowanej 18mm) biały poły</v>
      </c>
      <c r="C3421" s="185">
        <f t="shared" si="107"/>
        <v>93.29128</v>
      </c>
      <c r="D3421" s="407" t="s">
        <v>1486</v>
      </c>
      <c r="E3421" s="407" t="s">
        <v>1916</v>
      </c>
      <c r="F3421" s="407" t="s">
        <v>5988</v>
      </c>
      <c r="G3421" s="407" t="s">
        <v>2441</v>
      </c>
      <c r="H3421" s="460">
        <v>708.06244000000004</v>
      </c>
      <c r="I3421" s="460">
        <v>25.736350000000002</v>
      </c>
      <c r="J3421" s="460">
        <v>93.29128</v>
      </c>
      <c r="K3421" s="460">
        <v>10060.93482</v>
      </c>
      <c r="L3421" s="459" t="s">
        <v>538</v>
      </c>
      <c r="O3421">
        <v>24.178000000000001</v>
      </c>
      <c r="P3421" t="s">
        <v>10074</v>
      </c>
    </row>
    <row r="3422" spans="1:16" ht="14.4" x14ac:dyDescent="0.3">
      <c r="A3422">
        <v>394283</v>
      </c>
      <c r="B3422" t="str">
        <f t="shared" si="106"/>
        <v>SEVROLL Blue-V tor dolny 2m  biały połysk</v>
      </c>
      <c r="C3422" s="185">
        <f t="shared" si="107"/>
        <v>44.993769999999998</v>
      </c>
      <c r="D3422" s="407" t="s">
        <v>1487</v>
      </c>
      <c r="E3422" s="407" t="s">
        <v>1917</v>
      </c>
      <c r="F3422" s="407" t="s">
        <v>5989</v>
      </c>
      <c r="G3422" s="407" t="s">
        <v>2442</v>
      </c>
      <c r="H3422" s="460">
        <v>288.52291000000002</v>
      </c>
      <c r="I3422" s="460">
        <v>10.487109999999999</v>
      </c>
      <c r="J3422" s="460">
        <v>44.993769999999998</v>
      </c>
      <c r="K3422" s="460">
        <v>4099.6527800000003</v>
      </c>
      <c r="L3422" s="459" t="s">
        <v>538</v>
      </c>
      <c r="O3422">
        <v>11.263999999999999</v>
      </c>
      <c r="P3422" t="s">
        <v>10075</v>
      </c>
    </row>
    <row r="3423" spans="1:16" ht="14.4" x14ac:dyDescent="0.3">
      <c r="A3423">
        <v>394284</v>
      </c>
      <c r="B3423" t="str">
        <f t="shared" si="106"/>
        <v>SEVROLL Blue-V tor dolny 3m biały połysk</v>
      </c>
      <c r="C3423" s="185">
        <f t="shared" si="107"/>
        <v>67.490650000000002</v>
      </c>
      <c r="D3423" s="407" t="s">
        <v>1488</v>
      </c>
      <c r="E3423" s="407" t="s">
        <v>1918</v>
      </c>
      <c r="F3423" s="407" t="s">
        <v>5990</v>
      </c>
      <c r="G3423" s="407" t="s">
        <v>2443</v>
      </c>
      <c r="H3423" s="460">
        <v>433.14235000000002</v>
      </c>
      <c r="I3423" s="460">
        <v>15.74367</v>
      </c>
      <c r="J3423" s="460">
        <v>67.490650000000002</v>
      </c>
      <c r="K3423" s="460">
        <v>6154.5656900000004</v>
      </c>
      <c r="L3423" s="459" t="s">
        <v>538</v>
      </c>
      <c r="O3423">
        <v>16.478000000000002</v>
      </c>
      <c r="P3423" t="s">
        <v>10076</v>
      </c>
    </row>
    <row r="3424" spans="1:16" ht="14.4" x14ac:dyDescent="0.3">
      <c r="A3424">
        <v>394285</v>
      </c>
      <c r="B3424" t="str">
        <f t="shared" si="106"/>
        <v>SEVROLL Blue-V tor dolny 6m biały połysk</v>
      </c>
      <c r="C3424" s="185">
        <f t="shared" si="107"/>
        <v>0</v>
      </c>
      <c r="D3424" s="407" t="s">
        <v>1489</v>
      </c>
      <c r="E3424" s="407" t="s">
        <v>1919</v>
      </c>
      <c r="F3424" s="407" t="s">
        <v>5991</v>
      </c>
      <c r="G3424" s="407" t="s">
        <v>2444</v>
      </c>
      <c r="H3424" s="460">
        <v>865.56874000000005</v>
      </c>
      <c r="I3424" s="460">
        <v>31.461320000000001</v>
      </c>
      <c r="J3424" s="460">
        <v>0</v>
      </c>
      <c r="K3424" s="460">
        <v>12298.958689999999</v>
      </c>
      <c r="L3424" s="459" t="s">
        <v>539</v>
      </c>
      <c r="O3424">
        <v>33.198</v>
      </c>
      <c r="P3424" t="s">
        <v>10077</v>
      </c>
    </row>
    <row r="3425" spans="1:16" ht="14.4" x14ac:dyDescent="0.3">
      <c r="A3425">
        <v>394287</v>
      </c>
      <c r="B3425" t="str">
        <f t="shared" si="106"/>
        <v>SEVROLL Blue tor gótny 2m biały błyszczący</v>
      </c>
      <c r="C3425" s="185">
        <f t="shared" si="107"/>
        <v>66.342209999999994</v>
      </c>
      <c r="D3425" s="407" t="s">
        <v>1490</v>
      </c>
      <c r="E3425" s="407" t="s">
        <v>1920</v>
      </c>
      <c r="F3425" s="407" t="s">
        <v>5992</v>
      </c>
      <c r="G3425" s="407" t="s">
        <v>2445</v>
      </c>
      <c r="H3425" s="460">
        <v>539.81704999999999</v>
      </c>
      <c r="I3425" s="460">
        <v>19.621040000000001</v>
      </c>
      <c r="J3425" s="460">
        <v>66.342209999999994</v>
      </c>
      <c r="K3425" s="460">
        <v>7670.3183900000004</v>
      </c>
      <c r="L3425" s="459" t="s">
        <v>538</v>
      </c>
      <c r="O3425">
        <v>19.602</v>
      </c>
      <c r="P3425" t="s">
        <v>10078</v>
      </c>
    </row>
    <row r="3426" spans="1:16" ht="14.4" x14ac:dyDescent="0.3">
      <c r="A3426">
        <v>394289</v>
      </c>
      <c r="B3426" t="str">
        <f t="shared" si="106"/>
        <v>SEVROLL Blue tor górny 3m biały połysk</v>
      </c>
      <c r="C3426" s="185">
        <f t="shared" si="107"/>
        <v>99.55265</v>
      </c>
      <c r="D3426" s="407" t="s">
        <v>1491</v>
      </c>
      <c r="E3426" s="407" t="s">
        <v>1921</v>
      </c>
      <c r="F3426" s="407" t="s">
        <v>5993</v>
      </c>
      <c r="G3426" s="407" t="s">
        <v>2446</v>
      </c>
      <c r="H3426" s="460">
        <v>809.72559000000001</v>
      </c>
      <c r="I3426" s="460">
        <v>29.431560000000001</v>
      </c>
      <c r="J3426" s="460">
        <v>99.55265</v>
      </c>
      <c r="K3426" s="460">
        <v>11505.47718</v>
      </c>
      <c r="L3426" s="459" t="s">
        <v>539</v>
      </c>
      <c r="O3426">
        <v>29.062000000000001</v>
      </c>
      <c r="P3426" t="s">
        <v>10079</v>
      </c>
    </row>
    <row r="3427" spans="1:16" ht="14.4" x14ac:dyDescent="0.3">
      <c r="A3427">
        <v>394290</v>
      </c>
      <c r="B3427" t="str">
        <f t="shared" si="106"/>
        <v>SEVROLL Blue tor górny 6m biały połysk</v>
      </c>
      <c r="C3427" s="185">
        <f t="shared" si="107"/>
        <v>0</v>
      </c>
      <c r="D3427" s="407" t="s">
        <v>1492</v>
      </c>
      <c r="E3427" s="407" t="s">
        <v>1922</v>
      </c>
      <c r="F3427" s="407" t="s">
        <v>5994</v>
      </c>
      <c r="G3427" s="407" t="s">
        <v>2447</v>
      </c>
      <c r="H3427" s="460">
        <v>1619.45119</v>
      </c>
      <c r="I3427" s="460">
        <v>58.863120000000002</v>
      </c>
      <c r="J3427" s="460">
        <v>0</v>
      </c>
      <c r="K3427" s="460">
        <v>23010.95477</v>
      </c>
      <c r="L3427" s="459" t="s">
        <v>539</v>
      </c>
      <c r="O3427">
        <v>58.3</v>
      </c>
      <c r="P3427" t="s">
        <v>10080</v>
      </c>
    </row>
    <row r="3428" spans="1:16" ht="14.4" x14ac:dyDescent="0.3">
      <c r="A3428">
        <v>394690</v>
      </c>
      <c r="B3428" t="str">
        <f t="shared" si="106"/>
        <v>SEVROLL 04920 Lynx Rączka 2,7m srebrna</v>
      </c>
      <c r="C3428" s="185">
        <f t="shared" si="107"/>
        <v>80.671800000000005</v>
      </c>
      <c r="D3428" s="407" t="s">
        <v>1493</v>
      </c>
      <c r="E3428" s="407" t="s">
        <v>1923</v>
      </c>
      <c r="F3428" s="407" t="s">
        <v>5995</v>
      </c>
      <c r="G3428" s="407" t="s">
        <v>5996</v>
      </c>
      <c r="H3428" s="460">
        <v>626.76576</v>
      </c>
      <c r="I3428" s="460">
        <v>22.561589999999999</v>
      </c>
      <c r="J3428" s="460">
        <v>80.671800000000005</v>
      </c>
      <c r="K3428" s="460">
        <v>8673.6189099999992</v>
      </c>
      <c r="L3428" s="459" t="s">
        <v>539</v>
      </c>
      <c r="O3428">
        <v>21.648</v>
      </c>
      <c r="P3428" t="s">
        <v>10081</v>
      </c>
    </row>
    <row r="3429" spans="1:16" ht="14.4" x14ac:dyDescent="0.3">
      <c r="A3429">
        <v>394691</v>
      </c>
      <c r="B3429" t="str">
        <f t="shared" si="106"/>
        <v>SEVROLL Rączka Lynx 2,7m oliwka</v>
      </c>
      <c r="C3429" s="185" t="e">
        <f t="shared" si="107"/>
        <v>#N/A</v>
      </c>
      <c r="D3429" s="407" t="s">
        <v>1494</v>
      </c>
      <c r="E3429" s="407" t="s">
        <v>1924</v>
      </c>
      <c r="F3429" s="407" t="s">
        <v>1494</v>
      </c>
      <c r="G3429" s="407" t="s">
        <v>2448</v>
      </c>
      <c r="H3429" s="460" t="e">
        <v>#N/A</v>
      </c>
      <c r="I3429" s="460" t="e">
        <v>#N/A</v>
      </c>
      <c r="J3429" s="460" t="e">
        <v>#N/A</v>
      </c>
      <c r="K3429" s="460" t="e">
        <v>#N/A</v>
      </c>
      <c r="L3429" s="459" t="e">
        <v>#N/A</v>
      </c>
      <c r="O3429">
        <v>23.826000000000001</v>
      </c>
      <c r="P3429" t="s">
        <v>10082</v>
      </c>
    </row>
    <row r="3430" spans="1:16" ht="14.4" x14ac:dyDescent="0.3">
      <c r="A3430">
        <v>394791</v>
      </c>
      <c r="B3430" t="str">
        <f t="shared" si="106"/>
        <v>SEVROLL Alfa II rączka 18mm 2,7m biały matowy</v>
      </c>
      <c r="C3430" s="185">
        <f t="shared" si="107"/>
        <v>66.463200000000001</v>
      </c>
      <c r="D3430" s="407" t="s">
        <v>1495</v>
      </c>
      <c r="E3430" s="407" t="s">
        <v>1925</v>
      </c>
      <c r="F3430" s="407" t="s">
        <v>5997</v>
      </c>
      <c r="G3430" s="407" t="s">
        <v>2449</v>
      </c>
      <c r="H3430" s="460">
        <v>457.40872000000002</v>
      </c>
      <c r="I3430" s="460">
        <v>16.446280000000002</v>
      </c>
      <c r="J3430" s="460">
        <v>66.463200000000001</v>
      </c>
      <c r="K3430" s="460">
        <v>6329.9391800000003</v>
      </c>
      <c r="L3430" s="459" t="s">
        <v>538</v>
      </c>
      <c r="O3430">
        <v>17.666</v>
      </c>
      <c r="P3430" t="s">
        <v>10083</v>
      </c>
    </row>
    <row r="3431" spans="1:16" ht="14.4" x14ac:dyDescent="0.3">
      <c r="A3431">
        <v>394792</v>
      </c>
      <c r="B3431" t="str">
        <f t="shared" si="106"/>
        <v>SEVROLL Elegant II tor dolny 1,7 m biały matowy</v>
      </c>
      <c r="C3431" s="185">
        <f t="shared" si="107"/>
        <v>40.698</v>
      </c>
      <c r="D3431" s="407" t="s">
        <v>1496</v>
      </c>
      <c r="E3431" s="407" t="s">
        <v>1926</v>
      </c>
      <c r="F3431" s="407" t="s">
        <v>5998</v>
      </c>
      <c r="G3431" s="407" t="s">
        <v>5999</v>
      </c>
      <c r="H3431" s="460">
        <v>301.80291999999997</v>
      </c>
      <c r="I3431" s="460">
        <v>10.851419999999999</v>
      </c>
      <c r="J3431" s="460">
        <v>40.698</v>
      </c>
      <c r="K3431" s="460">
        <v>4176.5579900000002</v>
      </c>
      <c r="L3431" s="459" t="s">
        <v>538</v>
      </c>
      <c r="O3431">
        <v>10.714</v>
      </c>
      <c r="P3431" t="s">
        <v>10084</v>
      </c>
    </row>
    <row r="3432" spans="1:16" ht="14.4" x14ac:dyDescent="0.3">
      <c r="A3432">
        <v>394795</v>
      </c>
      <c r="B3432" t="str">
        <f t="shared" si="106"/>
        <v>SEVROLL Elegant II tor dolny 2,35 m biały matowy</v>
      </c>
      <c r="C3432" s="185">
        <f t="shared" si="107"/>
        <v>56.253</v>
      </c>
      <c r="D3432" s="407" t="s">
        <v>1497</v>
      </c>
      <c r="E3432" s="407" t="s">
        <v>1927</v>
      </c>
      <c r="F3432" s="407" t="s">
        <v>6000</v>
      </c>
      <c r="G3432" s="407" t="s">
        <v>6001</v>
      </c>
      <c r="H3432" s="460">
        <v>414.70758000000001</v>
      </c>
      <c r="I3432" s="460">
        <v>14.91095</v>
      </c>
      <c r="J3432" s="460">
        <v>56.253</v>
      </c>
      <c r="K3432" s="460">
        <v>5739.01116</v>
      </c>
      <c r="L3432" s="459" t="s">
        <v>538</v>
      </c>
      <c r="O3432">
        <v>14.85</v>
      </c>
      <c r="P3432" t="s">
        <v>10085</v>
      </c>
    </row>
    <row r="3433" spans="1:16" ht="14.4" x14ac:dyDescent="0.3">
      <c r="A3433">
        <v>394796</v>
      </c>
      <c r="B3433" t="str">
        <f t="shared" si="106"/>
        <v>SEVROLL Elegant II tor dolny 4,05 m biały matowy</v>
      </c>
      <c r="C3433" s="185">
        <f t="shared" si="107"/>
        <v>96.930599999999998</v>
      </c>
      <c r="D3433" s="407" t="s">
        <v>1498</v>
      </c>
      <c r="E3433" s="407" t="s">
        <v>1928</v>
      </c>
      <c r="F3433" s="407" t="s">
        <v>6002</v>
      </c>
      <c r="G3433" s="407" t="s">
        <v>6003</v>
      </c>
      <c r="H3433" s="460">
        <v>713.61551999999995</v>
      </c>
      <c r="I3433" s="460">
        <v>25.658280000000001</v>
      </c>
      <c r="J3433" s="460">
        <v>96.930599999999998</v>
      </c>
      <c r="K3433" s="460">
        <v>9875.5060699999995</v>
      </c>
      <c r="L3433" s="459" t="s">
        <v>538</v>
      </c>
      <c r="O3433">
        <v>25.564</v>
      </c>
      <c r="P3433" t="s">
        <v>10086</v>
      </c>
    </row>
    <row r="3434" spans="1:16" ht="14.4" x14ac:dyDescent="0.3">
      <c r="A3434">
        <v>394800</v>
      </c>
      <c r="B3434" t="str">
        <f t="shared" si="106"/>
        <v>SEVROLL Elegant II tor dolny 6m biały mat</v>
      </c>
      <c r="C3434" s="185">
        <f t="shared" si="107"/>
        <v>0</v>
      </c>
      <c r="D3434" s="407" t="s">
        <v>1499</v>
      </c>
      <c r="E3434" s="407" t="s">
        <v>1929</v>
      </c>
      <c r="F3434" s="407" t="s">
        <v>6004</v>
      </c>
      <c r="G3434" s="407" t="s">
        <v>2450</v>
      </c>
      <c r="H3434" s="460">
        <v>1054.50082</v>
      </c>
      <c r="I3434" s="460">
        <v>37.914929999999998</v>
      </c>
      <c r="J3434" s="460">
        <v>0</v>
      </c>
      <c r="K3434" s="460">
        <v>14592.91346</v>
      </c>
      <c r="L3434" s="459" t="s">
        <v>539</v>
      </c>
      <c r="O3434">
        <v>37.752000000000002</v>
      </c>
      <c r="P3434" t="s">
        <v>10087</v>
      </c>
    </row>
    <row r="3435" spans="1:16" ht="14.4" x14ac:dyDescent="0.3">
      <c r="A3435">
        <v>394802</v>
      </c>
      <c r="B3435" t="str">
        <f t="shared" si="106"/>
        <v>SEVROLL Gemini tor górny 1,7 m biały matowy</v>
      </c>
      <c r="C3435" s="185">
        <f t="shared" si="107"/>
        <v>74.653800000000004</v>
      </c>
      <c r="D3435" s="407" t="s">
        <v>1325</v>
      </c>
      <c r="E3435" s="407" t="s">
        <v>1776</v>
      </c>
      <c r="F3435" s="407" t="s">
        <v>5784</v>
      </c>
      <c r="G3435" s="407" t="s">
        <v>5785</v>
      </c>
      <c r="H3435" s="460">
        <v>511.68982999999997</v>
      </c>
      <c r="I3435" s="460">
        <v>18.39798</v>
      </c>
      <c r="J3435" s="460">
        <v>74.653800000000004</v>
      </c>
      <c r="K3435" s="460">
        <v>7081.1186600000001</v>
      </c>
      <c r="L3435" s="459" t="s">
        <v>538</v>
      </c>
      <c r="O3435">
        <v>19.492000000000001</v>
      </c>
      <c r="P3435" t="s">
        <v>9640</v>
      </c>
    </row>
    <row r="3436" spans="1:16" ht="14.4" x14ac:dyDescent="0.3">
      <c r="A3436">
        <v>394813</v>
      </c>
      <c r="B3436" t="str">
        <f t="shared" si="106"/>
        <v>SEVROLL Gemini tor górny 2,35 m biały matowy</v>
      </c>
      <c r="C3436" s="185">
        <f t="shared" si="107"/>
        <v>103.20359999999999</v>
      </c>
      <c r="D3436" s="407" t="s">
        <v>1326</v>
      </c>
      <c r="E3436" s="407" t="s">
        <v>1777</v>
      </c>
      <c r="F3436" s="407" t="s">
        <v>5786</v>
      </c>
      <c r="G3436" s="407" t="s">
        <v>5787</v>
      </c>
      <c r="H3436" s="460">
        <v>707.82552999999996</v>
      </c>
      <c r="I3436" s="460">
        <v>25.450099999999999</v>
      </c>
      <c r="J3436" s="460">
        <v>103.20359999999999</v>
      </c>
      <c r="K3436" s="460">
        <v>9795.3803599999992</v>
      </c>
      <c r="L3436" s="459" t="s">
        <v>538</v>
      </c>
      <c r="O3436">
        <v>26.928000000000001</v>
      </c>
      <c r="P3436" t="s">
        <v>9641</v>
      </c>
    </row>
    <row r="3437" spans="1:16" ht="14.4" x14ac:dyDescent="0.3">
      <c r="A3437">
        <v>394815</v>
      </c>
      <c r="B3437" t="str">
        <f t="shared" si="106"/>
        <v>SEVROLL Gemini tor górny 4,05 m biały matowy</v>
      </c>
      <c r="C3437" s="185">
        <f t="shared" si="107"/>
        <v>177.9186</v>
      </c>
      <c r="D3437" s="407" t="s">
        <v>1327</v>
      </c>
      <c r="E3437" s="407" t="s">
        <v>1778</v>
      </c>
      <c r="F3437" s="407" t="s">
        <v>5788</v>
      </c>
      <c r="G3437" s="407" t="s">
        <v>5789</v>
      </c>
      <c r="H3437" s="460">
        <v>1219.5153600000001</v>
      </c>
      <c r="I3437" s="460">
        <v>43.848080000000003</v>
      </c>
      <c r="J3437" s="460">
        <v>177.9186</v>
      </c>
      <c r="K3437" s="460">
        <v>16876.499019999999</v>
      </c>
      <c r="L3437" s="459" t="s">
        <v>538</v>
      </c>
      <c r="O3437">
        <v>46.353999999999999</v>
      </c>
      <c r="P3437" t="s">
        <v>9642</v>
      </c>
    </row>
    <row r="3438" spans="1:16" ht="14.4" x14ac:dyDescent="0.3">
      <c r="A3438">
        <v>394824</v>
      </c>
      <c r="B3438" t="str">
        <f t="shared" si="106"/>
        <v>SEVROLL Gemini tor górny 6m biały matowy</v>
      </c>
      <c r="C3438" s="185">
        <f t="shared" si="107"/>
        <v>0</v>
      </c>
      <c r="D3438" s="407" t="s">
        <v>1328</v>
      </c>
      <c r="E3438" s="407" t="s">
        <v>1779</v>
      </c>
      <c r="F3438" s="407" t="s">
        <v>5790</v>
      </c>
      <c r="G3438" s="407" t="s">
        <v>2355</v>
      </c>
      <c r="H3438" s="460">
        <v>1806.47497</v>
      </c>
      <c r="I3438" s="460">
        <v>64.95241</v>
      </c>
      <c r="J3438" s="460">
        <v>0</v>
      </c>
      <c r="K3438" s="460">
        <v>24999.252980000001</v>
      </c>
      <c r="L3438" s="459" t="s">
        <v>539</v>
      </c>
      <c r="O3438">
        <v>68.706000000000003</v>
      </c>
      <c r="P3438" t="s">
        <v>9643</v>
      </c>
    </row>
    <row r="3439" spans="1:16" ht="14.4" x14ac:dyDescent="0.3">
      <c r="A3439">
        <v>394825</v>
      </c>
      <c r="B3439" t="str">
        <f t="shared" si="106"/>
        <v>SEVROLL kątownik Mini 17x11 mm 1,7 m biały matowy</v>
      </c>
      <c r="C3439" s="185">
        <f t="shared" si="107"/>
        <v>12.2094</v>
      </c>
      <c r="D3439" s="407" t="s">
        <v>5791</v>
      </c>
      <c r="E3439" s="407" t="s">
        <v>5792</v>
      </c>
      <c r="F3439" s="407" t="s">
        <v>5793</v>
      </c>
      <c r="G3439" s="407" t="s">
        <v>5794</v>
      </c>
      <c r="H3439" s="460">
        <v>88.297250000000005</v>
      </c>
      <c r="I3439" s="460">
        <v>3.17476</v>
      </c>
      <c r="J3439" s="460">
        <v>12.2094</v>
      </c>
      <c r="K3439" s="460">
        <v>1221.9187199999999</v>
      </c>
      <c r="L3439" s="459" t="s">
        <v>538</v>
      </c>
      <c r="O3439">
        <v>3.2559999999999998</v>
      </c>
      <c r="P3439" t="s">
        <v>9644</v>
      </c>
    </row>
    <row r="3440" spans="1:16" ht="14.4" x14ac:dyDescent="0.3">
      <c r="A3440">
        <v>394826</v>
      </c>
      <c r="B3440" t="str">
        <f t="shared" si="106"/>
        <v>SEVROLL kątownik Mini 17x11mm 2,35 m biały matowy</v>
      </c>
      <c r="C3440" s="185">
        <f t="shared" si="107"/>
        <v>16.901399999999999</v>
      </c>
      <c r="D3440" s="407" t="s">
        <v>5795</v>
      </c>
      <c r="E3440" s="407" t="s">
        <v>5796</v>
      </c>
      <c r="F3440" s="407" t="s">
        <v>5797</v>
      </c>
      <c r="G3440" s="407" t="s">
        <v>5798</v>
      </c>
      <c r="H3440" s="460">
        <v>122.31341</v>
      </c>
      <c r="I3440" s="460">
        <v>4.3978200000000003</v>
      </c>
      <c r="J3440" s="460">
        <v>16.901399999999999</v>
      </c>
      <c r="K3440" s="460">
        <v>1692.6579200000001</v>
      </c>
      <c r="L3440" s="459" t="s">
        <v>538</v>
      </c>
      <c r="O3440">
        <v>4.5540000000000003</v>
      </c>
      <c r="P3440" t="s">
        <v>9645</v>
      </c>
    </row>
    <row r="3441" spans="1:16" ht="14.4" x14ac:dyDescent="0.3">
      <c r="A3441">
        <v>394831</v>
      </c>
      <c r="B3441" t="str">
        <f t="shared" si="106"/>
        <v>SEVROLL zaślepka do toru Elegant II 6m biały mat</v>
      </c>
      <c r="C3441" s="185">
        <f t="shared" si="107"/>
        <v>0</v>
      </c>
      <c r="D3441" s="407" t="s">
        <v>1329</v>
      </c>
      <c r="E3441" s="407" t="s">
        <v>1780</v>
      </c>
      <c r="F3441" s="407" t="s">
        <v>5799</v>
      </c>
      <c r="G3441" s="407" t="s">
        <v>5800</v>
      </c>
      <c r="H3441" s="460">
        <v>327.13407999999998</v>
      </c>
      <c r="I3441" s="460">
        <v>11.762219999999999</v>
      </c>
      <c r="J3441" s="460">
        <v>0</v>
      </c>
      <c r="K3441" s="460">
        <v>4527.1084300000002</v>
      </c>
      <c r="L3441" s="459" t="s">
        <v>539</v>
      </c>
      <c r="O3441">
        <v>11.528</v>
      </c>
      <c r="P3441" t="s">
        <v>9646</v>
      </c>
    </row>
    <row r="3442" spans="1:16" ht="14.4" x14ac:dyDescent="0.3">
      <c r="A3442">
        <v>394848</v>
      </c>
      <c r="B3442" t="str">
        <f t="shared" si="106"/>
        <v>SEVROLL zaślepka do toru Elegant II 1,7m biały matowy</v>
      </c>
      <c r="C3442" s="185">
        <f t="shared" si="107"/>
        <v>12.199199999999999</v>
      </c>
      <c r="D3442" s="407" t="s">
        <v>1330</v>
      </c>
      <c r="E3442" s="407" t="s">
        <v>1781</v>
      </c>
      <c r="F3442" s="407" t="s">
        <v>5801</v>
      </c>
      <c r="G3442" s="407" t="s">
        <v>2356</v>
      </c>
      <c r="H3442" s="460">
        <v>92.639750000000006</v>
      </c>
      <c r="I3442" s="460">
        <v>3.3308900000000001</v>
      </c>
      <c r="J3442" s="460">
        <v>12.199199999999999</v>
      </c>
      <c r="K3442" s="460">
        <v>1282.0129099999999</v>
      </c>
      <c r="L3442" s="459" t="s">
        <v>538</v>
      </c>
      <c r="O3442">
        <v>3.278</v>
      </c>
      <c r="P3442" t="s">
        <v>9647</v>
      </c>
    </row>
    <row r="3443" spans="1:16" ht="14.4" x14ac:dyDescent="0.3">
      <c r="A3443">
        <v>395025</v>
      </c>
      <c r="B3443" t="str">
        <f t="shared" si="106"/>
        <v>SEVROLL Eden tor górny 2,35m srebrny</v>
      </c>
      <c r="C3443" s="185" t="e">
        <f t="shared" si="107"/>
        <v>#N/A</v>
      </c>
      <c r="D3443" s="407" t="s">
        <v>1331</v>
      </c>
      <c r="E3443" s="407" t="s">
        <v>1782</v>
      </c>
      <c r="F3443" s="407" t="s">
        <v>2155</v>
      </c>
      <c r="G3443" s="407" t="s">
        <v>2357</v>
      </c>
      <c r="H3443" s="460" t="e">
        <v>#N/A</v>
      </c>
      <c r="I3443" s="460" t="e">
        <v>#N/A</v>
      </c>
      <c r="J3443" s="460" t="e">
        <v>#N/A</v>
      </c>
      <c r="K3443" s="460" t="e">
        <v>#N/A</v>
      </c>
      <c r="L3443" s="459" t="e">
        <v>#N/A</v>
      </c>
      <c r="O3443" t="e">
        <v>#N/A</v>
      </c>
      <c r="P3443" t="e">
        <v>#N/A</v>
      </c>
    </row>
    <row r="3444" spans="1:16" ht="14.4" x14ac:dyDescent="0.3">
      <c r="A3444">
        <v>395027</v>
      </c>
      <c r="B3444" t="str">
        <f t="shared" si="106"/>
        <v>SEVROLL Eden tor górny 2,35m srebrny</v>
      </c>
      <c r="C3444" s="185" t="e">
        <f t="shared" si="107"/>
        <v>#N/A</v>
      </c>
      <c r="D3444" s="407" t="s">
        <v>1332</v>
      </c>
      <c r="E3444" s="407" t="s">
        <v>1783</v>
      </c>
      <c r="F3444" s="407" t="s">
        <v>2155</v>
      </c>
      <c r="G3444" s="407" t="s">
        <v>2357</v>
      </c>
      <c r="H3444" s="460" t="e">
        <v>#N/A</v>
      </c>
      <c r="I3444" s="460" t="e">
        <v>#N/A</v>
      </c>
      <c r="J3444" s="460" t="e">
        <v>#N/A</v>
      </c>
      <c r="K3444" s="460" t="e">
        <v>#N/A</v>
      </c>
      <c r="L3444" s="459" t="e">
        <v>#N/A</v>
      </c>
      <c r="O3444">
        <v>26.928000000000001</v>
      </c>
      <c r="P3444" t="s">
        <v>9648</v>
      </c>
    </row>
    <row r="3445" spans="1:16" ht="14.4" x14ac:dyDescent="0.3">
      <c r="A3445">
        <v>395029</v>
      </c>
      <c r="B3445" t="str">
        <f t="shared" si="106"/>
        <v>SEVROLL Eden tor górny 2,35m srebrny</v>
      </c>
      <c r="C3445" s="185" t="e">
        <f t="shared" si="107"/>
        <v>#N/A</v>
      </c>
      <c r="D3445" s="407" t="s">
        <v>1333</v>
      </c>
      <c r="E3445" s="407" t="s">
        <v>1784</v>
      </c>
      <c r="F3445" s="407" t="s">
        <v>2155</v>
      </c>
      <c r="G3445" s="407" t="s">
        <v>2357</v>
      </c>
      <c r="H3445" s="460" t="e">
        <v>#N/A</v>
      </c>
      <c r="I3445" s="460" t="e">
        <v>#N/A</v>
      </c>
      <c r="J3445" s="460" t="e">
        <v>#N/A</v>
      </c>
      <c r="K3445" s="460" t="e">
        <v>#N/A</v>
      </c>
      <c r="L3445" s="459" t="e">
        <v>#N/A</v>
      </c>
      <c r="O3445">
        <v>22</v>
      </c>
      <c r="P3445" t="s">
        <v>9649</v>
      </c>
    </row>
    <row r="3446" spans="1:16" ht="14.4" x14ac:dyDescent="0.3">
      <c r="A3446">
        <v>395030</v>
      </c>
      <c r="B3446" t="str">
        <f t="shared" si="106"/>
        <v>SEVROLL Eden zestaw okuć dla 2 drzwi</v>
      </c>
      <c r="C3446" s="185" t="e">
        <f t="shared" si="107"/>
        <v>#N/A</v>
      </c>
      <c r="D3446" s="407" t="s">
        <v>1334</v>
      </c>
      <c r="E3446" s="407" t="s">
        <v>1785</v>
      </c>
      <c r="F3446" s="407" t="s">
        <v>2156</v>
      </c>
      <c r="G3446" s="407" t="s">
        <v>2358</v>
      </c>
      <c r="H3446" s="460" t="e">
        <v>#N/A</v>
      </c>
      <c r="I3446" s="460" t="e">
        <v>#N/A</v>
      </c>
      <c r="J3446" s="460" t="e">
        <v>#N/A</v>
      </c>
      <c r="K3446" s="460" t="e">
        <v>#N/A</v>
      </c>
      <c r="L3446" s="459" t="e">
        <v>#N/A</v>
      </c>
      <c r="O3446">
        <v>119.79</v>
      </c>
      <c r="P3446" t="s">
        <v>9650</v>
      </c>
    </row>
    <row r="3447" spans="1:16" ht="14.4" x14ac:dyDescent="0.3">
      <c r="A3447">
        <v>395031</v>
      </c>
      <c r="B3447" t="str">
        <f t="shared" si="106"/>
        <v>SEVROLL Eden zestaw okuć dla 2 drzwi</v>
      </c>
      <c r="C3447" s="185" t="e">
        <f t="shared" si="107"/>
        <v>#N/A</v>
      </c>
      <c r="D3447" s="407" t="s">
        <v>1335</v>
      </c>
      <c r="E3447" s="407" t="s">
        <v>1786</v>
      </c>
      <c r="F3447" s="407" t="s">
        <v>2156</v>
      </c>
      <c r="G3447" s="407" t="s">
        <v>2358</v>
      </c>
      <c r="H3447" s="460" t="e">
        <v>#N/A</v>
      </c>
      <c r="I3447" s="460" t="e">
        <v>#N/A</v>
      </c>
      <c r="J3447" s="460" t="e">
        <v>#N/A</v>
      </c>
      <c r="K3447" s="460" t="e">
        <v>#N/A</v>
      </c>
      <c r="L3447" s="459" t="e">
        <v>#N/A</v>
      </c>
      <c r="O3447">
        <v>52.271999999999998</v>
      </c>
      <c r="P3447" t="s">
        <v>9651</v>
      </c>
    </row>
    <row r="3448" spans="1:16" ht="14.4" x14ac:dyDescent="0.3">
      <c r="A3448">
        <v>395039</v>
      </c>
      <c r="B3448" t="str">
        <f t="shared" si="106"/>
        <v>SEVROLL zaślepka do toru Elegant II 2,35m biały matowy</v>
      </c>
      <c r="C3448" s="185">
        <f t="shared" si="107"/>
        <v>16.870799999999999</v>
      </c>
      <c r="D3448" s="407" t="s">
        <v>1336</v>
      </c>
      <c r="E3448" s="407" t="s">
        <v>1787</v>
      </c>
      <c r="F3448" s="407" t="s">
        <v>5802</v>
      </c>
      <c r="G3448" s="407" t="s">
        <v>2359</v>
      </c>
      <c r="H3448" s="460">
        <v>128.10339999999999</v>
      </c>
      <c r="I3448" s="460">
        <v>4.6059999999999999</v>
      </c>
      <c r="J3448" s="460">
        <v>16.870799999999999</v>
      </c>
      <c r="K3448" s="460">
        <v>1772.7836600000001</v>
      </c>
      <c r="L3448" s="459" t="s">
        <v>538</v>
      </c>
      <c r="O3448">
        <v>4.532</v>
      </c>
      <c r="P3448" t="s">
        <v>9652</v>
      </c>
    </row>
    <row r="3449" spans="1:16" ht="14.4" x14ac:dyDescent="0.3">
      <c r="A3449">
        <v>395041</v>
      </c>
      <c r="B3449" t="str">
        <f t="shared" si="106"/>
        <v>SEVROLL zaślepka do toru Elegant II 3m biały matowy</v>
      </c>
      <c r="C3449" s="185">
        <f t="shared" si="107"/>
        <v>21.542400000000001</v>
      </c>
      <c r="D3449" s="407" t="s">
        <v>1337</v>
      </c>
      <c r="E3449" s="407" t="s">
        <v>1788</v>
      </c>
      <c r="F3449" s="407" t="s">
        <v>5803</v>
      </c>
      <c r="G3449" s="407" t="s">
        <v>2360</v>
      </c>
      <c r="H3449" s="460">
        <v>163.56704999999999</v>
      </c>
      <c r="I3449" s="460">
        <v>5.8811099999999996</v>
      </c>
      <c r="J3449" s="460">
        <v>21.542400000000001</v>
      </c>
      <c r="K3449" s="460">
        <v>2263.5540099999998</v>
      </c>
      <c r="L3449" s="459" t="s">
        <v>538</v>
      </c>
      <c r="O3449">
        <v>5.7640000000000002</v>
      </c>
      <c r="P3449" t="s">
        <v>9653</v>
      </c>
    </row>
    <row r="3450" spans="1:16" ht="14.4" x14ac:dyDescent="0.3">
      <c r="A3450">
        <v>395042</v>
      </c>
      <c r="B3450" t="str">
        <f t="shared" si="106"/>
        <v>SEVROLL zaślepka do toru Elegant II 4,05m biały matowy</v>
      </c>
      <c r="C3450" s="185">
        <f t="shared" si="107"/>
        <v>29.07</v>
      </c>
      <c r="D3450" s="407" t="s">
        <v>1338</v>
      </c>
      <c r="E3450" s="407" t="s">
        <v>1789</v>
      </c>
      <c r="F3450" s="407" t="s">
        <v>5804</v>
      </c>
      <c r="G3450" s="407" t="s">
        <v>2361</v>
      </c>
      <c r="H3450" s="460">
        <v>220.74315000000001</v>
      </c>
      <c r="I3450" s="460">
        <v>7.93689</v>
      </c>
      <c r="J3450" s="460">
        <v>29.07</v>
      </c>
      <c r="K3450" s="460">
        <v>3054.79655</v>
      </c>
      <c r="L3450" s="459" t="s">
        <v>538</v>
      </c>
      <c r="O3450">
        <v>7.7880000000000003</v>
      </c>
      <c r="P3450" t="s">
        <v>9654</v>
      </c>
    </row>
    <row r="3451" spans="1:16" ht="14.4" x14ac:dyDescent="0.3">
      <c r="A3451">
        <v>395495</v>
      </c>
      <c r="B3451" t="str">
        <f t="shared" si="106"/>
        <v>SEVROLL Alfa II rączka 18mm 2,7m czarny połysk</v>
      </c>
      <c r="C3451" s="185">
        <f t="shared" si="107"/>
        <v>66.463200000000001</v>
      </c>
      <c r="D3451" s="407" t="s">
        <v>1339</v>
      </c>
      <c r="E3451" s="407" t="s">
        <v>1790</v>
      </c>
      <c r="F3451" s="407" t="s">
        <v>5805</v>
      </c>
      <c r="G3451" s="407" t="s">
        <v>2362</v>
      </c>
      <c r="H3451" s="460">
        <v>457.40872000000002</v>
      </c>
      <c r="I3451" s="460">
        <v>16.446280000000002</v>
      </c>
      <c r="J3451" s="460">
        <v>66.463200000000001</v>
      </c>
      <c r="K3451" s="460">
        <v>6329.9391800000003</v>
      </c>
      <c r="L3451" s="459" t="s">
        <v>538</v>
      </c>
      <c r="O3451">
        <v>17.666</v>
      </c>
      <c r="P3451" t="s">
        <v>9655</v>
      </c>
    </row>
    <row r="3452" spans="1:16" ht="14.4" x14ac:dyDescent="0.3">
      <c r="A3452">
        <v>395506</v>
      </c>
      <c r="B3452" t="str">
        <f t="shared" si="106"/>
        <v>SEVROLL Fox II rączka 2,7m czarny połysk</v>
      </c>
      <c r="C3452" s="185">
        <f t="shared" si="107"/>
        <v>80.416799999999995</v>
      </c>
      <c r="D3452" s="407" t="s">
        <v>1340</v>
      </c>
      <c r="E3452" s="407" t="s">
        <v>1791</v>
      </c>
      <c r="F3452" s="407" t="s">
        <v>5806</v>
      </c>
      <c r="G3452" s="407" t="s">
        <v>2363</v>
      </c>
      <c r="H3452" s="460">
        <v>600.71082000000001</v>
      </c>
      <c r="I3452" s="460">
        <v>21.598759999999999</v>
      </c>
      <c r="J3452" s="460">
        <v>80.416799999999995</v>
      </c>
      <c r="K3452" s="460">
        <v>8313.0529399999996</v>
      </c>
      <c r="L3452" s="459" t="s">
        <v>538</v>
      </c>
      <c r="O3452">
        <v>20.283999999999999</v>
      </c>
      <c r="P3452" t="s">
        <v>9656</v>
      </c>
    </row>
    <row r="3453" spans="1:16" ht="14.4" x14ac:dyDescent="0.3">
      <c r="A3453">
        <v>395508</v>
      </c>
      <c r="B3453" t="str">
        <f t="shared" si="106"/>
        <v>SEVROLL listwa łącząca H10 3m czarny połysk</v>
      </c>
      <c r="C3453" s="185">
        <f t="shared" si="107"/>
        <v>67.289400000000001</v>
      </c>
      <c r="D3453" s="407" t="s">
        <v>1341</v>
      </c>
      <c r="E3453" s="407" t="s">
        <v>1792</v>
      </c>
      <c r="F3453" s="407" t="s">
        <v>5807</v>
      </c>
      <c r="G3453" s="407" t="s">
        <v>2364</v>
      </c>
      <c r="H3453" s="460">
        <v>440.03877999999997</v>
      </c>
      <c r="I3453" s="460">
        <v>15.82174</v>
      </c>
      <c r="J3453" s="460">
        <v>67.289400000000001</v>
      </c>
      <c r="K3453" s="460">
        <v>6089.5615900000003</v>
      </c>
      <c r="L3453" s="459" t="s">
        <v>538</v>
      </c>
      <c r="O3453">
        <v>18.062000000000001</v>
      </c>
      <c r="P3453" t="s">
        <v>9657</v>
      </c>
    </row>
    <row r="3454" spans="1:16" ht="14.4" x14ac:dyDescent="0.3">
      <c r="A3454">
        <v>398096</v>
      </c>
      <c r="B3454" t="str">
        <f t="shared" si="106"/>
        <v>SEVROLL Gemini tor górny 2,35 m czarny połysk</v>
      </c>
      <c r="C3454" s="185">
        <f t="shared" si="107"/>
        <v>103.20359999999999</v>
      </c>
      <c r="D3454" s="407" t="s">
        <v>1431</v>
      </c>
      <c r="E3454" s="407" t="s">
        <v>1871</v>
      </c>
      <c r="F3454" s="407" t="s">
        <v>5894</v>
      </c>
      <c r="G3454" s="407" t="s">
        <v>5895</v>
      </c>
      <c r="H3454" s="460">
        <v>707.82552999999996</v>
      </c>
      <c r="I3454" s="460">
        <v>25.450099999999999</v>
      </c>
      <c r="J3454" s="460">
        <v>103.20359999999999</v>
      </c>
      <c r="K3454" s="460">
        <v>9795.3803599999992</v>
      </c>
      <c r="L3454" s="459" t="s">
        <v>538</v>
      </c>
      <c r="O3454">
        <v>26.928000000000001</v>
      </c>
      <c r="P3454" t="s">
        <v>9940</v>
      </c>
    </row>
    <row r="3455" spans="1:16" ht="14.4" x14ac:dyDescent="0.3">
      <c r="A3455">
        <v>398188</v>
      </c>
      <c r="B3455" t="str">
        <f t="shared" si="106"/>
        <v>SEVROLL Elegant II tor dolny 2,35 m czarny połysk</v>
      </c>
      <c r="C3455" s="185">
        <f t="shared" si="107"/>
        <v>56.242800000000003</v>
      </c>
      <c r="D3455" s="407" t="s">
        <v>1432</v>
      </c>
      <c r="E3455" s="407" t="s">
        <v>1872</v>
      </c>
      <c r="F3455" s="407" t="s">
        <v>5896</v>
      </c>
      <c r="G3455" s="407" t="s">
        <v>5897</v>
      </c>
      <c r="H3455" s="460">
        <v>414.70758000000001</v>
      </c>
      <c r="I3455" s="460">
        <v>14.91095</v>
      </c>
      <c r="J3455" s="460">
        <v>56.242800000000003</v>
      </c>
      <c r="K3455" s="460">
        <v>5739.01116</v>
      </c>
      <c r="L3455" s="459" t="s">
        <v>538</v>
      </c>
      <c r="O3455">
        <v>14.85</v>
      </c>
      <c r="P3455" t="s">
        <v>9941</v>
      </c>
    </row>
    <row r="3456" spans="1:16" ht="14.4" x14ac:dyDescent="0.3">
      <c r="A3456">
        <v>398553</v>
      </c>
      <c r="B3456" t="str">
        <f t="shared" si="106"/>
        <v>SEVROLL zaślepka do toru Elegant II 2,35m czarny połysk</v>
      </c>
      <c r="C3456" s="185">
        <f t="shared" si="107"/>
        <v>16.870799999999999</v>
      </c>
      <c r="D3456" s="407" t="s">
        <v>1433</v>
      </c>
      <c r="E3456" s="407" t="s">
        <v>1873</v>
      </c>
      <c r="F3456" s="407" t="s">
        <v>5898</v>
      </c>
      <c r="G3456" s="407" t="s">
        <v>2411</v>
      </c>
      <c r="H3456" s="460">
        <v>128.10339999999999</v>
      </c>
      <c r="I3456" s="460">
        <v>4.6059999999999999</v>
      </c>
      <c r="J3456" s="460">
        <v>16.870799999999999</v>
      </c>
      <c r="K3456" s="460">
        <v>1772.7836600000001</v>
      </c>
      <c r="L3456" s="459" t="s">
        <v>538</v>
      </c>
      <c r="O3456">
        <v>4.532</v>
      </c>
      <c r="P3456" t="s">
        <v>9942</v>
      </c>
    </row>
    <row r="3457" spans="1:16" ht="14.4" x14ac:dyDescent="0.3">
      <c r="A3457">
        <v>399106</v>
      </c>
      <c r="B3457" t="str">
        <f t="shared" si="106"/>
        <v>SEVROLL 10193-SV Optima II zestaw okuc do drzwi wewnętrznych</v>
      </c>
      <c r="C3457" s="185" t="e">
        <f t="shared" si="107"/>
        <v>#N/A</v>
      </c>
      <c r="D3457" s="407" t="s">
        <v>1434</v>
      </c>
      <c r="E3457" s="407" t="s">
        <v>5899</v>
      </c>
      <c r="F3457" s="407" t="s">
        <v>5900</v>
      </c>
      <c r="G3457" s="407" t="s">
        <v>5901</v>
      </c>
      <c r="H3457" s="460" t="e">
        <v>#N/A</v>
      </c>
      <c r="I3457" s="460" t="e">
        <v>#N/A</v>
      </c>
      <c r="J3457" s="460" t="e">
        <v>#N/A</v>
      </c>
      <c r="K3457" s="460" t="e">
        <v>#N/A</v>
      </c>
      <c r="L3457" s="459" t="e">
        <v>#N/A</v>
      </c>
      <c r="O3457">
        <v>12.474</v>
      </c>
      <c r="P3457" t="s">
        <v>9945</v>
      </c>
    </row>
    <row r="3458" spans="1:16" ht="14.4" x14ac:dyDescent="0.3">
      <c r="A3458">
        <v>399178</v>
      </c>
      <c r="B3458" t="str">
        <f t="shared" si="106"/>
        <v>SEVROLL 10212 wózek do drzwi wewnętrznych Simple 18 Inter / Galaxy 35 / 50kg</v>
      </c>
      <c r="C3458" s="185">
        <f t="shared" si="107"/>
        <v>29.475570000000001</v>
      </c>
      <c r="D3458" s="407" t="s">
        <v>1435</v>
      </c>
      <c r="E3458" s="407" t="s">
        <v>5902</v>
      </c>
      <c r="F3458" s="407" t="s">
        <v>5903</v>
      </c>
      <c r="G3458" s="407" t="s">
        <v>2412</v>
      </c>
      <c r="H3458" s="460">
        <v>229.04801</v>
      </c>
      <c r="I3458" s="460">
        <v>8.6395</v>
      </c>
      <c r="J3458" s="460">
        <v>29.475570000000001</v>
      </c>
      <c r="K3458" s="460">
        <v>3260.0208299999999</v>
      </c>
      <c r="L3458" s="459" t="s">
        <v>538</v>
      </c>
      <c r="O3458">
        <v>7.6779999999999999</v>
      </c>
      <c r="P3458" t="s">
        <v>9946</v>
      </c>
    </row>
    <row r="3459" spans="1:16" ht="14.4" x14ac:dyDescent="0.3">
      <c r="A3459">
        <v>399179</v>
      </c>
      <c r="B3459" t="str">
        <f t="shared" si="106"/>
        <v>SEVROLL tłumienie do drzwi wewnętrznych  Simple 18 Galaxy 50kg</v>
      </c>
      <c r="C3459" s="185">
        <f t="shared" si="107"/>
        <v>86.651060000000001</v>
      </c>
      <c r="D3459" s="407" t="s">
        <v>1436</v>
      </c>
      <c r="E3459" s="407" t="s">
        <v>5904</v>
      </c>
      <c r="F3459" s="407" t="s">
        <v>5905</v>
      </c>
      <c r="G3459" s="407" t="s">
        <v>2413</v>
      </c>
      <c r="H3459" s="460">
        <v>673.34596999999997</v>
      </c>
      <c r="I3459" s="460">
        <v>25.398060000000001</v>
      </c>
      <c r="J3459" s="460">
        <v>86.651060000000001</v>
      </c>
      <c r="K3459" s="460">
        <v>9583.67533</v>
      </c>
      <c r="L3459" s="459" t="s">
        <v>538</v>
      </c>
      <c r="O3459">
        <v>22.594000000000001</v>
      </c>
      <c r="P3459" t="s">
        <v>9947</v>
      </c>
    </row>
    <row r="3460" spans="1:16" ht="14.4" x14ac:dyDescent="0.3">
      <c r="A3460">
        <v>399180</v>
      </c>
      <c r="B3460" t="str">
        <f t="shared" ref="B3460:B3523" si="108">IF($A$2=1,D3460,IF($A$2=2,F3460,IF($A$2=3,G3460,IF($A$2=4,E3460,IF($A$2&gt;4,P3460,"zadat jazyk")))))</f>
        <v>K-SEVROLL zestaw okuć do drzwi wewnętrznych Simple 18 Inter/Galaxy 50kg</v>
      </c>
      <c r="C3460" s="185">
        <f t="shared" ref="C3460:C3523" si="109">IF($A$2=1,H3460,IF($A$2=2,I3460,IF($A$2=3,J3460,IF($A$2=4,K3460,IF($A$2&gt;4,O3460,"zadat jazyk")))))</f>
        <v>0</v>
      </c>
      <c r="D3460" s="407" t="s">
        <v>1437</v>
      </c>
      <c r="E3460" s="407" t="s">
        <v>5906</v>
      </c>
      <c r="F3460" s="407" t="s">
        <v>68</v>
      </c>
      <c r="G3460" s="407" t="s">
        <v>2414</v>
      </c>
      <c r="H3460" s="460">
        <v>0</v>
      </c>
      <c r="I3460" s="460">
        <v>0</v>
      </c>
      <c r="J3460" s="460">
        <v>0</v>
      </c>
      <c r="K3460" s="460">
        <v>0</v>
      </c>
      <c r="L3460" s="459" t="s">
        <v>538</v>
      </c>
      <c r="O3460">
        <v>0</v>
      </c>
      <c r="P3460" t="s">
        <v>9948</v>
      </c>
    </row>
    <row r="3461" spans="1:16" ht="14.4" x14ac:dyDescent="0.3">
      <c r="A3461">
        <v>399695</v>
      </c>
      <c r="B3461" t="str">
        <f t="shared" si="108"/>
        <v>SEVROLL listwa maskująca Herkules II 2m srebrna</v>
      </c>
      <c r="C3461" s="185" t="e">
        <f t="shared" si="109"/>
        <v>#N/A</v>
      </c>
      <c r="D3461" s="407" t="s">
        <v>1438</v>
      </c>
      <c r="E3461" s="407" t="s">
        <v>1874</v>
      </c>
      <c r="F3461" s="407" t="s">
        <v>5907</v>
      </c>
      <c r="G3461" s="407" t="s">
        <v>5908</v>
      </c>
      <c r="H3461" s="460" t="e">
        <v>#N/A</v>
      </c>
      <c r="I3461" s="460" t="e">
        <v>#N/A</v>
      </c>
      <c r="J3461" s="460" t="e">
        <v>#N/A</v>
      </c>
      <c r="K3461" s="460" t="e">
        <v>#N/A</v>
      </c>
      <c r="L3461" s="459" t="e">
        <v>#N/A</v>
      </c>
      <c r="O3461" t="e">
        <v>#N/A</v>
      </c>
      <c r="P3461" t="e">
        <v>#N/A</v>
      </c>
    </row>
    <row r="3462" spans="1:16" ht="14.4" x14ac:dyDescent="0.3">
      <c r="A3462">
        <v>399696</v>
      </c>
      <c r="B3462" t="str">
        <f t="shared" si="108"/>
        <v>SEVROLL listwa maskująca Herkules Wood 2m srebrna</v>
      </c>
      <c r="C3462" s="185" t="e">
        <f t="shared" si="109"/>
        <v>#N/A</v>
      </c>
      <c r="D3462" s="407" t="s">
        <v>1439</v>
      </c>
      <c r="E3462" s="407" t="s">
        <v>1875</v>
      </c>
      <c r="F3462" s="407" t="s">
        <v>5909</v>
      </c>
      <c r="G3462" s="407" t="s">
        <v>5910</v>
      </c>
      <c r="H3462" s="460" t="e">
        <v>#N/A</v>
      </c>
      <c r="I3462" s="460" t="e">
        <v>#N/A</v>
      </c>
      <c r="J3462" s="460" t="e">
        <v>#N/A</v>
      </c>
      <c r="K3462" s="460" t="e">
        <v>#N/A</v>
      </c>
      <c r="L3462" s="459" t="e">
        <v>#N/A</v>
      </c>
      <c r="O3462" t="e">
        <v>#N/A</v>
      </c>
      <c r="P3462" t="e">
        <v>#N/A</v>
      </c>
    </row>
    <row r="3463" spans="1:16" ht="14.4" x14ac:dyDescent="0.3">
      <c r="A3463">
        <v>399705</v>
      </c>
      <c r="B3463" t="str">
        <f t="shared" si="108"/>
        <v>SEVROLL 219-036 Herkules Zestaw listew maskujących + zaslepki i szczotka 2,01m</v>
      </c>
      <c r="C3463" s="185" t="e">
        <f t="shared" si="109"/>
        <v>#N/A</v>
      </c>
      <c r="D3463" s="407" t="s">
        <v>1440</v>
      </c>
      <c r="E3463" s="407" t="s">
        <v>1876</v>
      </c>
      <c r="F3463" s="407" t="s">
        <v>5911</v>
      </c>
      <c r="G3463" s="407" t="s">
        <v>5912</v>
      </c>
      <c r="H3463" s="460" t="e">
        <v>#N/A</v>
      </c>
      <c r="I3463" s="460" t="e">
        <v>#N/A</v>
      </c>
      <c r="J3463" s="460" t="e">
        <v>#N/A</v>
      </c>
      <c r="K3463" s="460" t="e">
        <v>#N/A</v>
      </c>
      <c r="L3463" s="459" t="e">
        <v>#N/A</v>
      </c>
      <c r="O3463" t="e">
        <v>#N/A</v>
      </c>
      <c r="P3463" t="e">
        <v>#N/A</v>
      </c>
    </row>
    <row r="3464" spans="1:16" ht="14.4" x14ac:dyDescent="0.3">
      <c r="A3464">
        <v>403727</v>
      </c>
      <c r="B3464" t="str">
        <f t="shared" si="108"/>
        <v>SEVROLL Top tor górny pojedyńczy 2,35m srebrny</v>
      </c>
      <c r="C3464" s="185">
        <f t="shared" si="109"/>
        <v>91.1982</v>
      </c>
      <c r="D3464" s="407" t="s">
        <v>1474</v>
      </c>
      <c r="E3464" s="407" t="s">
        <v>1904</v>
      </c>
      <c r="F3464" s="407" t="s">
        <v>2177</v>
      </c>
      <c r="G3464" s="407" t="s">
        <v>2433</v>
      </c>
      <c r="H3464" s="460">
        <v>726.64296000000002</v>
      </c>
      <c r="I3464" s="460">
        <v>26.12669</v>
      </c>
      <c r="J3464" s="460">
        <v>91.1982</v>
      </c>
      <c r="K3464" s="460">
        <v>10055.789489999999</v>
      </c>
      <c r="L3464" s="459" t="s">
        <v>539</v>
      </c>
      <c r="O3464">
        <v>24.486000000000001</v>
      </c>
      <c r="P3464" t="s">
        <v>9999</v>
      </c>
    </row>
    <row r="3465" spans="1:16" ht="14.4" x14ac:dyDescent="0.3">
      <c r="A3465">
        <v>404307</v>
      </c>
      <c r="B3465" t="str">
        <f t="shared" si="108"/>
        <v>K-SEVROLL zestaw okuć do drzwi wewnętrznych Simple 18 Galaxy 50kg</v>
      </c>
      <c r="C3465" s="185">
        <f t="shared" si="109"/>
        <v>0</v>
      </c>
      <c r="D3465" s="407" t="s">
        <v>1475</v>
      </c>
      <c r="E3465" s="407" t="s">
        <v>1905</v>
      </c>
      <c r="F3465" s="407" t="s">
        <v>5975</v>
      </c>
      <c r="G3465" s="407" t="s">
        <v>5976</v>
      </c>
      <c r="H3465" s="460">
        <v>0</v>
      </c>
      <c r="I3465" s="460">
        <v>0</v>
      </c>
      <c r="J3465" s="460">
        <v>0</v>
      </c>
      <c r="K3465" s="460">
        <v>0</v>
      </c>
      <c r="L3465" s="459" t="s">
        <v>538</v>
      </c>
      <c r="O3465">
        <v>0</v>
      </c>
      <c r="P3465" t="s">
        <v>10003</v>
      </c>
    </row>
    <row r="3466" spans="1:16" ht="14.4" x14ac:dyDescent="0.3">
      <c r="A3466">
        <v>404308</v>
      </c>
      <c r="B3466" t="str">
        <f t="shared" si="108"/>
        <v>K-SEVROLL zestaw okuć do drzwi wewnętrznych Simple 18 Galaxy 50kg 2xtłumienie</v>
      </c>
      <c r="C3466" s="185">
        <f t="shared" si="109"/>
        <v>0</v>
      </c>
      <c r="D3466" s="407" t="s">
        <v>1476</v>
      </c>
      <c r="E3466" s="407" t="s">
        <v>1906</v>
      </c>
      <c r="F3466" s="407" t="s">
        <v>5977</v>
      </c>
      <c r="G3466" s="407" t="s">
        <v>5978</v>
      </c>
      <c r="H3466" s="460">
        <v>0</v>
      </c>
      <c r="I3466" s="460">
        <v>0</v>
      </c>
      <c r="J3466" s="460">
        <v>0</v>
      </c>
      <c r="K3466" s="460">
        <v>0</v>
      </c>
      <c r="L3466" s="459" t="s">
        <v>538</v>
      </c>
      <c r="O3466">
        <v>0</v>
      </c>
      <c r="P3466" t="s">
        <v>10004</v>
      </c>
    </row>
    <row r="3467" spans="1:16" ht="14.4" x14ac:dyDescent="0.3">
      <c r="A3467">
        <v>405364</v>
      </c>
      <c r="B3467" t="str">
        <f t="shared" si="108"/>
        <v>SEVROLL profil "U" do płyty laminowanej 18mm 3m czarny połysk</v>
      </c>
      <c r="C3467" s="185">
        <f t="shared" si="109"/>
        <v>27.009599999999999</v>
      </c>
      <c r="D3467" s="407" t="s">
        <v>1452</v>
      </c>
      <c r="E3467" s="407" t="s">
        <v>1882</v>
      </c>
      <c r="F3467" s="407" t="s">
        <v>5932</v>
      </c>
      <c r="G3467" s="407" t="s">
        <v>2420</v>
      </c>
      <c r="H3467" s="460">
        <v>172.25201999999999</v>
      </c>
      <c r="I3467" s="460">
        <v>6.1933800000000003</v>
      </c>
      <c r="J3467" s="460">
        <v>27.009599999999999</v>
      </c>
      <c r="K3467" s="460">
        <v>2383.7428100000002</v>
      </c>
      <c r="L3467" s="459" t="s">
        <v>539</v>
      </c>
      <c r="O3467">
        <v>6.5339999999999998</v>
      </c>
      <c r="P3467" t="s">
        <v>9970</v>
      </c>
    </row>
    <row r="3468" spans="1:16" ht="14.4" x14ac:dyDescent="0.3">
      <c r="A3468">
        <v>405365</v>
      </c>
      <c r="B3468" t="str">
        <f t="shared" si="108"/>
        <v>SEVROLL kątownik Mini 17x11 mm 1,7 m czarny połysk</v>
      </c>
      <c r="C3468" s="185">
        <f t="shared" si="109"/>
        <v>12.2094</v>
      </c>
      <c r="D3468" s="407" t="s">
        <v>5933</v>
      </c>
      <c r="E3468" s="407" t="s">
        <v>5934</v>
      </c>
      <c r="F3468" s="407" t="s">
        <v>5935</v>
      </c>
      <c r="G3468" s="407" t="s">
        <v>5936</v>
      </c>
      <c r="H3468" s="460">
        <v>88.297250000000005</v>
      </c>
      <c r="I3468" s="460">
        <v>3.17476</v>
      </c>
      <c r="J3468" s="460">
        <v>12.2094</v>
      </c>
      <c r="K3468" s="460">
        <v>1221.9187199999999</v>
      </c>
      <c r="L3468" s="459" t="s">
        <v>538</v>
      </c>
      <c r="O3468">
        <v>3.2559999999999998</v>
      </c>
      <c r="P3468" t="s">
        <v>9971</v>
      </c>
    </row>
    <row r="3469" spans="1:16" ht="14.4" x14ac:dyDescent="0.3">
      <c r="A3469">
        <v>405366</v>
      </c>
      <c r="B3469" t="str">
        <f t="shared" si="108"/>
        <v>SEVROLL kątownik Mini 17x11 mm 2,35 m czarny połysk</v>
      </c>
      <c r="C3469" s="185">
        <f t="shared" si="109"/>
        <v>16.901399999999999</v>
      </c>
      <c r="D3469" s="407" t="s">
        <v>5937</v>
      </c>
      <c r="E3469" s="407" t="s">
        <v>5938</v>
      </c>
      <c r="F3469" s="407" t="s">
        <v>5939</v>
      </c>
      <c r="G3469" s="407" t="s">
        <v>5940</v>
      </c>
      <c r="H3469" s="460">
        <v>122.31341</v>
      </c>
      <c r="I3469" s="460">
        <v>4.3978200000000003</v>
      </c>
      <c r="J3469" s="460">
        <v>16.901399999999999</v>
      </c>
      <c r="K3469" s="460">
        <v>1692.6579200000001</v>
      </c>
      <c r="L3469" s="459" t="s">
        <v>538</v>
      </c>
      <c r="O3469">
        <v>4.5540000000000003</v>
      </c>
      <c r="P3469" t="s">
        <v>9972</v>
      </c>
    </row>
    <row r="3470" spans="1:16" ht="14.4" x14ac:dyDescent="0.3">
      <c r="A3470">
        <v>405367</v>
      </c>
      <c r="B3470" t="str">
        <f t="shared" si="108"/>
        <v>SEVROLL kątownik Mini 17x11 mm 3 m czarny połysk</v>
      </c>
      <c r="C3470" s="185">
        <f t="shared" si="109"/>
        <v>21.583200000000001</v>
      </c>
      <c r="D3470" s="407" t="s">
        <v>5941</v>
      </c>
      <c r="E3470" s="407" t="s">
        <v>5942</v>
      </c>
      <c r="F3470" s="407" t="s">
        <v>5943</v>
      </c>
      <c r="G3470" s="407" t="s">
        <v>5944</v>
      </c>
      <c r="H3470" s="460">
        <v>156.32956999999999</v>
      </c>
      <c r="I3470" s="460">
        <v>5.6208799999999997</v>
      </c>
      <c r="J3470" s="460">
        <v>21.583200000000001</v>
      </c>
      <c r="K3470" s="460">
        <v>2163.3967400000001</v>
      </c>
      <c r="L3470" s="459" t="s">
        <v>538</v>
      </c>
      <c r="O3470">
        <v>5.7640000000000002</v>
      </c>
      <c r="P3470" t="s">
        <v>9973</v>
      </c>
    </row>
    <row r="3471" spans="1:16" ht="14.4" x14ac:dyDescent="0.3">
      <c r="A3471">
        <v>405369</v>
      </c>
      <c r="B3471" t="str">
        <f t="shared" si="108"/>
        <v>SEVROLL 05144 Gemini 10 maskownica dolna 1,7 m 10 mm czarny połysk</v>
      </c>
      <c r="C3471" s="185">
        <f t="shared" si="109"/>
        <v>70.369799999999998</v>
      </c>
      <c r="D3471" s="407" t="s">
        <v>3443</v>
      </c>
      <c r="E3471" s="407" t="s">
        <v>1883</v>
      </c>
      <c r="F3471" s="407" t="s">
        <v>5945</v>
      </c>
      <c r="G3471" s="407" t="s">
        <v>5946</v>
      </c>
      <c r="H3471" s="460">
        <v>529.78351999999995</v>
      </c>
      <c r="I3471" s="460">
        <v>19.048539999999999</v>
      </c>
      <c r="J3471" s="460">
        <v>70.369799999999998</v>
      </c>
      <c r="K3471" s="460">
        <v>7331.51181</v>
      </c>
      <c r="L3471" s="459" t="s">
        <v>538</v>
      </c>
      <c r="O3471">
        <v>18.282</v>
      </c>
      <c r="P3471" t="s">
        <v>9974</v>
      </c>
    </row>
    <row r="3472" spans="1:16" ht="14.4" x14ac:dyDescent="0.3">
      <c r="A3472">
        <v>405375</v>
      </c>
      <c r="B3472" t="str">
        <f t="shared" si="108"/>
        <v>SEVROLL 05145 Gemini 10 maskownica dolna 2,35 m 10 mm czarny połysk</v>
      </c>
      <c r="C3472" s="185">
        <f t="shared" si="109"/>
        <v>97.287599999999998</v>
      </c>
      <c r="D3472" s="407" t="s">
        <v>3444</v>
      </c>
      <c r="E3472" s="407" t="s">
        <v>1884</v>
      </c>
      <c r="F3472" s="407" t="s">
        <v>5947</v>
      </c>
      <c r="G3472" s="407" t="s">
        <v>5948</v>
      </c>
      <c r="H3472" s="460">
        <v>731.70920999999998</v>
      </c>
      <c r="I3472" s="460">
        <v>26.30885</v>
      </c>
      <c r="J3472" s="460">
        <v>97.287599999999998</v>
      </c>
      <c r="K3472" s="460">
        <v>10125.899240000001</v>
      </c>
      <c r="L3472" s="459" t="s">
        <v>539</v>
      </c>
      <c r="O3472">
        <v>25.3</v>
      </c>
      <c r="P3472" t="s">
        <v>9975</v>
      </c>
    </row>
    <row r="3473" spans="1:16" ht="14.4" x14ac:dyDescent="0.3">
      <c r="A3473">
        <v>405376</v>
      </c>
      <c r="B3473" t="str">
        <f t="shared" si="108"/>
        <v>SEVROLL 05183 Gemini 10 maskownica dolna 3 m 10 mm czarny połysk</v>
      </c>
      <c r="C3473" s="185">
        <f t="shared" si="109"/>
        <v>124.22580000000001</v>
      </c>
      <c r="D3473" s="407" t="s">
        <v>3445</v>
      </c>
      <c r="E3473" s="407" t="s">
        <v>1885</v>
      </c>
      <c r="F3473" s="407" t="s">
        <v>5949</v>
      </c>
      <c r="G3473" s="407" t="s">
        <v>5950</v>
      </c>
      <c r="H3473" s="460">
        <v>936.52988000000005</v>
      </c>
      <c r="I3473" s="460">
        <v>33.67324</v>
      </c>
      <c r="J3473" s="460">
        <v>124.22580000000001</v>
      </c>
      <c r="K3473" s="460">
        <v>12960.35014</v>
      </c>
      <c r="L3473" s="459" t="s">
        <v>538</v>
      </c>
      <c r="O3473">
        <v>32.317999999999998</v>
      </c>
      <c r="P3473" t="s">
        <v>9976</v>
      </c>
    </row>
    <row r="3474" spans="1:16" ht="14.4" x14ac:dyDescent="0.3">
      <c r="A3474">
        <v>405377</v>
      </c>
      <c r="B3474" t="str">
        <f t="shared" si="108"/>
        <v>SEVROLL listwa pozioma górna 1,7m czarny połysk</v>
      </c>
      <c r="C3474" s="185">
        <f t="shared" si="109"/>
        <v>59.986199999999997</v>
      </c>
      <c r="D3474" s="407" t="s">
        <v>1456</v>
      </c>
      <c r="E3474" s="407" t="s">
        <v>1886</v>
      </c>
      <c r="F3474" s="407" t="s">
        <v>5951</v>
      </c>
      <c r="G3474" s="407" t="s">
        <v>2421</v>
      </c>
      <c r="H3474" s="460">
        <v>291.67043000000001</v>
      </c>
      <c r="I3474" s="460">
        <v>10.487109999999999</v>
      </c>
      <c r="J3474" s="460">
        <v>59.986199999999997</v>
      </c>
      <c r="K3474" s="460">
        <v>4036.3376800000001</v>
      </c>
      <c r="L3474" s="459" t="s">
        <v>539</v>
      </c>
      <c r="O3474">
        <v>11.33</v>
      </c>
      <c r="P3474" t="s">
        <v>9977</v>
      </c>
    </row>
    <row r="3475" spans="1:16" ht="14.4" x14ac:dyDescent="0.3">
      <c r="A3475">
        <v>405379</v>
      </c>
      <c r="B3475" t="str">
        <f t="shared" si="108"/>
        <v>SEVROLL listwa pozioma górna 2,35m czarny połysk</v>
      </c>
      <c r="C3475" s="185">
        <f t="shared" si="109"/>
        <v>82.936199999999999</v>
      </c>
      <c r="D3475" s="407" t="s">
        <v>1457</v>
      </c>
      <c r="E3475" s="407" t="s">
        <v>1887</v>
      </c>
      <c r="F3475" s="407" t="s">
        <v>5952</v>
      </c>
      <c r="G3475" s="407" t="s">
        <v>2422</v>
      </c>
      <c r="H3475" s="460">
        <v>403.85138000000001</v>
      </c>
      <c r="I3475" s="460">
        <v>14.52061</v>
      </c>
      <c r="J3475" s="460">
        <v>82.936199999999999</v>
      </c>
      <c r="K3475" s="460">
        <v>5588.7752499999997</v>
      </c>
      <c r="L3475" s="459" t="s">
        <v>538</v>
      </c>
      <c r="O3475">
        <v>15.641999999999999</v>
      </c>
      <c r="P3475" t="s">
        <v>9978</v>
      </c>
    </row>
    <row r="3476" spans="1:16" ht="14.4" x14ac:dyDescent="0.3">
      <c r="A3476">
        <v>405382</v>
      </c>
      <c r="B3476" t="str">
        <f t="shared" si="108"/>
        <v>SEVROLL listwa pozioma górna 3m czarny połysk</v>
      </c>
      <c r="C3476" s="185">
        <f t="shared" si="109"/>
        <v>105.8454</v>
      </c>
      <c r="D3476" s="407" t="s">
        <v>1458</v>
      </c>
      <c r="E3476" s="407" t="s">
        <v>1888</v>
      </c>
      <c r="F3476" s="407" t="s">
        <v>5953</v>
      </c>
      <c r="G3476" s="407" t="s">
        <v>2423</v>
      </c>
      <c r="H3476" s="460">
        <v>515.30856000000006</v>
      </c>
      <c r="I3476" s="460">
        <v>18.528089999999999</v>
      </c>
      <c r="J3476" s="460">
        <v>105.8454</v>
      </c>
      <c r="K3476" s="460">
        <v>7131.1972999999998</v>
      </c>
      <c r="L3476" s="459" t="s">
        <v>538</v>
      </c>
      <c r="O3476">
        <v>19.931999999999999</v>
      </c>
      <c r="P3476" t="s">
        <v>9979</v>
      </c>
    </row>
    <row r="3477" spans="1:16" ht="14.4" x14ac:dyDescent="0.3">
      <c r="A3477">
        <v>405392</v>
      </c>
      <c r="B3477" t="str">
        <f t="shared" si="108"/>
        <v>SEVROLL listwa łącząca H18 3m czarny połysk</v>
      </c>
      <c r="C3477" s="185">
        <f t="shared" si="109"/>
        <v>62.464799999999997</v>
      </c>
      <c r="D3477" s="407" t="s">
        <v>1459</v>
      </c>
      <c r="E3477" s="407" t="s">
        <v>1889</v>
      </c>
      <c r="F3477" s="407" t="s">
        <v>5954</v>
      </c>
      <c r="G3477" s="407" t="s">
        <v>2424</v>
      </c>
      <c r="H3477" s="460">
        <v>433.52503999999999</v>
      </c>
      <c r="I3477" s="460">
        <v>15.587540000000001</v>
      </c>
      <c r="J3477" s="460">
        <v>62.464799999999997</v>
      </c>
      <c r="K3477" s="460">
        <v>5999.42029</v>
      </c>
      <c r="L3477" s="459" t="s">
        <v>538</v>
      </c>
      <c r="O3477">
        <v>16.5</v>
      </c>
      <c r="P3477" t="s">
        <v>9980</v>
      </c>
    </row>
    <row r="3478" spans="1:16" ht="14.4" x14ac:dyDescent="0.3">
      <c r="A3478">
        <v>405393</v>
      </c>
      <c r="B3478" t="str">
        <f t="shared" si="108"/>
        <v>SEVROLL Elegant II tor dolny 1,7 m czarny połysk</v>
      </c>
      <c r="C3478" s="185">
        <f t="shared" si="109"/>
        <v>40.698</v>
      </c>
      <c r="D3478" s="407" t="s">
        <v>1460</v>
      </c>
      <c r="E3478" s="407" t="s">
        <v>1890</v>
      </c>
      <c r="F3478" s="407" t="s">
        <v>5955</v>
      </c>
      <c r="G3478" s="407" t="s">
        <v>5956</v>
      </c>
      <c r="H3478" s="460">
        <v>301.80291999999997</v>
      </c>
      <c r="I3478" s="460">
        <v>10.851419999999999</v>
      </c>
      <c r="J3478" s="460">
        <v>40.698</v>
      </c>
      <c r="K3478" s="460">
        <v>4176.5579900000002</v>
      </c>
      <c r="L3478" s="459" t="s">
        <v>538</v>
      </c>
      <c r="O3478">
        <v>10.714</v>
      </c>
      <c r="P3478" t="s">
        <v>9981</v>
      </c>
    </row>
    <row r="3479" spans="1:16" ht="14.4" x14ac:dyDescent="0.3">
      <c r="A3479">
        <v>405403</v>
      </c>
      <c r="B3479" t="str">
        <f t="shared" si="108"/>
        <v>SEVROLL Elegant II tor dolny 3 m czarny połysk</v>
      </c>
      <c r="C3479" s="185">
        <f t="shared" si="109"/>
        <v>71.808000000000007</v>
      </c>
      <c r="D3479" s="407" t="s">
        <v>1461</v>
      </c>
      <c r="E3479" s="407" t="s">
        <v>1891</v>
      </c>
      <c r="F3479" s="407" t="s">
        <v>5957</v>
      </c>
      <c r="G3479" s="407" t="s">
        <v>5958</v>
      </c>
      <c r="H3479" s="460">
        <v>526.88854000000003</v>
      </c>
      <c r="I3479" s="460">
        <v>18.94445</v>
      </c>
      <c r="J3479" s="460">
        <v>71.808000000000007</v>
      </c>
      <c r="K3479" s="460">
        <v>7291.4487600000002</v>
      </c>
      <c r="L3479" s="459" t="s">
        <v>538</v>
      </c>
      <c r="O3479">
        <v>18.876000000000001</v>
      </c>
      <c r="P3479" t="s">
        <v>9982</v>
      </c>
    </row>
    <row r="3480" spans="1:16" ht="14.4" x14ac:dyDescent="0.3">
      <c r="A3480">
        <v>405404</v>
      </c>
      <c r="B3480" t="str">
        <f t="shared" si="108"/>
        <v>SEVROLL Elegant II tor dolny 4,05 m czarny połysk</v>
      </c>
      <c r="C3480" s="185">
        <f t="shared" si="109"/>
        <v>96.930599999999998</v>
      </c>
      <c r="D3480" s="407" t="s">
        <v>1462</v>
      </c>
      <c r="E3480" s="407" t="s">
        <v>1892</v>
      </c>
      <c r="F3480" s="407" t="s">
        <v>5959</v>
      </c>
      <c r="G3480" s="407" t="s">
        <v>5960</v>
      </c>
      <c r="H3480" s="460">
        <v>713.61551999999995</v>
      </c>
      <c r="I3480" s="460">
        <v>25.658280000000001</v>
      </c>
      <c r="J3480" s="460">
        <v>96.930599999999998</v>
      </c>
      <c r="K3480" s="460">
        <v>9875.5060699999995</v>
      </c>
      <c r="L3480" s="459" t="s">
        <v>538</v>
      </c>
      <c r="O3480">
        <v>25.564</v>
      </c>
      <c r="P3480" t="s">
        <v>9983</v>
      </c>
    </row>
    <row r="3481" spans="1:16" ht="14.4" x14ac:dyDescent="0.3">
      <c r="A3481">
        <v>405406</v>
      </c>
      <c r="B3481" t="str">
        <f t="shared" si="108"/>
        <v>SEVROLL Elegant II tor dolny 6m czarny połysk</v>
      </c>
      <c r="C3481" s="185">
        <f t="shared" si="109"/>
        <v>0</v>
      </c>
      <c r="D3481" s="407" t="s">
        <v>1463</v>
      </c>
      <c r="E3481" s="407" t="s">
        <v>1893</v>
      </c>
      <c r="F3481" s="407" t="s">
        <v>5961</v>
      </c>
      <c r="G3481" s="407" t="s">
        <v>2425</v>
      </c>
      <c r="H3481" s="460">
        <v>1054.50082</v>
      </c>
      <c r="I3481" s="460">
        <v>37.914929999999998</v>
      </c>
      <c r="J3481" s="460">
        <v>0</v>
      </c>
      <c r="K3481" s="460">
        <v>14592.91346</v>
      </c>
      <c r="L3481" s="459" t="s">
        <v>539</v>
      </c>
      <c r="O3481">
        <v>37.752000000000002</v>
      </c>
      <c r="P3481" t="s">
        <v>9984</v>
      </c>
    </row>
    <row r="3482" spans="1:16" ht="14.4" x14ac:dyDescent="0.3">
      <c r="A3482">
        <v>405407</v>
      </c>
      <c r="B3482" t="str">
        <f t="shared" si="108"/>
        <v>SEVROLL Gemini tor górny 1,7 m czarny połysk</v>
      </c>
      <c r="C3482" s="185">
        <f t="shared" si="109"/>
        <v>74.653800000000004</v>
      </c>
      <c r="D3482" s="407" t="s">
        <v>1464</v>
      </c>
      <c r="E3482" s="407" t="s">
        <v>1894</v>
      </c>
      <c r="F3482" s="407" t="s">
        <v>5962</v>
      </c>
      <c r="G3482" s="407" t="s">
        <v>5963</v>
      </c>
      <c r="H3482" s="460">
        <v>511.68982999999997</v>
      </c>
      <c r="I3482" s="460">
        <v>18.39798</v>
      </c>
      <c r="J3482" s="460">
        <v>74.653800000000004</v>
      </c>
      <c r="K3482" s="460">
        <v>7081.1186600000001</v>
      </c>
      <c r="L3482" s="459" t="s">
        <v>538</v>
      </c>
      <c r="O3482">
        <v>19.492000000000001</v>
      </c>
      <c r="P3482" t="s">
        <v>9985</v>
      </c>
    </row>
    <row r="3483" spans="1:16" ht="14.4" x14ac:dyDescent="0.3">
      <c r="A3483">
        <v>405423</v>
      </c>
      <c r="B3483" t="str">
        <f t="shared" si="108"/>
        <v>SEVROLL Gemini tor górny 3 m czarny połysk</v>
      </c>
      <c r="C3483" s="185">
        <f t="shared" si="109"/>
        <v>131.79419999999999</v>
      </c>
      <c r="D3483" s="407" t="s">
        <v>1465</v>
      </c>
      <c r="E3483" s="407" t="s">
        <v>1895</v>
      </c>
      <c r="F3483" s="407" t="s">
        <v>5964</v>
      </c>
      <c r="G3483" s="407" t="s">
        <v>5965</v>
      </c>
      <c r="H3483" s="460">
        <v>903.23748000000001</v>
      </c>
      <c r="I3483" s="460">
        <v>32.476199999999999</v>
      </c>
      <c r="J3483" s="460">
        <v>131.79419999999999</v>
      </c>
      <c r="K3483" s="460">
        <v>12499.626490000001</v>
      </c>
      <c r="L3483" s="459" t="s">
        <v>538</v>
      </c>
      <c r="O3483">
        <v>34.341999999999999</v>
      </c>
      <c r="P3483" t="s">
        <v>9986</v>
      </c>
    </row>
    <row r="3484" spans="1:16" ht="14.4" x14ac:dyDescent="0.3">
      <c r="A3484">
        <v>405425</v>
      </c>
      <c r="B3484" t="str">
        <f t="shared" si="108"/>
        <v>SEVROLL Gemini tor górny 4,05 m czarny połysk</v>
      </c>
      <c r="C3484" s="185">
        <f t="shared" si="109"/>
        <v>177.9186</v>
      </c>
      <c r="D3484" s="407" t="s">
        <v>1466</v>
      </c>
      <c r="E3484" s="407" t="s">
        <v>1896</v>
      </c>
      <c r="F3484" s="407" t="s">
        <v>5966</v>
      </c>
      <c r="G3484" s="407" t="s">
        <v>5967</v>
      </c>
      <c r="H3484" s="460">
        <v>1219.5153600000001</v>
      </c>
      <c r="I3484" s="460">
        <v>43.848080000000003</v>
      </c>
      <c r="J3484" s="460">
        <v>177.9186</v>
      </c>
      <c r="K3484" s="460">
        <v>16876.499019999999</v>
      </c>
      <c r="L3484" s="459" t="s">
        <v>539</v>
      </c>
      <c r="O3484">
        <v>46.353999999999999</v>
      </c>
      <c r="P3484" t="s">
        <v>9987</v>
      </c>
    </row>
    <row r="3485" spans="1:16" ht="14.4" x14ac:dyDescent="0.3">
      <c r="A3485">
        <v>405426</v>
      </c>
      <c r="B3485" t="str">
        <f t="shared" si="108"/>
        <v>SEVROLL Gemini tor górny 6m czarny połysk</v>
      </c>
      <c r="C3485" s="185">
        <f t="shared" si="109"/>
        <v>0</v>
      </c>
      <c r="D3485" s="407" t="s">
        <v>1467</v>
      </c>
      <c r="E3485" s="407" t="s">
        <v>1897</v>
      </c>
      <c r="F3485" s="407" t="s">
        <v>5968</v>
      </c>
      <c r="G3485" s="407" t="s">
        <v>2426</v>
      </c>
      <c r="H3485" s="460">
        <v>1806.47497</v>
      </c>
      <c r="I3485" s="460">
        <v>64.95241</v>
      </c>
      <c r="J3485" s="460">
        <v>0</v>
      </c>
      <c r="K3485" s="460">
        <v>24999.252980000001</v>
      </c>
      <c r="L3485" s="459" t="s">
        <v>539</v>
      </c>
      <c r="O3485">
        <v>68.706000000000003</v>
      </c>
      <c r="P3485" t="s">
        <v>9988</v>
      </c>
    </row>
    <row r="3486" spans="1:16" ht="14.4" x14ac:dyDescent="0.3">
      <c r="A3486">
        <v>405427</v>
      </c>
      <c r="B3486" t="str">
        <f t="shared" si="108"/>
        <v>SEVROLL zaślepka do toru Elegant II 1,7m czarny połysk</v>
      </c>
      <c r="C3486" s="185">
        <f t="shared" si="109"/>
        <v>12.199199999999999</v>
      </c>
      <c r="D3486" s="407" t="s">
        <v>1468</v>
      </c>
      <c r="E3486" s="407" t="s">
        <v>1898</v>
      </c>
      <c r="F3486" s="407" t="s">
        <v>5969</v>
      </c>
      <c r="G3486" s="407" t="s">
        <v>2427</v>
      </c>
      <c r="H3486" s="460">
        <v>92.639750000000006</v>
      </c>
      <c r="I3486" s="460">
        <v>3.3308900000000001</v>
      </c>
      <c r="J3486" s="460">
        <v>12.199199999999999</v>
      </c>
      <c r="K3486" s="460">
        <v>1282.0129099999999</v>
      </c>
      <c r="L3486" s="459" t="s">
        <v>538</v>
      </c>
      <c r="O3486">
        <v>3.278</v>
      </c>
      <c r="P3486" t="s">
        <v>9989</v>
      </c>
    </row>
    <row r="3487" spans="1:16" ht="14.4" x14ac:dyDescent="0.3">
      <c r="A3487">
        <v>405428</v>
      </c>
      <c r="B3487" t="str">
        <f t="shared" si="108"/>
        <v>SEVROLL zaślepka do toru Elegant II 3m czarny połysk</v>
      </c>
      <c r="C3487" s="185">
        <f t="shared" si="109"/>
        <v>21.542400000000001</v>
      </c>
      <c r="D3487" s="407" t="s">
        <v>1469</v>
      </c>
      <c r="E3487" s="407" t="s">
        <v>1899</v>
      </c>
      <c r="F3487" s="407" t="s">
        <v>5970</v>
      </c>
      <c r="G3487" s="407" t="s">
        <v>2428</v>
      </c>
      <c r="H3487" s="460">
        <v>163.56704999999999</v>
      </c>
      <c r="I3487" s="460">
        <v>5.8811099999999996</v>
      </c>
      <c r="J3487" s="460">
        <v>21.542400000000001</v>
      </c>
      <c r="K3487" s="460">
        <v>2263.5540099999998</v>
      </c>
      <c r="L3487" s="459" t="s">
        <v>538</v>
      </c>
      <c r="O3487">
        <v>5.7640000000000002</v>
      </c>
      <c r="P3487" t="s">
        <v>9990</v>
      </c>
    </row>
    <row r="3488" spans="1:16" ht="14.4" x14ac:dyDescent="0.3">
      <c r="A3488">
        <v>405429</v>
      </c>
      <c r="B3488" t="str">
        <f t="shared" si="108"/>
        <v>SEVROLL zaślepka do toru Elegant II 4,05m czarny połysk</v>
      </c>
      <c r="C3488" s="185">
        <f t="shared" si="109"/>
        <v>29.07</v>
      </c>
      <c r="D3488" s="407" t="s">
        <v>1470</v>
      </c>
      <c r="E3488" s="407" t="s">
        <v>1900</v>
      </c>
      <c r="F3488" s="407" t="s">
        <v>5971</v>
      </c>
      <c r="G3488" s="407" t="s">
        <v>2429</v>
      </c>
      <c r="H3488" s="460">
        <v>220.74315000000001</v>
      </c>
      <c r="I3488" s="460">
        <v>7.93689</v>
      </c>
      <c r="J3488" s="460">
        <v>29.07</v>
      </c>
      <c r="K3488" s="460">
        <v>3054.79655</v>
      </c>
      <c r="L3488" s="459" t="s">
        <v>538</v>
      </c>
      <c r="O3488">
        <v>7.7880000000000003</v>
      </c>
      <c r="P3488" t="s">
        <v>9991</v>
      </c>
    </row>
    <row r="3489" spans="1:16" ht="14.4" x14ac:dyDescent="0.3">
      <c r="A3489">
        <v>405430</v>
      </c>
      <c r="B3489" t="str">
        <f t="shared" si="108"/>
        <v>SEVROLL zaślepka do toru Elegant II 6m czarny połysk</v>
      </c>
      <c r="C3489" s="185">
        <f t="shared" si="109"/>
        <v>0</v>
      </c>
      <c r="D3489" s="407" t="s">
        <v>1471</v>
      </c>
      <c r="E3489" s="407" t="s">
        <v>1901</v>
      </c>
      <c r="F3489" s="407" t="s">
        <v>5972</v>
      </c>
      <c r="G3489" s="407" t="s">
        <v>2430</v>
      </c>
      <c r="H3489" s="460">
        <v>327.13407999999998</v>
      </c>
      <c r="I3489" s="460">
        <v>11.762219999999999</v>
      </c>
      <c r="J3489" s="460">
        <v>0</v>
      </c>
      <c r="K3489" s="460">
        <v>4527.1084300000002</v>
      </c>
      <c r="L3489" s="459" t="s">
        <v>539</v>
      </c>
      <c r="O3489">
        <v>11.528</v>
      </c>
      <c r="P3489" t="s">
        <v>9992</v>
      </c>
    </row>
    <row r="3490" spans="1:16" ht="14.4" x14ac:dyDescent="0.3">
      <c r="A3490">
        <v>406342</v>
      </c>
      <c r="B3490" t="str">
        <f t="shared" si="108"/>
        <v>SEVROLL Porto rączka 3m srebrny</v>
      </c>
      <c r="C3490" s="185" t="e">
        <f t="shared" si="109"/>
        <v>#N/A</v>
      </c>
      <c r="D3490" s="407" t="s">
        <v>1314</v>
      </c>
      <c r="E3490" s="407" t="s">
        <v>1767</v>
      </c>
      <c r="F3490" s="407" t="s">
        <v>2150</v>
      </c>
      <c r="G3490" s="407" t="s">
        <v>2347</v>
      </c>
      <c r="H3490" s="460" t="e">
        <v>#N/A</v>
      </c>
      <c r="I3490" s="460" t="e">
        <v>#N/A</v>
      </c>
      <c r="J3490" s="460" t="e">
        <v>#N/A</v>
      </c>
      <c r="K3490" s="460" t="e">
        <v>#N/A</v>
      </c>
      <c r="L3490" s="459" t="e">
        <v>#N/A</v>
      </c>
      <c r="O3490" t="e">
        <v>#N/A</v>
      </c>
      <c r="P3490" t="e">
        <v>#N/A</v>
      </c>
    </row>
    <row r="3491" spans="1:16" ht="14.4" x14ac:dyDescent="0.3">
      <c r="A3491">
        <v>406343</v>
      </c>
      <c r="B3491" t="str">
        <f t="shared" si="108"/>
        <v>SEVROLL Porto rączka 3m jasny brąz</v>
      </c>
      <c r="C3491" s="185" t="e">
        <f t="shared" si="109"/>
        <v>#N/A</v>
      </c>
      <c r="D3491" s="407" t="s">
        <v>1315</v>
      </c>
      <c r="E3491" s="407" t="s">
        <v>1768</v>
      </c>
      <c r="F3491" s="407" t="s">
        <v>2151</v>
      </c>
      <c r="G3491" s="407" t="s">
        <v>2348</v>
      </c>
      <c r="H3491" s="460" t="e">
        <v>#N/A</v>
      </c>
      <c r="I3491" s="460" t="e">
        <v>#N/A</v>
      </c>
      <c r="J3491" s="460" t="e">
        <v>#N/A</v>
      </c>
      <c r="K3491" s="460" t="e">
        <v>#N/A</v>
      </c>
      <c r="L3491" s="459" t="e">
        <v>#N/A</v>
      </c>
      <c r="O3491" t="e">
        <v>#N/A</v>
      </c>
      <c r="P3491" t="e">
        <v>#N/A</v>
      </c>
    </row>
    <row r="3492" spans="1:16" ht="14.4" x14ac:dyDescent="0.3">
      <c r="A3492">
        <v>406344</v>
      </c>
      <c r="B3492" t="str">
        <f t="shared" si="108"/>
        <v>SEVROLL Maxim tor górny 1,8m jasny brąz</v>
      </c>
      <c r="C3492" s="185" t="e">
        <f t="shared" si="109"/>
        <v>#N/A</v>
      </c>
      <c r="D3492" s="407" t="s">
        <v>1316</v>
      </c>
      <c r="E3492" s="407" t="s">
        <v>1769</v>
      </c>
      <c r="F3492" s="407" t="s">
        <v>2152</v>
      </c>
      <c r="G3492" s="407" t="s">
        <v>2349</v>
      </c>
      <c r="H3492" s="460" t="e">
        <v>#N/A</v>
      </c>
      <c r="I3492" s="460" t="e">
        <v>#N/A</v>
      </c>
      <c r="J3492" s="460" t="e">
        <v>#N/A</v>
      </c>
      <c r="K3492" s="460" t="e">
        <v>#N/A</v>
      </c>
      <c r="L3492" s="459" t="e">
        <v>#N/A</v>
      </c>
      <c r="O3492" t="e">
        <v>#N/A</v>
      </c>
      <c r="P3492" t="e">
        <v>#N/A</v>
      </c>
    </row>
    <row r="3493" spans="1:16" ht="14.4" x14ac:dyDescent="0.3">
      <c r="A3493">
        <v>406463</v>
      </c>
      <c r="B3493" t="str">
        <f t="shared" si="108"/>
        <v>SEVROLL listwa łącząca H18 3m biały matowy</v>
      </c>
      <c r="C3493" s="185">
        <f t="shared" si="109"/>
        <v>62.464799999999997</v>
      </c>
      <c r="D3493" s="407" t="s">
        <v>1317</v>
      </c>
      <c r="E3493" s="407" t="s">
        <v>1770</v>
      </c>
      <c r="F3493" s="407" t="s">
        <v>5776</v>
      </c>
      <c r="G3493" s="407" t="s">
        <v>2350</v>
      </c>
      <c r="H3493" s="460">
        <v>433.52503999999999</v>
      </c>
      <c r="I3493" s="460">
        <v>15.587540000000001</v>
      </c>
      <c r="J3493" s="460">
        <v>62.464799999999997</v>
      </c>
      <c r="K3493" s="460">
        <v>5999.42029</v>
      </c>
      <c r="L3493" s="459" t="s">
        <v>538</v>
      </c>
      <c r="O3493">
        <v>16.5</v>
      </c>
      <c r="P3493" t="s">
        <v>9610</v>
      </c>
    </row>
    <row r="3494" spans="1:16" ht="14.4" x14ac:dyDescent="0.3">
      <c r="A3494">
        <v>406464</v>
      </c>
      <c r="B3494" t="str">
        <f t="shared" si="108"/>
        <v>SEVROLL profil "U" do płyty laminowanej 18mm 3m biały matowy</v>
      </c>
      <c r="C3494" s="185">
        <f t="shared" si="109"/>
        <v>27.009599999999999</v>
      </c>
      <c r="D3494" s="407" t="s">
        <v>1318</v>
      </c>
      <c r="E3494" s="407" t="s">
        <v>1771</v>
      </c>
      <c r="F3494" s="407" t="s">
        <v>5777</v>
      </c>
      <c r="G3494" s="407" t="s">
        <v>2351</v>
      </c>
      <c r="H3494" s="460">
        <v>172.25201999999999</v>
      </c>
      <c r="I3494" s="460">
        <v>6.1933800000000003</v>
      </c>
      <c r="J3494" s="460">
        <v>27.009599999999999</v>
      </c>
      <c r="K3494" s="460">
        <v>2383.7428100000002</v>
      </c>
      <c r="L3494" s="459" t="s">
        <v>539</v>
      </c>
      <c r="O3494">
        <v>6.5339999999999998</v>
      </c>
      <c r="P3494" t="s">
        <v>9611</v>
      </c>
    </row>
    <row r="3495" spans="1:16" ht="14.4" x14ac:dyDescent="0.3">
      <c r="A3495">
        <v>409670</v>
      </c>
      <c r="B3495" t="str">
        <f t="shared" si="108"/>
        <v>SEVROLL 05314 Gemini tor górny 2,35 m czarny mat</v>
      </c>
      <c r="C3495" s="185">
        <f t="shared" si="109"/>
        <v>103.20359999999999</v>
      </c>
      <c r="D3495" s="407" t="s">
        <v>1408</v>
      </c>
      <c r="E3495" s="407" t="s">
        <v>1852</v>
      </c>
      <c r="F3495" s="407" t="s">
        <v>5864</v>
      </c>
      <c r="G3495" s="407" t="s">
        <v>5865</v>
      </c>
      <c r="H3495" s="460">
        <v>707.82552999999996</v>
      </c>
      <c r="I3495" s="460">
        <v>25.450099999999999</v>
      </c>
      <c r="J3495" s="460">
        <v>103.20359999999999</v>
      </c>
      <c r="K3495" s="460">
        <v>9795.3803599999992</v>
      </c>
      <c r="L3495" s="459" t="s">
        <v>538</v>
      </c>
      <c r="O3495">
        <v>26.928000000000001</v>
      </c>
      <c r="P3495" t="s">
        <v>9883</v>
      </c>
    </row>
    <row r="3496" spans="1:16" ht="14.4" x14ac:dyDescent="0.3">
      <c r="A3496">
        <v>409674</v>
      </c>
      <c r="B3496" t="str">
        <f t="shared" si="108"/>
        <v>SEVROLL 04835 Gemini tor górny 4,05 m czarny mat</v>
      </c>
      <c r="C3496" s="185">
        <f t="shared" si="109"/>
        <v>177.9186</v>
      </c>
      <c r="D3496" s="407" t="s">
        <v>1409</v>
      </c>
      <c r="E3496" s="407" t="s">
        <v>1853</v>
      </c>
      <c r="F3496" s="407" t="s">
        <v>5866</v>
      </c>
      <c r="G3496" s="407" t="s">
        <v>5867</v>
      </c>
      <c r="H3496" s="460">
        <v>1219.5153600000001</v>
      </c>
      <c r="I3496" s="460">
        <v>43.848080000000003</v>
      </c>
      <c r="J3496" s="460">
        <v>177.9186</v>
      </c>
      <c r="K3496" s="460">
        <v>16876.499019999999</v>
      </c>
      <c r="L3496" s="459" t="s">
        <v>538</v>
      </c>
      <c r="O3496">
        <v>46.353999999999999</v>
      </c>
      <c r="P3496" t="s">
        <v>9884</v>
      </c>
    </row>
    <row r="3497" spans="1:16" ht="14.4" x14ac:dyDescent="0.3">
      <c r="A3497">
        <v>409676</v>
      </c>
      <c r="B3497" t="str">
        <f t="shared" si="108"/>
        <v>SEVROLL 05311 Elegant II tor dolny 4,05 m czarny mat</v>
      </c>
      <c r="C3497" s="185">
        <f t="shared" si="109"/>
        <v>96.930599999999998</v>
      </c>
      <c r="D3497" s="407" t="s">
        <v>1410</v>
      </c>
      <c r="E3497" s="407" t="s">
        <v>1854</v>
      </c>
      <c r="F3497" s="407" t="s">
        <v>5868</v>
      </c>
      <c r="G3497" s="407" t="s">
        <v>5869</v>
      </c>
      <c r="H3497" s="460">
        <v>713.61551999999995</v>
      </c>
      <c r="I3497" s="460">
        <v>25.658280000000001</v>
      </c>
      <c r="J3497" s="460">
        <v>96.930599999999998</v>
      </c>
      <c r="K3497" s="460">
        <v>9875.5060699999995</v>
      </c>
      <c r="L3497" s="459" t="s">
        <v>538</v>
      </c>
      <c r="O3497">
        <v>25.564</v>
      </c>
      <c r="P3497" t="s">
        <v>9885</v>
      </c>
    </row>
    <row r="3498" spans="1:16" ht="14.4" x14ac:dyDescent="0.3">
      <c r="A3498">
        <v>409678</v>
      </c>
      <c r="B3498" t="str">
        <f t="shared" si="108"/>
        <v>SEVROLL 05309 Elegant II tor dolny 2,35 m czarny mat</v>
      </c>
      <c r="C3498" s="185">
        <f t="shared" si="109"/>
        <v>56.242800000000003</v>
      </c>
      <c r="D3498" s="407" t="s">
        <v>1411</v>
      </c>
      <c r="E3498" s="407" t="s">
        <v>1855</v>
      </c>
      <c r="F3498" s="407" t="s">
        <v>5870</v>
      </c>
      <c r="G3498" s="407" t="s">
        <v>5871</v>
      </c>
      <c r="H3498" s="460">
        <v>414.70758000000001</v>
      </c>
      <c r="I3498" s="460">
        <v>14.91095</v>
      </c>
      <c r="J3498" s="460">
        <v>56.242800000000003</v>
      </c>
      <c r="K3498" s="460">
        <v>5739.01116</v>
      </c>
      <c r="L3498" s="459" t="s">
        <v>538</v>
      </c>
      <c r="O3498">
        <v>14.85</v>
      </c>
      <c r="P3498" t="s">
        <v>9886</v>
      </c>
    </row>
    <row r="3499" spans="1:16" ht="14.4" x14ac:dyDescent="0.3">
      <c r="A3499">
        <v>409679</v>
      </c>
      <c r="B3499" t="str">
        <f t="shared" si="108"/>
        <v>SEVROLL 05318 zaślepka do toru Elegant II 2,35m czarny mat</v>
      </c>
      <c r="C3499" s="185">
        <f t="shared" si="109"/>
        <v>16.870799999999999</v>
      </c>
      <c r="D3499" s="407" t="s">
        <v>1412</v>
      </c>
      <c r="E3499" s="407" t="s">
        <v>1856</v>
      </c>
      <c r="F3499" s="407" t="s">
        <v>5872</v>
      </c>
      <c r="G3499" s="407" t="s">
        <v>5873</v>
      </c>
      <c r="H3499" s="460">
        <v>128.10339999999999</v>
      </c>
      <c r="I3499" s="460">
        <v>4.6059999999999999</v>
      </c>
      <c r="J3499" s="460">
        <v>16.870799999999999</v>
      </c>
      <c r="K3499" s="460">
        <v>1772.7836600000001</v>
      </c>
      <c r="L3499" s="459" t="s">
        <v>538</v>
      </c>
      <c r="O3499">
        <v>4.532</v>
      </c>
      <c r="P3499" t="s">
        <v>9887</v>
      </c>
    </row>
    <row r="3500" spans="1:16" ht="14.4" x14ac:dyDescent="0.3">
      <c r="A3500">
        <v>409680</v>
      </c>
      <c r="B3500" t="str">
        <f t="shared" si="108"/>
        <v>SEVROLL 05320 zaślepka do toru Elegant II 4,05m czarny mat</v>
      </c>
      <c r="C3500" s="185">
        <f t="shared" si="109"/>
        <v>29.07</v>
      </c>
      <c r="D3500" s="407" t="s">
        <v>1413</v>
      </c>
      <c r="E3500" s="407" t="s">
        <v>1857</v>
      </c>
      <c r="F3500" s="407" t="s">
        <v>5874</v>
      </c>
      <c r="G3500" s="407" t="s">
        <v>5875</v>
      </c>
      <c r="H3500" s="460">
        <v>220.74315000000001</v>
      </c>
      <c r="I3500" s="460">
        <v>7.93689</v>
      </c>
      <c r="J3500" s="460">
        <v>29.07</v>
      </c>
      <c r="K3500" s="460">
        <v>3054.79655</v>
      </c>
      <c r="L3500" s="459" t="s">
        <v>538</v>
      </c>
      <c r="O3500">
        <v>7.7880000000000003</v>
      </c>
      <c r="P3500" t="s">
        <v>9888</v>
      </c>
    </row>
    <row r="3501" spans="1:16" ht="14.4" x14ac:dyDescent="0.3">
      <c r="A3501">
        <v>409682</v>
      </c>
      <c r="B3501" t="str">
        <f t="shared" si="108"/>
        <v>SEVROLL kątownik Mini 17x11 mm 2,35 m czarny mat</v>
      </c>
      <c r="C3501" s="185">
        <f t="shared" si="109"/>
        <v>16.901399999999999</v>
      </c>
      <c r="D3501" s="407" t="s">
        <v>5876</v>
      </c>
      <c r="E3501" s="407" t="s">
        <v>5877</v>
      </c>
      <c r="F3501" s="407" t="s">
        <v>5878</v>
      </c>
      <c r="G3501" s="407" t="s">
        <v>5879</v>
      </c>
      <c r="H3501" s="460">
        <v>122.31341</v>
      </c>
      <c r="I3501" s="460">
        <v>4.3978200000000003</v>
      </c>
      <c r="J3501" s="460">
        <v>16.901399999999999</v>
      </c>
      <c r="K3501" s="460">
        <v>1692.6579200000001</v>
      </c>
      <c r="L3501" s="459" t="s">
        <v>538</v>
      </c>
      <c r="O3501">
        <v>4.5540000000000003</v>
      </c>
      <c r="P3501" t="s">
        <v>9889</v>
      </c>
    </row>
    <row r="3502" spans="1:16" ht="14.4" x14ac:dyDescent="0.3">
      <c r="A3502">
        <v>409683</v>
      </c>
      <c r="B3502" t="str">
        <f t="shared" si="108"/>
        <v>SEVROLL listwa łącząca H18 3m czarny mat</v>
      </c>
      <c r="C3502" s="185">
        <f t="shared" si="109"/>
        <v>62.464799999999997</v>
      </c>
      <c r="D3502" s="407" t="s">
        <v>1414</v>
      </c>
      <c r="E3502" s="407" t="s">
        <v>1858</v>
      </c>
      <c r="F3502" s="407" t="s">
        <v>5880</v>
      </c>
      <c r="G3502" s="407" t="s">
        <v>2405</v>
      </c>
      <c r="H3502" s="460">
        <v>433.52503999999999</v>
      </c>
      <c r="I3502" s="460">
        <v>15.587540000000001</v>
      </c>
      <c r="J3502" s="460">
        <v>62.464799999999997</v>
      </c>
      <c r="K3502" s="460">
        <v>5999.42029</v>
      </c>
      <c r="L3502" s="459" t="s">
        <v>538</v>
      </c>
      <c r="O3502">
        <v>16.5</v>
      </c>
      <c r="P3502" t="s">
        <v>9890</v>
      </c>
    </row>
    <row r="3503" spans="1:16" ht="14.4" x14ac:dyDescent="0.3">
      <c r="A3503">
        <v>409700</v>
      </c>
      <c r="B3503" t="str">
        <f t="shared" si="108"/>
        <v>SEVROLL 
20334-SV szczotka odbojowa wsuwana 14x4mm czarna</v>
      </c>
      <c r="C3503" s="185">
        <f t="shared" si="109"/>
        <v>1.43</v>
      </c>
      <c r="D3503" s="407" t="s">
        <v>1415</v>
      </c>
      <c r="E3503" s="407" t="s">
        <v>1859</v>
      </c>
      <c r="F3503" s="407" t="s">
        <v>5881</v>
      </c>
      <c r="G3503" s="407" t="s">
        <v>5882</v>
      </c>
      <c r="H3503" s="460">
        <v>11.520099999999999</v>
      </c>
      <c r="I3503" s="460">
        <v>0.39034000000000002</v>
      </c>
      <c r="J3503" s="460">
        <v>1.43</v>
      </c>
      <c r="K3503" s="460">
        <v>149.05521999999999</v>
      </c>
      <c r="L3503" s="459" t="s">
        <v>538</v>
      </c>
      <c r="O3503">
        <v>0.37444</v>
      </c>
      <c r="P3503" t="s">
        <v>9891</v>
      </c>
    </row>
    <row r="3504" spans="1:16" ht="14.4" x14ac:dyDescent="0.3">
      <c r="A3504">
        <v>409699</v>
      </c>
      <c r="B3504" t="str">
        <f t="shared" si="108"/>
        <v>SEVROLL 20403-SV szczotka odbojowa wsuwana 4,8x4mm czarna</v>
      </c>
      <c r="C3504" s="185">
        <f t="shared" si="109"/>
        <v>0.59360000000000002</v>
      </c>
      <c r="D3504" s="407" t="s">
        <v>1416</v>
      </c>
      <c r="E3504" s="407" t="s">
        <v>1860</v>
      </c>
      <c r="F3504" s="407" t="s">
        <v>5883</v>
      </c>
      <c r="G3504" s="407" t="s">
        <v>5884</v>
      </c>
      <c r="H3504" s="460">
        <v>4.6080500000000004</v>
      </c>
      <c r="I3504" s="460">
        <v>0.15629999999999999</v>
      </c>
      <c r="J3504" s="460">
        <v>0.59360000000000002</v>
      </c>
      <c r="K3504" s="460">
        <v>61.50817</v>
      </c>
      <c r="L3504" s="459" t="s">
        <v>538</v>
      </c>
      <c r="O3504">
        <v>0.15576000000000001</v>
      </c>
      <c r="P3504" t="s">
        <v>9892</v>
      </c>
    </row>
    <row r="3505" spans="1:16" ht="14.4" x14ac:dyDescent="0.3">
      <c r="A3505">
        <v>412226</v>
      </c>
      <c r="B3505" t="str">
        <f t="shared" si="108"/>
        <v>SEVROLL kątownik Mini 17x11 mm 3 m czarny mat</v>
      </c>
      <c r="C3505" s="185">
        <f t="shared" si="109"/>
        <v>21.583200000000001</v>
      </c>
      <c r="D3505" s="407" t="s">
        <v>6046</v>
      </c>
      <c r="E3505" s="407" t="s">
        <v>6047</v>
      </c>
      <c r="F3505" s="407" t="s">
        <v>6048</v>
      </c>
      <c r="G3505" s="407" t="s">
        <v>6049</v>
      </c>
      <c r="H3505" s="460">
        <v>156.32956999999999</v>
      </c>
      <c r="I3505" s="460">
        <v>5.6208799999999997</v>
      </c>
      <c r="J3505" s="460">
        <v>21.583200000000001</v>
      </c>
      <c r="K3505" s="460">
        <v>2163.3967400000001</v>
      </c>
      <c r="L3505" s="459" t="s">
        <v>538</v>
      </c>
      <c r="O3505">
        <v>5.7640000000000002</v>
      </c>
      <c r="P3505" t="s">
        <v>10152</v>
      </c>
    </row>
    <row r="3506" spans="1:16" ht="14.4" x14ac:dyDescent="0.3">
      <c r="A3506">
        <v>412229</v>
      </c>
      <c r="B3506" t="str">
        <f t="shared" si="108"/>
        <v>SEVROLL Gemini tor górny 3 m czarny mat</v>
      </c>
      <c r="C3506" s="185">
        <f t="shared" si="109"/>
        <v>131.79419999999999</v>
      </c>
      <c r="D3506" s="407" t="s">
        <v>1541</v>
      </c>
      <c r="E3506" s="407" t="s">
        <v>1969</v>
      </c>
      <c r="F3506" s="407" t="s">
        <v>6050</v>
      </c>
      <c r="G3506" s="407" t="s">
        <v>6051</v>
      </c>
      <c r="H3506" s="460">
        <v>903.23748000000001</v>
      </c>
      <c r="I3506" s="460">
        <v>32.476199999999999</v>
      </c>
      <c r="J3506" s="460">
        <v>131.79419999999999</v>
      </c>
      <c r="K3506" s="460">
        <v>12499.626490000001</v>
      </c>
      <c r="L3506" s="459" t="s">
        <v>538</v>
      </c>
      <c r="O3506">
        <v>34.341999999999999</v>
      </c>
      <c r="P3506" t="s">
        <v>10153</v>
      </c>
    </row>
    <row r="3507" spans="1:16" ht="14.4" x14ac:dyDescent="0.3">
      <c r="A3507">
        <v>412231</v>
      </c>
      <c r="B3507" t="str">
        <f t="shared" si="108"/>
        <v>SEVROLL Elegant II tor dolny 3 m czarny mat</v>
      </c>
      <c r="C3507" s="185">
        <f t="shared" si="109"/>
        <v>71.808000000000007</v>
      </c>
      <c r="D3507" s="407" t="s">
        <v>1542</v>
      </c>
      <c r="E3507" s="407" t="s">
        <v>1970</v>
      </c>
      <c r="F3507" s="407" t="s">
        <v>6052</v>
      </c>
      <c r="G3507" s="407" t="s">
        <v>6053</v>
      </c>
      <c r="H3507" s="460">
        <v>526.88854000000003</v>
      </c>
      <c r="I3507" s="460">
        <v>18.94445</v>
      </c>
      <c r="J3507" s="460">
        <v>71.808000000000007</v>
      </c>
      <c r="K3507" s="460">
        <v>7291.4487600000002</v>
      </c>
      <c r="L3507" s="459" t="s">
        <v>538</v>
      </c>
      <c r="O3507">
        <v>18.876000000000001</v>
      </c>
      <c r="P3507" t="s">
        <v>10154</v>
      </c>
    </row>
    <row r="3508" spans="1:16" ht="14.4" x14ac:dyDescent="0.3">
      <c r="A3508">
        <v>413734</v>
      </c>
      <c r="B3508" t="str">
        <f t="shared" si="108"/>
        <v>SEVROLL Taboret-podest składany szary wys. 27cm</v>
      </c>
      <c r="C3508" s="185">
        <f t="shared" si="109"/>
        <v>5.6100000000000004E-3</v>
      </c>
      <c r="D3508" s="407" t="s">
        <v>1364</v>
      </c>
      <c r="E3508" s="407" t="s">
        <v>1814</v>
      </c>
      <c r="F3508" s="407" t="s">
        <v>68</v>
      </c>
      <c r="G3508" s="407" t="s">
        <v>5834</v>
      </c>
      <c r="H3508" s="460">
        <v>0.28789999999999999</v>
      </c>
      <c r="I3508" s="460">
        <v>0</v>
      </c>
      <c r="J3508" s="460">
        <v>5.6100000000000004E-3</v>
      </c>
      <c r="K3508" s="460">
        <v>0</v>
      </c>
      <c r="L3508" s="459" t="s">
        <v>541</v>
      </c>
      <c r="O3508">
        <v>5.9729999999999999</v>
      </c>
      <c r="P3508" t="s">
        <v>9767</v>
      </c>
    </row>
    <row r="3509" spans="1:16" ht="14.4" x14ac:dyDescent="0.3">
      <c r="A3509">
        <v>413735</v>
      </c>
      <c r="B3509" t="str">
        <f t="shared" si="108"/>
        <v>SEVROLL Taboret-podest składany szary wys. 39cm</v>
      </c>
      <c r="C3509" s="185" t="e">
        <f t="shared" si="109"/>
        <v>#N/A</v>
      </c>
      <c r="D3509" s="407" t="s">
        <v>1365</v>
      </c>
      <c r="E3509" s="407" t="s">
        <v>1814</v>
      </c>
      <c r="F3509" s="407" t="s">
        <v>68</v>
      </c>
      <c r="G3509" s="407" t="s">
        <v>5835</v>
      </c>
      <c r="H3509" s="460" t="e">
        <v>#N/A</v>
      </c>
      <c r="I3509" s="460" t="e">
        <v>#N/A</v>
      </c>
      <c r="J3509" s="460" t="e">
        <v>#N/A</v>
      </c>
      <c r="K3509" s="460" t="e">
        <v>#N/A</v>
      </c>
      <c r="L3509" s="459" t="e">
        <v>#N/A</v>
      </c>
      <c r="O3509">
        <v>7.8650000000000002</v>
      </c>
      <c r="P3509" t="s">
        <v>9767</v>
      </c>
    </row>
    <row r="3510" spans="1:16" ht="14.4" x14ac:dyDescent="0.3">
      <c r="A3510">
        <v>414086</v>
      </c>
      <c r="B3510" t="str">
        <f t="shared" si="108"/>
        <v>SEVROLL maskownica do toru Elegant II 3m czarny mat</v>
      </c>
      <c r="C3510" s="185">
        <f t="shared" si="109"/>
        <v>21.542400000000001</v>
      </c>
      <c r="D3510" s="407" t="s">
        <v>1366</v>
      </c>
      <c r="E3510" s="407" t="s">
        <v>1815</v>
      </c>
      <c r="F3510" s="407" t="s">
        <v>5836</v>
      </c>
      <c r="G3510" s="407" t="s">
        <v>5837</v>
      </c>
      <c r="H3510" s="460">
        <v>163.56704999999999</v>
      </c>
      <c r="I3510" s="460">
        <v>5.8811099999999996</v>
      </c>
      <c r="J3510" s="460">
        <v>21.542400000000001</v>
      </c>
      <c r="K3510" s="460">
        <v>2263.5540099999998</v>
      </c>
      <c r="L3510" s="459" t="s">
        <v>538</v>
      </c>
      <c r="O3510">
        <v>5.7640000000000002</v>
      </c>
      <c r="P3510" t="s">
        <v>9768</v>
      </c>
    </row>
    <row r="3511" spans="1:16" ht="14.4" x14ac:dyDescent="0.3">
      <c r="A3511">
        <v>416695</v>
      </c>
      <c r="B3511" t="str">
        <f t="shared" si="108"/>
        <v>SEVROLL Harmony zestaw okuć dla 2 drzwi</v>
      </c>
      <c r="C3511" s="185" t="e">
        <f t="shared" si="109"/>
        <v>#N/A</v>
      </c>
      <c r="D3511" s="407" t="s">
        <v>1360</v>
      </c>
      <c r="E3511" s="407" t="s">
        <v>1812</v>
      </c>
      <c r="F3511" s="407" t="s">
        <v>2160</v>
      </c>
      <c r="G3511" s="407" t="s">
        <v>2377</v>
      </c>
      <c r="H3511" s="460" t="e">
        <v>#N/A</v>
      </c>
      <c r="I3511" s="460" t="e">
        <v>#N/A</v>
      </c>
      <c r="J3511" s="460" t="e">
        <v>#N/A</v>
      </c>
      <c r="K3511" s="460" t="e">
        <v>#N/A</v>
      </c>
      <c r="L3511" s="459" t="e">
        <v>#N/A</v>
      </c>
      <c r="O3511" t="e">
        <v>#N/A</v>
      </c>
      <c r="P3511" t="e">
        <v>#N/A</v>
      </c>
    </row>
    <row r="3512" spans="1:16" ht="14.4" x14ac:dyDescent="0.3">
      <c r="A3512">
        <v>421952</v>
      </c>
      <c r="B3512" t="str">
        <f t="shared" si="108"/>
        <v>SEVROLL Elegant II tor dolny 150mm biały matowy (wzorek)</v>
      </c>
      <c r="C3512" s="185" t="e">
        <f t="shared" si="109"/>
        <v>#N/A</v>
      </c>
      <c r="D3512" s="407" t="s">
        <v>1281</v>
      </c>
      <c r="E3512" s="407" t="s">
        <v>1733</v>
      </c>
      <c r="F3512" s="407" t="s">
        <v>2148</v>
      </c>
      <c r="G3512" s="407" t="s">
        <v>2316</v>
      </c>
      <c r="H3512" s="460" t="e">
        <v>#N/A</v>
      </c>
      <c r="I3512" s="460" t="e">
        <v>#N/A</v>
      </c>
      <c r="J3512" s="460" t="e">
        <v>#N/A</v>
      </c>
      <c r="K3512" s="460" t="e">
        <v>#N/A</v>
      </c>
      <c r="L3512" s="459" t="e">
        <v>#N/A</v>
      </c>
      <c r="O3512">
        <v>0</v>
      </c>
      <c r="P3512" t="s">
        <v>9561</v>
      </c>
    </row>
    <row r="3513" spans="1:16" ht="14.4" x14ac:dyDescent="0.3">
      <c r="A3513">
        <v>421953</v>
      </c>
      <c r="B3513" t="str">
        <f t="shared" si="108"/>
        <v>SEVROLL Elegant II tor dolny 150mm czarny połysk (wzorek)</v>
      </c>
      <c r="C3513" s="185" t="e">
        <f t="shared" si="109"/>
        <v>#N/A</v>
      </c>
      <c r="D3513" s="407" t="s">
        <v>1282</v>
      </c>
      <c r="E3513" s="407" t="s">
        <v>1734</v>
      </c>
      <c r="F3513" s="407" t="s">
        <v>5742</v>
      </c>
      <c r="G3513" s="407" t="s">
        <v>2317</v>
      </c>
      <c r="H3513" s="460" t="e">
        <v>#N/A</v>
      </c>
      <c r="I3513" s="460" t="e">
        <v>#N/A</v>
      </c>
      <c r="J3513" s="460" t="e">
        <v>#N/A</v>
      </c>
      <c r="K3513" s="460" t="e">
        <v>#N/A</v>
      </c>
      <c r="L3513" s="459" t="e">
        <v>#N/A</v>
      </c>
      <c r="O3513">
        <v>0</v>
      </c>
      <c r="P3513" t="s">
        <v>9562</v>
      </c>
    </row>
    <row r="3514" spans="1:16" ht="14.4" x14ac:dyDescent="0.3">
      <c r="A3514">
        <v>422008</v>
      </c>
      <c r="B3514" t="str">
        <f t="shared" si="108"/>
        <v>SEVROLL Gemini tor górny 1,7 m czarny mat</v>
      </c>
      <c r="C3514" s="185">
        <f t="shared" si="109"/>
        <v>74.653800000000004</v>
      </c>
      <c r="D3514" s="407" t="s">
        <v>1284</v>
      </c>
      <c r="E3514" s="407" t="s">
        <v>1736</v>
      </c>
      <c r="F3514" s="407" t="s">
        <v>5745</v>
      </c>
      <c r="G3514" s="407" t="s">
        <v>5746</v>
      </c>
      <c r="H3514" s="460">
        <v>511.68982999999997</v>
      </c>
      <c r="I3514" s="460">
        <v>18.39798</v>
      </c>
      <c r="J3514" s="460">
        <v>74.653800000000004</v>
      </c>
      <c r="K3514" s="460">
        <v>7081.1186600000001</v>
      </c>
      <c r="L3514" s="459" t="s">
        <v>538</v>
      </c>
      <c r="O3514">
        <v>19.492000000000001</v>
      </c>
      <c r="P3514" t="s">
        <v>9565</v>
      </c>
    </row>
    <row r="3515" spans="1:16" ht="14.4" x14ac:dyDescent="0.3">
      <c r="A3515">
        <v>422009</v>
      </c>
      <c r="B3515" t="str">
        <f t="shared" si="108"/>
        <v>SEVROLL Pax uchwyt przyklejany czarny polysk</v>
      </c>
      <c r="C3515" s="185">
        <f t="shared" si="109"/>
        <v>32.751550000000002</v>
      </c>
      <c r="D3515" s="407" t="s">
        <v>1285</v>
      </c>
      <c r="E3515" s="407" t="s">
        <v>1737</v>
      </c>
      <c r="F3515" s="407" t="s">
        <v>5747</v>
      </c>
      <c r="G3515" s="407" t="s">
        <v>2318</v>
      </c>
      <c r="H3515" s="460">
        <v>264.89177000000001</v>
      </c>
      <c r="I3515" s="460">
        <v>9.5242699999999996</v>
      </c>
      <c r="J3515" s="460">
        <v>32.751550000000002</v>
      </c>
      <c r="K3515" s="460">
        <v>3665.7557099999999</v>
      </c>
      <c r="L3515" s="459" t="s">
        <v>539</v>
      </c>
      <c r="O3515">
        <v>8.4700000000000006</v>
      </c>
      <c r="P3515" t="s">
        <v>9566</v>
      </c>
    </row>
    <row r="3516" spans="1:16" ht="14.4" x14ac:dyDescent="0.3">
      <c r="A3516">
        <v>422012</v>
      </c>
      <c r="B3516" t="str">
        <f t="shared" si="108"/>
        <v>SEVROLL Pax zaślepka do rączki (4 szt.), czarny mat</v>
      </c>
      <c r="C3516" s="185">
        <f t="shared" si="109"/>
        <v>34.68</v>
      </c>
      <c r="D3516" s="407" t="s">
        <v>1286</v>
      </c>
      <c r="E3516" s="407" t="s">
        <v>1738</v>
      </c>
      <c r="F3516" s="407" t="s">
        <v>5748</v>
      </c>
      <c r="G3516" s="407" t="s">
        <v>2319</v>
      </c>
      <c r="H3516" s="460">
        <v>267.26607999999999</v>
      </c>
      <c r="I3516" s="460">
        <v>9.0558599999999991</v>
      </c>
      <c r="J3516" s="460">
        <v>34.68</v>
      </c>
      <c r="K3516" s="460">
        <v>3567.4838199999999</v>
      </c>
      <c r="L3516" s="459" t="s">
        <v>539</v>
      </c>
      <c r="O3516">
        <v>9.3059999999999992</v>
      </c>
      <c r="P3516" t="s">
        <v>9567</v>
      </c>
    </row>
    <row r="3517" spans="1:16" ht="14.4" x14ac:dyDescent="0.3">
      <c r="A3517">
        <v>422013</v>
      </c>
      <c r="B3517" t="str">
        <f t="shared" si="108"/>
        <v>SEVROLL profil "U" do płyty laminowanej 18mm 3m czarny mat</v>
      </c>
      <c r="C3517" s="185">
        <f t="shared" si="109"/>
        <v>27.009599999999999</v>
      </c>
      <c r="D3517" s="407" t="s">
        <v>1287</v>
      </c>
      <c r="E3517" s="407" t="s">
        <v>1739</v>
      </c>
      <c r="F3517" s="407" t="s">
        <v>2149</v>
      </c>
      <c r="G3517" s="407" t="s">
        <v>2320</v>
      </c>
      <c r="H3517" s="460">
        <v>172.25201999999999</v>
      </c>
      <c r="I3517" s="460">
        <v>6.1933800000000003</v>
      </c>
      <c r="J3517" s="460">
        <v>27.009599999999999</v>
      </c>
      <c r="K3517" s="460">
        <v>2383.7428100000002</v>
      </c>
      <c r="L3517" s="459" t="s">
        <v>538</v>
      </c>
      <c r="O3517">
        <v>6.5339999999999998</v>
      </c>
      <c r="P3517" t="s">
        <v>9568</v>
      </c>
    </row>
    <row r="3518" spans="1:16" ht="14.4" x14ac:dyDescent="0.3">
      <c r="A3518">
        <v>422014</v>
      </c>
      <c r="B3518" t="str">
        <f t="shared" si="108"/>
        <v>SEVROLL 05296 kątownik Mini 17x11 mm 1,7 m czarny mat</v>
      </c>
      <c r="C3518" s="185">
        <f t="shared" si="109"/>
        <v>12.2094</v>
      </c>
      <c r="D3518" s="407" t="s">
        <v>5749</v>
      </c>
      <c r="E3518" s="407" t="s">
        <v>5750</v>
      </c>
      <c r="F3518" s="407" t="s">
        <v>5751</v>
      </c>
      <c r="G3518" s="407" t="s">
        <v>5752</v>
      </c>
      <c r="H3518" s="460">
        <v>88.297250000000005</v>
      </c>
      <c r="I3518" s="460">
        <v>3.17476</v>
      </c>
      <c r="J3518" s="460">
        <v>12.2094</v>
      </c>
      <c r="K3518" s="460">
        <v>1221.9187199999999</v>
      </c>
      <c r="L3518" s="459" t="s">
        <v>538</v>
      </c>
      <c r="O3518">
        <v>3.2559999999999998</v>
      </c>
      <c r="P3518" t="s">
        <v>9569</v>
      </c>
    </row>
    <row r="3519" spans="1:16" ht="14.4" x14ac:dyDescent="0.3">
      <c r="A3519">
        <v>422027</v>
      </c>
      <c r="B3519" t="str">
        <f t="shared" si="108"/>
        <v>SEVROLL listwa pozioma dolna 1,7m 10mm czarny mat</v>
      </c>
      <c r="C3519" s="185">
        <f t="shared" si="109"/>
        <v>70.369799999999998</v>
      </c>
      <c r="D3519" s="407" t="s">
        <v>3446</v>
      </c>
      <c r="E3519" s="407" t="s">
        <v>1740</v>
      </c>
      <c r="F3519" s="407" t="s">
        <v>5753</v>
      </c>
      <c r="G3519" s="407" t="s">
        <v>2321</v>
      </c>
      <c r="H3519" s="460">
        <v>529.78351999999995</v>
      </c>
      <c r="I3519" s="460">
        <v>19.048539999999999</v>
      </c>
      <c r="J3519" s="460">
        <v>70.369799999999998</v>
      </c>
      <c r="K3519" s="460">
        <v>7331.51181</v>
      </c>
      <c r="L3519" s="459" t="s">
        <v>538</v>
      </c>
      <c r="O3519">
        <v>18.282</v>
      </c>
      <c r="P3519" t="s">
        <v>9570</v>
      </c>
    </row>
    <row r="3520" spans="1:16" ht="14.4" x14ac:dyDescent="0.3">
      <c r="A3520">
        <v>422029</v>
      </c>
      <c r="B3520" t="str">
        <f t="shared" si="108"/>
        <v>SEVROLL listwa pozioma dolna 2,35m 10mm czarny mat</v>
      </c>
      <c r="C3520" s="185">
        <f t="shared" si="109"/>
        <v>97.287599999999998</v>
      </c>
      <c r="D3520" s="407" t="s">
        <v>3447</v>
      </c>
      <c r="E3520" s="407" t="s">
        <v>1741</v>
      </c>
      <c r="F3520" s="407" t="s">
        <v>5754</v>
      </c>
      <c r="G3520" s="407" t="s">
        <v>2322</v>
      </c>
      <c r="H3520" s="460">
        <v>731.70920999999998</v>
      </c>
      <c r="I3520" s="460">
        <v>26.30885</v>
      </c>
      <c r="J3520" s="460">
        <v>97.287599999999998</v>
      </c>
      <c r="K3520" s="460">
        <v>10125.899240000001</v>
      </c>
      <c r="L3520" s="459" t="s">
        <v>538</v>
      </c>
      <c r="O3520">
        <v>25.3</v>
      </c>
      <c r="P3520" t="s">
        <v>9571</v>
      </c>
    </row>
    <row r="3521" spans="1:16" ht="14.4" x14ac:dyDescent="0.3">
      <c r="A3521">
        <v>422030</v>
      </c>
      <c r="B3521" t="str">
        <f t="shared" si="108"/>
        <v>SEVROLL listaw pozioma dolna 3m 10mm czarny mat</v>
      </c>
      <c r="C3521" s="185">
        <f t="shared" si="109"/>
        <v>124.22580000000001</v>
      </c>
      <c r="D3521" s="407" t="s">
        <v>3448</v>
      </c>
      <c r="E3521" s="407" t="s">
        <v>1742</v>
      </c>
      <c r="F3521" s="407" t="s">
        <v>5755</v>
      </c>
      <c r="G3521" s="407" t="s">
        <v>2323</v>
      </c>
      <c r="H3521" s="460">
        <v>936.52988000000005</v>
      </c>
      <c r="I3521" s="460">
        <v>33.67324</v>
      </c>
      <c r="J3521" s="460">
        <v>124.22580000000001</v>
      </c>
      <c r="K3521" s="460">
        <v>12960.35014</v>
      </c>
      <c r="L3521" s="459" t="s">
        <v>538</v>
      </c>
      <c r="O3521">
        <v>32.317999999999998</v>
      </c>
      <c r="P3521" t="s">
        <v>9572</v>
      </c>
    </row>
    <row r="3522" spans="1:16" ht="14.4" x14ac:dyDescent="0.3">
      <c r="A3522">
        <v>422032</v>
      </c>
      <c r="B3522" t="str">
        <f t="shared" si="108"/>
        <v>SEVROLL Pax maskownica dolna 3m 4mm czarny mat</v>
      </c>
      <c r="C3522" s="185">
        <f t="shared" si="109"/>
        <v>129.11160000000001</v>
      </c>
      <c r="D3522" s="407" t="s">
        <v>3449</v>
      </c>
      <c r="E3522" s="407" t="s">
        <v>1743</v>
      </c>
      <c r="F3522" s="407" t="s">
        <v>5756</v>
      </c>
      <c r="G3522" s="407" t="s">
        <v>2324</v>
      </c>
      <c r="H3522" s="460">
        <v>940.87237000000005</v>
      </c>
      <c r="I3522" s="460">
        <v>33.82938</v>
      </c>
      <c r="J3522" s="460">
        <v>129.11160000000001</v>
      </c>
      <c r="K3522" s="460">
        <v>13020.44433</v>
      </c>
      <c r="L3522" s="459" t="s">
        <v>539</v>
      </c>
      <c r="O3522">
        <v>34.671999999999997</v>
      </c>
      <c r="P3522" t="s">
        <v>9573</v>
      </c>
    </row>
    <row r="3523" spans="1:16" ht="14.4" x14ac:dyDescent="0.3">
      <c r="A3523">
        <v>422033</v>
      </c>
      <c r="B3523" t="str">
        <f t="shared" si="108"/>
        <v>SEVROLL Pax XL maskownica dolna 3m 4mm bialy polysk</v>
      </c>
      <c r="C3523" s="185" t="e">
        <f t="shared" si="109"/>
        <v>#N/A</v>
      </c>
      <c r="D3523" s="407" t="s">
        <v>3450</v>
      </c>
      <c r="E3523" s="407" t="s">
        <v>1744</v>
      </c>
      <c r="F3523" s="407" t="s">
        <v>3560</v>
      </c>
      <c r="G3523" s="407" t="s">
        <v>2325</v>
      </c>
      <c r="H3523" s="460" t="e">
        <v>#N/A</v>
      </c>
      <c r="I3523" s="460" t="e">
        <v>#N/A</v>
      </c>
      <c r="J3523" s="460" t="e">
        <v>#N/A</v>
      </c>
      <c r="K3523" s="460" t="e">
        <v>#N/A</v>
      </c>
      <c r="L3523" s="459" t="e">
        <v>#N/A</v>
      </c>
      <c r="O3523">
        <v>38.962000000000003</v>
      </c>
      <c r="P3523" t="s">
        <v>9574</v>
      </c>
    </row>
    <row r="3524" spans="1:16" ht="14.4" x14ac:dyDescent="0.3">
      <c r="A3524">
        <v>422036</v>
      </c>
      <c r="B3524" t="str">
        <f t="shared" ref="B3524:B3587" si="110">IF($A$2=1,D3524,IF($A$2=2,F3524,IF($A$2=3,G3524,IF($A$2=4,E3524,IF($A$2&gt;4,P3524,"zadat jazyk")))))</f>
        <v>SEVROLL Pax XL maskownica dolna 3m 4mm czarny mat</v>
      </c>
      <c r="C3524" s="185">
        <f t="shared" ref="C3524:C3587" si="111">IF($A$2=1,H3524,IF($A$2=2,I3524,IF($A$2=3,J3524,IF($A$2=4,K3524,IF($A$2&gt;4,O3524,"zadat jazyk")))))</f>
        <v>145.11539999999999</v>
      </c>
      <c r="D3524" s="407" t="s">
        <v>3451</v>
      </c>
      <c r="E3524" s="407" t="s">
        <v>1745</v>
      </c>
      <c r="F3524" s="407" t="s">
        <v>5757</v>
      </c>
      <c r="G3524" s="407" t="s">
        <v>2326</v>
      </c>
      <c r="H3524" s="460">
        <v>1051.60581</v>
      </c>
      <c r="I3524" s="460">
        <v>37.810839999999999</v>
      </c>
      <c r="J3524" s="460">
        <v>145.11539999999999</v>
      </c>
      <c r="K3524" s="460">
        <v>14552.850409999999</v>
      </c>
      <c r="L3524" s="459" t="s">
        <v>539</v>
      </c>
      <c r="O3524">
        <v>38.962000000000003</v>
      </c>
      <c r="P3524" t="s">
        <v>9575</v>
      </c>
    </row>
    <row r="3525" spans="1:16" ht="14.4" x14ac:dyDescent="0.3">
      <c r="A3525">
        <v>422043</v>
      </c>
      <c r="B3525" t="str">
        <f t="shared" si="110"/>
        <v>SEVROLL listwa pozioma górna 1,7m czarny mat</v>
      </c>
      <c r="C3525" s="185">
        <f t="shared" si="111"/>
        <v>59.986199999999997</v>
      </c>
      <c r="D3525" s="407" t="s">
        <v>1293</v>
      </c>
      <c r="E3525" s="407" t="s">
        <v>1746</v>
      </c>
      <c r="F3525" s="407" t="s">
        <v>5758</v>
      </c>
      <c r="G3525" s="407" t="s">
        <v>2327</v>
      </c>
      <c r="H3525" s="460">
        <v>291.67043000000001</v>
      </c>
      <c r="I3525" s="460">
        <v>10.487109999999999</v>
      </c>
      <c r="J3525" s="460">
        <v>59.986199999999997</v>
      </c>
      <c r="K3525" s="460">
        <v>4036.3376800000001</v>
      </c>
      <c r="L3525" s="459" t="s">
        <v>538</v>
      </c>
      <c r="O3525">
        <v>11.33</v>
      </c>
      <c r="P3525" t="s">
        <v>9576</v>
      </c>
    </row>
    <row r="3526" spans="1:16" ht="14.4" x14ac:dyDescent="0.3">
      <c r="A3526">
        <v>425057</v>
      </c>
      <c r="B3526" t="str">
        <f t="shared" si="110"/>
        <v>SEVROLL Fox II rączka 2,7m czarny mat</v>
      </c>
      <c r="C3526" s="185">
        <f t="shared" si="111"/>
        <v>80.416799999999995</v>
      </c>
      <c r="D3526" s="407" t="s">
        <v>1505</v>
      </c>
      <c r="E3526" s="407" t="s">
        <v>1932</v>
      </c>
      <c r="F3526" s="407" t="s">
        <v>6007</v>
      </c>
      <c r="G3526" s="407" t="s">
        <v>2452</v>
      </c>
      <c r="H3526" s="460">
        <v>600.71082000000001</v>
      </c>
      <c r="I3526" s="460">
        <v>21.598759999999999</v>
      </c>
      <c r="J3526" s="460">
        <v>80.416799999999995</v>
      </c>
      <c r="K3526" s="460">
        <v>8313.0529399999996</v>
      </c>
      <c r="L3526" s="459" t="s">
        <v>538</v>
      </c>
      <c r="O3526">
        <v>20.283999999999999</v>
      </c>
      <c r="P3526" t="s">
        <v>10093</v>
      </c>
    </row>
    <row r="3527" spans="1:16" ht="14.4" x14ac:dyDescent="0.3">
      <c r="A3527">
        <v>452601</v>
      </c>
      <c r="B3527" t="str">
        <f t="shared" si="110"/>
        <v>SEVROLL 05306 Faworyt II rączka 2,7 m, czarna matowa</v>
      </c>
      <c r="C3527" s="185">
        <f t="shared" si="111"/>
        <v>60.088200000000001</v>
      </c>
      <c r="D3527" s="407" t="s">
        <v>1347</v>
      </c>
      <c r="E3527" s="407" t="s">
        <v>1799</v>
      </c>
      <c r="F3527" s="407" t="s">
        <v>5812</v>
      </c>
      <c r="G3527" s="407" t="s">
        <v>5813</v>
      </c>
      <c r="H3527" s="460">
        <v>455.23748000000001</v>
      </c>
      <c r="I3527" s="460">
        <v>16.368220000000001</v>
      </c>
      <c r="J3527" s="460">
        <v>60.088200000000001</v>
      </c>
      <c r="K3527" s="460">
        <v>6299.8920699999999</v>
      </c>
      <c r="L3527" s="459" t="s">
        <v>538</v>
      </c>
      <c r="O3527">
        <v>16.126000000000001</v>
      </c>
      <c r="P3527" t="s">
        <v>9667</v>
      </c>
    </row>
    <row r="3528" spans="1:16" ht="14.4" x14ac:dyDescent="0.3">
      <c r="A3528">
        <v>452604</v>
      </c>
      <c r="B3528" t="str">
        <f t="shared" si="110"/>
        <v>SEVROLL listwa łącząca H30 3m czarny mat</v>
      </c>
      <c r="C3528" s="185">
        <f t="shared" si="111"/>
        <v>102.1734</v>
      </c>
      <c r="D3528" s="407" t="s">
        <v>1348</v>
      </c>
      <c r="E3528" s="407" t="s">
        <v>1800</v>
      </c>
      <c r="F3528" s="407" t="s">
        <v>5814</v>
      </c>
      <c r="G3528" s="407" t="s">
        <v>2369</v>
      </c>
      <c r="H3528" s="460">
        <v>814.21649000000002</v>
      </c>
      <c r="I3528" s="460">
        <v>29.27543</v>
      </c>
      <c r="J3528" s="460">
        <v>102.1734</v>
      </c>
      <c r="K3528" s="460">
        <v>11267.692220000001</v>
      </c>
      <c r="L3528" s="459" t="s">
        <v>538</v>
      </c>
      <c r="O3528">
        <v>27.434000000000001</v>
      </c>
      <c r="P3528" t="s">
        <v>9668</v>
      </c>
    </row>
    <row r="3529" spans="1:16" ht="14.4" x14ac:dyDescent="0.3">
      <c r="A3529">
        <v>452606</v>
      </c>
      <c r="B3529" t="str">
        <f t="shared" si="110"/>
        <v>SEVROLL 05341 teownik 04 3m czarny mat</v>
      </c>
      <c r="C3529" s="185">
        <f t="shared" si="111"/>
        <v>16.289400000000001</v>
      </c>
      <c r="D3529" s="407" t="s">
        <v>1349</v>
      </c>
      <c r="E3529" s="407" t="s">
        <v>1801</v>
      </c>
      <c r="F3529" s="407" t="s">
        <v>5815</v>
      </c>
      <c r="G3529" s="407" t="s">
        <v>5816</v>
      </c>
      <c r="H3529" s="460">
        <v>129.55089000000001</v>
      </c>
      <c r="I3529" s="460">
        <v>4.6580500000000002</v>
      </c>
      <c r="J3529" s="460">
        <v>16.289400000000001</v>
      </c>
      <c r="K3529" s="460">
        <v>1792.81519</v>
      </c>
      <c r="L3529" s="459" t="s">
        <v>538</v>
      </c>
      <c r="O3529">
        <v>4.3780000000000001</v>
      </c>
      <c r="P3529" t="s">
        <v>9669</v>
      </c>
    </row>
    <row r="3530" spans="1:16" ht="14.4" x14ac:dyDescent="0.3">
      <c r="A3530">
        <v>452608</v>
      </c>
      <c r="B3530" t="str">
        <f t="shared" si="110"/>
        <v>SEVROLL listwa pozioma górna 2,35m czarny mat</v>
      </c>
      <c r="C3530" s="185">
        <f t="shared" si="111"/>
        <v>82.936199999999999</v>
      </c>
      <c r="D3530" s="407" t="s">
        <v>1350</v>
      </c>
      <c r="E3530" s="407" t="s">
        <v>1802</v>
      </c>
      <c r="F3530" s="407" t="s">
        <v>5817</v>
      </c>
      <c r="G3530" s="407" t="s">
        <v>2370</v>
      </c>
      <c r="H3530" s="460">
        <v>403.85138000000001</v>
      </c>
      <c r="I3530" s="460">
        <v>14.52061</v>
      </c>
      <c r="J3530" s="460">
        <v>82.936199999999999</v>
      </c>
      <c r="K3530" s="460">
        <v>5588.7752499999997</v>
      </c>
      <c r="L3530" s="459" t="s">
        <v>538</v>
      </c>
      <c r="O3530">
        <v>15.641999999999999</v>
      </c>
      <c r="P3530" t="s">
        <v>9670</v>
      </c>
    </row>
    <row r="3531" spans="1:16" ht="14.4" x14ac:dyDescent="0.3">
      <c r="A3531">
        <v>452734</v>
      </c>
      <c r="B3531" t="str">
        <f t="shared" si="110"/>
        <v>SEVROLL listwa pozioma górna 3m czarny mat</v>
      </c>
      <c r="C3531" s="185">
        <f t="shared" si="111"/>
        <v>105.8454</v>
      </c>
      <c r="D3531" s="407" t="s">
        <v>1351</v>
      </c>
      <c r="E3531" s="407" t="s">
        <v>1803</v>
      </c>
      <c r="F3531" s="407" t="s">
        <v>5818</v>
      </c>
      <c r="G3531" s="407" t="s">
        <v>2371</v>
      </c>
      <c r="H3531" s="460">
        <v>515.30856000000006</v>
      </c>
      <c r="I3531" s="460">
        <v>18.528089999999999</v>
      </c>
      <c r="J3531" s="460">
        <v>105.8454</v>
      </c>
      <c r="K3531" s="460">
        <v>7131.1972999999998</v>
      </c>
      <c r="L3531" s="459" t="s">
        <v>538</v>
      </c>
      <c r="O3531">
        <v>19.931999999999999</v>
      </c>
      <c r="P3531" t="s">
        <v>9671</v>
      </c>
    </row>
    <row r="3532" spans="1:16" ht="14.4" x14ac:dyDescent="0.3">
      <c r="A3532">
        <v>452735</v>
      </c>
      <c r="B3532" t="str">
        <f t="shared" si="110"/>
        <v>SEVROLL Pax tor dolny 3m czarny mat</v>
      </c>
      <c r="C3532" s="185">
        <f t="shared" si="111"/>
        <v>112.2</v>
      </c>
      <c r="D3532" s="407" t="s">
        <v>1352</v>
      </c>
      <c r="E3532" s="407" t="s">
        <v>1804</v>
      </c>
      <c r="F3532" s="407" t="s">
        <v>5819</v>
      </c>
      <c r="G3532" s="407" t="s">
        <v>2372</v>
      </c>
      <c r="H3532" s="460">
        <v>816.38773000000003</v>
      </c>
      <c r="I3532" s="460">
        <v>29.353490000000001</v>
      </c>
      <c r="J3532" s="460">
        <v>112.2</v>
      </c>
      <c r="K3532" s="460">
        <v>11297.73933</v>
      </c>
      <c r="L3532" s="459" t="s">
        <v>539</v>
      </c>
      <c r="O3532">
        <v>30.117999999999999</v>
      </c>
      <c r="P3532" t="s">
        <v>9672</v>
      </c>
    </row>
    <row r="3533" spans="1:16" ht="14.4" x14ac:dyDescent="0.3">
      <c r="A3533">
        <v>452736</v>
      </c>
      <c r="B3533" t="str">
        <f t="shared" si="110"/>
        <v>SEVROLL 05316 Gemini tor górny 6m czarny mat</v>
      </c>
      <c r="C3533" s="185">
        <f t="shared" si="111"/>
        <v>0</v>
      </c>
      <c r="D3533" s="407" t="s">
        <v>1353</v>
      </c>
      <c r="E3533" s="407" t="s">
        <v>1805</v>
      </c>
      <c r="F3533" s="407" t="s">
        <v>5820</v>
      </c>
      <c r="G3533" s="407" t="s">
        <v>5821</v>
      </c>
      <c r="H3533" s="460">
        <v>1806.47497</v>
      </c>
      <c r="I3533" s="460">
        <v>64.95241</v>
      </c>
      <c r="J3533" s="460">
        <v>0</v>
      </c>
      <c r="K3533" s="460">
        <v>24999.252980000001</v>
      </c>
      <c r="L3533" s="459" t="s">
        <v>538</v>
      </c>
      <c r="O3533">
        <v>68.706000000000003</v>
      </c>
      <c r="P3533" t="s">
        <v>9673</v>
      </c>
    </row>
    <row r="3534" spans="1:16" ht="14.4" x14ac:dyDescent="0.3">
      <c r="A3534">
        <v>452743</v>
      </c>
      <c r="B3534" t="str">
        <f t="shared" si="110"/>
        <v>SEVROLL 05312 Elegant II tor dolny 6m czarny mat</v>
      </c>
      <c r="C3534" s="185">
        <f t="shared" si="111"/>
        <v>0</v>
      </c>
      <c r="D3534" s="407" t="s">
        <v>1354</v>
      </c>
      <c r="E3534" s="407" t="s">
        <v>1806</v>
      </c>
      <c r="F3534" s="407" t="s">
        <v>5822</v>
      </c>
      <c r="G3534" s="407" t="s">
        <v>5823</v>
      </c>
      <c r="H3534" s="460">
        <v>1054.50082</v>
      </c>
      <c r="I3534" s="460">
        <v>37.914929999999998</v>
      </c>
      <c r="J3534" s="460">
        <v>0</v>
      </c>
      <c r="K3534" s="460">
        <v>14592.91346</v>
      </c>
      <c r="L3534" s="459" t="s">
        <v>538</v>
      </c>
      <c r="O3534">
        <v>37.752000000000002</v>
      </c>
      <c r="P3534" t="s">
        <v>9674</v>
      </c>
    </row>
    <row r="3535" spans="1:16" ht="14.4" x14ac:dyDescent="0.3">
      <c r="A3535">
        <v>452751</v>
      </c>
      <c r="B3535" t="str">
        <f t="shared" si="110"/>
        <v>SEVROLL zaślepka do toru Elegant II 1,7m czarny mat</v>
      </c>
      <c r="C3535" s="185">
        <f t="shared" si="111"/>
        <v>12.199199999999999</v>
      </c>
      <c r="D3535" s="407" t="s">
        <v>1355</v>
      </c>
      <c r="E3535" s="407" t="s">
        <v>1807</v>
      </c>
      <c r="F3535" s="407" t="s">
        <v>5824</v>
      </c>
      <c r="G3535" s="407" t="s">
        <v>2373</v>
      </c>
      <c r="H3535" s="460">
        <v>92.639750000000006</v>
      </c>
      <c r="I3535" s="460">
        <v>3.3308900000000001</v>
      </c>
      <c r="J3535" s="460">
        <v>12.199199999999999</v>
      </c>
      <c r="K3535" s="460">
        <v>1282.0129099999999</v>
      </c>
      <c r="L3535" s="459" t="s">
        <v>538</v>
      </c>
      <c r="O3535">
        <v>3.278</v>
      </c>
      <c r="P3535" t="s">
        <v>9675</v>
      </c>
    </row>
    <row r="3536" spans="1:16" ht="14.4" x14ac:dyDescent="0.3">
      <c r="A3536">
        <v>452757</v>
      </c>
      <c r="B3536" t="str">
        <f t="shared" si="110"/>
        <v>SEVROLL maskownica do toru Elegant II 6m czarny mat</v>
      </c>
      <c r="C3536" s="185">
        <f t="shared" si="111"/>
        <v>0</v>
      </c>
      <c r="D3536" s="407" t="s">
        <v>1356</v>
      </c>
      <c r="E3536" s="407" t="s">
        <v>1808</v>
      </c>
      <c r="F3536" s="407" t="s">
        <v>5825</v>
      </c>
      <c r="G3536" s="407" t="s">
        <v>5826</v>
      </c>
      <c r="H3536" s="460">
        <v>327.13407999999998</v>
      </c>
      <c r="I3536" s="460">
        <v>11.762219999999999</v>
      </c>
      <c r="J3536" s="460">
        <v>0</v>
      </c>
      <c r="K3536" s="460">
        <v>4527.1084300000002</v>
      </c>
      <c r="L3536" s="459" t="s">
        <v>538</v>
      </c>
      <c r="O3536">
        <v>11.528</v>
      </c>
      <c r="P3536" t="s">
        <v>9676</v>
      </c>
    </row>
    <row r="3537" spans="1:16" ht="14.4" x14ac:dyDescent="0.3">
      <c r="A3537">
        <v>452761</v>
      </c>
      <c r="B3537" t="str">
        <f t="shared" si="110"/>
        <v>SEVROLL listwa łącząca H10 3m czarny mat</v>
      </c>
      <c r="C3537" s="185">
        <f t="shared" si="111"/>
        <v>67.289400000000001</v>
      </c>
      <c r="D3537" s="407" t="s">
        <v>1357</v>
      </c>
      <c r="E3537" s="407" t="s">
        <v>1809</v>
      </c>
      <c r="F3537" s="407" t="s">
        <v>5827</v>
      </c>
      <c r="G3537" s="407" t="s">
        <v>2374</v>
      </c>
      <c r="H3537" s="460">
        <v>440.03877999999997</v>
      </c>
      <c r="I3537" s="460">
        <v>15.82174</v>
      </c>
      <c r="J3537" s="460">
        <v>67.289400000000001</v>
      </c>
      <c r="K3537" s="460">
        <v>6089.5615900000003</v>
      </c>
      <c r="L3537" s="459" t="s">
        <v>538</v>
      </c>
      <c r="O3537">
        <v>18.062000000000001</v>
      </c>
      <c r="P3537" t="s">
        <v>9677</v>
      </c>
    </row>
    <row r="3538" spans="1:16" ht="14.4" x14ac:dyDescent="0.3">
      <c r="A3538">
        <v>456332</v>
      </c>
      <c r="B3538" t="str">
        <f t="shared" si="110"/>
        <v>SEVROLL Pax rączka 2,7 m, czarny mat</v>
      </c>
      <c r="C3538" s="185">
        <f t="shared" si="111"/>
        <v>102.67319999999999</v>
      </c>
      <c r="D3538" s="407" t="s">
        <v>1312</v>
      </c>
      <c r="E3538" s="407" t="s">
        <v>1765</v>
      </c>
      <c r="F3538" s="407" t="s">
        <v>5774</v>
      </c>
      <c r="G3538" s="407" t="s">
        <v>2345</v>
      </c>
      <c r="H3538" s="460">
        <v>748.35540000000003</v>
      </c>
      <c r="I3538" s="460">
        <v>26.90737</v>
      </c>
      <c r="J3538" s="460">
        <v>102.67319999999999</v>
      </c>
      <c r="K3538" s="460">
        <v>10356.261270000001</v>
      </c>
      <c r="L3538" s="459" t="s">
        <v>539</v>
      </c>
      <c r="O3538">
        <v>27.565999999999999</v>
      </c>
      <c r="P3538" t="s">
        <v>9608</v>
      </c>
    </row>
    <row r="3539" spans="1:16" ht="14.4" x14ac:dyDescent="0.3">
      <c r="A3539">
        <v>456333</v>
      </c>
      <c r="B3539" t="str">
        <f t="shared" si="110"/>
        <v>SEVROLL Pax rączka 3m, czarny mat</v>
      </c>
      <c r="C3539" s="185" t="e">
        <f t="shared" si="111"/>
        <v>#N/A</v>
      </c>
      <c r="D3539" s="407" t="s">
        <v>1313</v>
      </c>
      <c r="E3539" s="407" t="s">
        <v>1766</v>
      </c>
      <c r="F3539" s="407" t="s">
        <v>5775</v>
      </c>
      <c r="G3539" s="407" t="s">
        <v>2346</v>
      </c>
      <c r="H3539" s="460" t="e">
        <v>#N/A</v>
      </c>
      <c r="I3539" s="460" t="e">
        <v>#N/A</v>
      </c>
      <c r="J3539" s="460" t="e">
        <v>#N/A</v>
      </c>
      <c r="K3539" s="460" t="e">
        <v>#N/A</v>
      </c>
      <c r="L3539" s="459" t="e">
        <v>#N/A</v>
      </c>
      <c r="O3539">
        <v>30.623999999999999</v>
      </c>
      <c r="P3539" t="s">
        <v>9609</v>
      </c>
    </row>
    <row r="3540" spans="1:16" ht="14.4" x14ac:dyDescent="0.3">
      <c r="A3540">
        <v>457354</v>
      </c>
      <c r="B3540" t="str">
        <f t="shared" si="110"/>
        <v>SEVROLL 04511-M Era rączka 18mm 2,70m jasny brąz new</v>
      </c>
      <c r="C3540" s="185" t="e">
        <f t="shared" si="111"/>
        <v>#N/A</v>
      </c>
      <c r="D3540" s="407" t="s">
        <v>1444</v>
      </c>
      <c r="E3540" s="407" t="s">
        <v>5917</v>
      </c>
      <c r="F3540" s="407" t="s">
        <v>1444</v>
      </c>
      <c r="G3540" s="407" t="s">
        <v>5918</v>
      </c>
      <c r="H3540" s="460" t="e">
        <v>#N/A</v>
      </c>
      <c r="I3540" s="460" t="e">
        <v>#N/A</v>
      </c>
      <c r="J3540" s="460" t="e">
        <v>#N/A</v>
      </c>
      <c r="K3540" s="460" t="e">
        <v>#N/A</v>
      </c>
      <c r="L3540" s="459" t="e">
        <v>#N/A</v>
      </c>
      <c r="O3540" t="e">
        <v>#N/A</v>
      </c>
      <c r="P3540" t="e">
        <v>#N/A</v>
      </c>
    </row>
    <row r="3541" spans="1:16" ht="14.4" x14ac:dyDescent="0.3">
      <c r="A3541">
        <v>457371</v>
      </c>
      <c r="B3541" t="str">
        <f t="shared" si="110"/>
        <v>SEVROLL 04470-M Blue tor górny 6m jasny brąz new</v>
      </c>
      <c r="C3541" s="185" t="e">
        <f t="shared" si="111"/>
        <v>#N/A</v>
      </c>
      <c r="D3541" s="407" t="s">
        <v>1445</v>
      </c>
      <c r="E3541" s="407" t="s">
        <v>5919</v>
      </c>
      <c r="F3541" s="407" t="s">
        <v>5920</v>
      </c>
      <c r="G3541" s="407" t="s">
        <v>5921</v>
      </c>
      <c r="H3541" s="460" t="e">
        <v>#N/A</v>
      </c>
      <c r="I3541" s="460" t="e">
        <v>#N/A</v>
      </c>
      <c r="J3541" s="460" t="e">
        <v>#N/A</v>
      </c>
      <c r="K3541" s="460" t="e">
        <v>#N/A</v>
      </c>
      <c r="L3541" s="459" t="e">
        <v>#N/A</v>
      </c>
      <c r="O3541" t="e">
        <v>#N/A</v>
      </c>
      <c r="P3541" t="e">
        <v>#N/A</v>
      </c>
    </row>
    <row r="3542" spans="1:16" ht="14.4" x14ac:dyDescent="0.3">
      <c r="A3542">
        <v>457372</v>
      </c>
      <c r="B3542" t="str">
        <f t="shared" si="110"/>
        <v>SEVROLL 04494-M Blue-V tor dolny 6m jasny brąz new</v>
      </c>
      <c r="C3542" s="185" t="e">
        <f t="shared" si="111"/>
        <v>#N/A</v>
      </c>
      <c r="D3542" s="407" t="s">
        <v>1446</v>
      </c>
      <c r="E3542" s="407" t="s">
        <v>5922</v>
      </c>
      <c r="F3542" s="407" t="s">
        <v>5923</v>
      </c>
      <c r="G3542" s="407" t="s">
        <v>5924</v>
      </c>
      <c r="H3542" s="460" t="e">
        <v>#N/A</v>
      </c>
      <c r="I3542" s="460" t="e">
        <v>#N/A</v>
      </c>
      <c r="J3542" s="460" t="e">
        <v>#N/A</v>
      </c>
      <c r="K3542" s="460" t="e">
        <v>#N/A</v>
      </c>
      <c r="L3542" s="459" t="e">
        <v>#N/A</v>
      </c>
      <c r="O3542" t="e">
        <v>#N/A</v>
      </c>
      <c r="P3542" t="e">
        <v>#N/A</v>
      </c>
    </row>
    <row r="3543" spans="1:16" ht="14.4" x14ac:dyDescent="0.3">
      <c r="A3543">
        <v>457373</v>
      </c>
      <c r="B3543" t="str">
        <f t="shared" si="110"/>
        <v>SEVROLL 04459-M tor górny Simple/Blue 3m (płyta laminatowa 18mm) jasny brąz new</v>
      </c>
      <c r="C3543" s="185" t="e">
        <f t="shared" si="111"/>
        <v>#N/A</v>
      </c>
      <c r="D3543" s="407" t="s">
        <v>1447</v>
      </c>
      <c r="E3543" s="407" t="s">
        <v>5925</v>
      </c>
      <c r="F3543" s="407" t="s">
        <v>5926</v>
      </c>
      <c r="G3543" s="407" t="s">
        <v>5927</v>
      </c>
      <c r="H3543" s="460" t="e">
        <v>#N/A</v>
      </c>
      <c r="I3543" s="460" t="e">
        <v>#N/A</v>
      </c>
      <c r="J3543" s="460" t="e">
        <v>#N/A</v>
      </c>
      <c r="K3543" s="460" t="e">
        <v>#N/A</v>
      </c>
      <c r="L3543" s="459" t="e">
        <v>#N/A</v>
      </c>
      <c r="O3543" t="e">
        <v>#N/A</v>
      </c>
      <c r="P3543" t="e">
        <v>#N/A</v>
      </c>
    </row>
    <row r="3544" spans="1:16" ht="14.4" x14ac:dyDescent="0.3">
      <c r="A3544">
        <v>457390</v>
      </c>
      <c r="B3544" t="str">
        <f t="shared" si="110"/>
        <v>SEVROLL maskownica dolna Simple/Blue 3m (18mm) jasny brąz new</v>
      </c>
      <c r="C3544" s="185" t="e">
        <f t="shared" si="111"/>
        <v>#N/A</v>
      </c>
      <c r="D3544" s="407" t="s">
        <v>1448</v>
      </c>
      <c r="E3544" s="407" t="s">
        <v>5928</v>
      </c>
      <c r="F3544" s="407" t="s">
        <v>5929</v>
      </c>
      <c r="G3544" s="407" t="s">
        <v>2419</v>
      </c>
      <c r="H3544" s="460" t="e">
        <v>#N/A</v>
      </c>
      <c r="I3544" s="460" t="e">
        <v>#N/A</v>
      </c>
      <c r="J3544" s="460" t="e">
        <v>#N/A</v>
      </c>
      <c r="K3544" s="460" t="e">
        <v>#N/A</v>
      </c>
      <c r="L3544" s="459" t="e">
        <v>#N/A</v>
      </c>
      <c r="O3544" t="e">
        <v>#N/A</v>
      </c>
      <c r="P3544" t="e">
        <v>#N/A</v>
      </c>
    </row>
    <row r="3545" spans="1:16" ht="14.4" x14ac:dyDescent="0.3">
      <c r="A3545">
        <v>458673</v>
      </c>
      <c r="B3545" t="str">
        <f t="shared" si="110"/>
        <v/>
      </c>
      <c r="C3545" s="185">
        <f t="shared" si="111"/>
        <v>0</v>
      </c>
      <c r="D3545" s="407" t="s">
        <v>1424</v>
      </c>
      <c r="E3545" s="407" t="s">
        <v>1869</v>
      </c>
      <c r="F3545" s="407" t="s">
        <v>2175</v>
      </c>
      <c r="G3545" s="407" t="s">
        <v>68</v>
      </c>
      <c r="H3545" s="460">
        <v>0</v>
      </c>
      <c r="I3545" s="460">
        <v>0</v>
      </c>
      <c r="J3545" s="460">
        <v>0</v>
      </c>
      <c r="K3545" s="460">
        <v>0</v>
      </c>
      <c r="L3545" s="459" t="s">
        <v>541</v>
      </c>
      <c r="O3545">
        <v>0</v>
      </c>
      <c r="P3545" t="s">
        <v>9920</v>
      </c>
    </row>
    <row r="3546" spans="1:16" ht="14.4" x14ac:dyDescent="0.3">
      <c r="A3546">
        <v>458712</v>
      </c>
      <c r="B3546" t="str">
        <f t="shared" si="110"/>
        <v>SEVROLL 04449-M maskownica dolna Simple/Blue 2m (18mm) jasny brąz  new</v>
      </c>
      <c r="C3546" s="185" t="e">
        <f t="shared" si="111"/>
        <v>#N/A</v>
      </c>
      <c r="D3546" s="407" t="s">
        <v>1425</v>
      </c>
      <c r="E3546" s="407" t="s">
        <v>5891</v>
      </c>
      <c r="F3546" s="407" t="s">
        <v>5892</v>
      </c>
      <c r="G3546" s="407" t="s">
        <v>5893</v>
      </c>
      <c r="H3546" s="460" t="e">
        <v>#N/A</v>
      </c>
      <c r="I3546" s="460" t="e">
        <v>#N/A</v>
      </c>
      <c r="J3546" s="460" t="e">
        <v>#N/A</v>
      </c>
      <c r="K3546" s="460" t="e">
        <v>#N/A</v>
      </c>
      <c r="L3546" s="459" t="e">
        <v>#N/A</v>
      </c>
      <c r="O3546" t="e">
        <v>#N/A</v>
      </c>
      <c r="P3546" t="e">
        <v>#N/A</v>
      </c>
    </row>
    <row r="3547" spans="1:16" ht="14.4" x14ac:dyDescent="0.3">
      <c r="A3547">
        <v>459711</v>
      </c>
      <c r="B3547" t="str">
        <f t="shared" si="110"/>
        <v/>
      </c>
      <c r="C3547" s="185" t="e">
        <f t="shared" si="111"/>
        <v>#N/A</v>
      </c>
      <c r="D3547" s="407" t="s">
        <v>1426</v>
      </c>
      <c r="E3547" s="407" t="s">
        <v>68</v>
      </c>
      <c r="F3547" s="407" t="s">
        <v>68</v>
      </c>
      <c r="G3547" s="407" t="s">
        <v>68</v>
      </c>
      <c r="H3547" s="460" t="e">
        <v>#N/A</v>
      </c>
      <c r="I3547" s="460" t="e">
        <v>#N/A</v>
      </c>
      <c r="J3547" s="460" t="e">
        <v>#N/A</v>
      </c>
      <c r="K3547" s="460" t="e">
        <v>#N/A</v>
      </c>
      <c r="L3547" s="459" t="e">
        <v>#N/A</v>
      </c>
      <c r="O3547">
        <v>75.328000000000003</v>
      </c>
      <c r="P3547" t="s">
        <v>9921</v>
      </c>
    </row>
    <row r="3548" spans="1:16" ht="14.4" x14ac:dyDescent="0.3">
      <c r="A3548">
        <v>459712</v>
      </c>
      <c r="B3548" t="str">
        <f t="shared" si="110"/>
        <v/>
      </c>
      <c r="C3548" s="185" t="e">
        <f t="shared" si="111"/>
        <v>#N/A</v>
      </c>
      <c r="D3548" s="407" t="s">
        <v>1427</v>
      </c>
      <c r="E3548" s="407" t="s">
        <v>68</v>
      </c>
      <c r="F3548" s="407" t="s">
        <v>68</v>
      </c>
      <c r="G3548" s="407" t="s">
        <v>68</v>
      </c>
      <c r="H3548" s="460" t="e">
        <v>#N/A</v>
      </c>
      <c r="I3548" s="460" t="e">
        <v>#N/A</v>
      </c>
      <c r="J3548" s="460" t="e">
        <v>#N/A</v>
      </c>
      <c r="K3548" s="460" t="e">
        <v>#N/A</v>
      </c>
      <c r="L3548" s="459" t="e">
        <v>#N/A</v>
      </c>
      <c r="O3548">
        <v>110.55</v>
      </c>
      <c r="P3548" t="s">
        <v>9922</v>
      </c>
    </row>
    <row r="3549" spans="1:16" ht="14.4" x14ac:dyDescent="0.3">
      <c r="A3549">
        <v>459713</v>
      </c>
      <c r="B3549" t="str">
        <f t="shared" si="110"/>
        <v/>
      </c>
      <c r="C3549" s="185" t="e">
        <f t="shared" si="111"/>
        <v>#N/A</v>
      </c>
      <c r="D3549" s="407" t="s">
        <v>1428</v>
      </c>
      <c r="E3549" s="407" t="s">
        <v>68</v>
      </c>
      <c r="F3549" s="407" t="s">
        <v>68</v>
      </c>
      <c r="G3549" s="407" t="s">
        <v>68</v>
      </c>
      <c r="H3549" s="460" t="e">
        <v>#N/A</v>
      </c>
      <c r="I3549" s="460" t="e">
        <v>#N/A</v>
      </c>
      <c r="J3549" s="460" t="e">
        <v>#N/A</v>
      </c>
      <c r="K3549" s="460" t="e">
        <v>#N/A</v>
      </c>
      <c r="L3549" s="459" t="e">
        <v>#N/A</v>
      </c>
      <c r="O3549">
        <v>145.61799999999999</v>
      </c>
      <c r="P3549" t="s">
        <v>9923</v>
      </c>
    </row>
    <row r="3550" spans="1:16" ht="14.4" x14ac:dyDescent="0.3">
      <c r="A3550">
        <v>459714</v>
      </c>
      <c r="B3550" t="str">
        <f t="shared" si="110"/>
        <v/>
      </c>
      <c r="C3550" s="185" t="e">
        <f t="shared" si="111"/>
        <v>#N/A</v>
      </c>
      <c r="D3550" s="407" t="s">
        <v>1429</v>
      </c>
      <c r="E3550" s="407" t="s">
        <v>68</v>
      </c>
      <c r="F3550" s="407" t="s">
        <v>68</v>
      </c>
      <c r="G3550" s="407" t="s">
        <v>68</v>
      </c>
      <c r="H3550" s="460" t="e">
        <v>#N/A</v>
      </c>
      <c r="I3550" s="460" t="e">
        <v>#N/A</v>
      </c>
      <c r="J3550" s="460" t="e">
        <v>#N/A</v>
      </c>
      <c r="K3550" s="460" t="e">
        <v>#N/A</v>
      </c>
      <c r="L3550" s="459" t="e">
        <v>#N/A</v>
      </c>
      <c r="O3550">
        <v>185.768</v>
      </c>
      <c r="P3550" t="s">
        <v>9924</v>
      </c>
    </row>
    <row r="3551" spans="1:16" ht="14.4" x14ac:dyDescent="0.3">
      <c r="A3551">
        <v>461687</v>
      </c>
      <c r="B3551" t="str">
        <f t="shared" si="110"/>
        <v>SEVROLL Harmony zestaw okuć dla 2 drzwi</v>
      </c>
      <c r="C3551" s="185" t="e">
        <f t="shared" si="111"/>
        <v>#N/A</v>
      </c>
      <c r="D3551" s="407" t="s">
        <v>1557</v>
      </c>
      <c r="E3551" s="407" t="s">
        <v>1812</v>
      </c>
      <c r="F3551" s="407" t="s">
        <v>2160</v>
      </c>
      <c r="G3551" s="407" t="s">
        <v>2377</v>
      </c>
      <c r="H3551" s="460" t="e">
        <v>#N/A</v>
      </c>
      <c r="I3551" s="460" t="e">
        <v>#N/A</v>
      </c>
      <c r="J3551" s="460" t="e">
        <v>#N/A</v>
      </c>
      <c r="K3551" s="460" t="e">
        <v>#N/A</v>
      </c>
      <c r="L3551" s="459" t="e">
        <v>#N/A</v>
      </c>
      <c r="O3551">
        <v>987.05200000000002</v>
      </c>
      <c r="P3551" t="s">
        <v>10180</v>
      </c>
    </row>
    <row r="3552" spans="1:16" ht="14.4" x14ac:dyDescent="0.3">
      <c r="A3552">
        <v>461896</v>
      </c>
      <c r="B3552" t="str">
        <f t="shared" si="110"/>
        <v>SEVROLL Fox II rączka 2,7 m, jasny brąz new</v>
      </c>
      <c r="C3552" s="185" t="e">
        <f t="shared" si="111"/>
        <v>#N/A</v>
      </c>
      <c r="D3552" s="407" t="s">
        <v>1566</v>
      </c>
      <c r="E3552" s="407" t="s">
        <v>1993</v>
      </c>
      <c r="F3552" s="407" t="s">
        <v>1566</v>
      </c>
      <c r="G3552" s="407" t="s">
        <v>2498</v>
      </c>
      <c r="H3552" s="460" t="e">
        <v>#N/A</v>
      </c>
      <c r="I3552" s="460" t="e">
        <v>#N/A</v>
      </c>
      <c r="J3552" s="460" t="e">
        <v>#N/A</v>
      </c>
      <c r="K3552" s="460" t="e">
        <v>#N/A</v>
      </c>
      <c r="L3552" s="459" t="e">
        <v>#N/A</v>
      </c>
      <c r="O3552" t="e">
        <v>#N/A</v>
      </c>
      <c r="P3552" t="e">
        <v>#N/A</v>
      </c>
    </row>
    <row r="3553" spans="1:16" ht="14.4" x14ac:dyDescent="0.3">
      <c r="A3553">
        <v>461898</v>
      </c>
      <c r="B3553" t="str">
        <f t="shared" si="110"/>
        <v>SEVROLL Gemini tor górny 1,7m jasny brąz new</v>
      </c>
      <c r="C3553" s="185" t="e">
        <f t="shared" si="111"/>
        <v>#N/A</v>
      </c>
      <c r="D3553" s="407" t="s">
        <v>1568</v>
      </c>
      <c r="E3553" s="407" t="s">
        <v>1995</v>
      </c>
      <c r="F3553" s="407" t="s">
        <v>6060</v>
      </c>
      <c r="G3553" s="407" t="s">
        <v>2500</v>
      </c>
      <c r="H3553" s="460" t="e">
        <v>#N/A</v>
      </c>
      <c r="I3553" s="460" t="e">
        <v>#N/A</v>
      </c>
      <c r="J3553" s="460" t="e">
        <v>#N/A</v>
      </c>
      <c r="K3553" s="460" t="e">
        <v>#N/A</v>
      </c>
      <c r="L3553" s="459" t="e">
        <v>#N/A</v>
      </c>
      <c r="O3553" t="e">
        <v>#N/A</v>
      </c>
      <c r="P3553" t="e">
        <v>#N/A</v>
      </c>
    </row>
    <row r="3554" spans="1:16" ht="14.4" x14ac:dyDescent="0.3">
      <c r="A3554">
        <v>461899</v>
      </c>
      <c r="B3554" t="str">
        <f t="shared" si="110"/>
        <v>SEVROLL Gemini tor górny 2,35m jasny brąz new</v>
      </c>
      <c r="C3554" s="185" t="e">
        <f t="shared" si="111"/>
        <v>#N/A</v>
      </c>
      <c r="D3554" s="407" t="s">
        <v>1569</v>
      </c>
      <c r="E3554" s="407" t="s">
        <v>1996</v>
      </c>
      <c r="F3554" s="407" t="s">
        <v>6061</v>
      </c>
      <c r="G3554" s="407" t="s">
        <v>2501</v>
      </c>
      <c r="H3554" s="460" t="e">
        <v>#N/A</v>
      </c>
      <c r="I3554" s="460" t="e">
        <v>#N/A</v>
      </c>
      <c r="J3554" s="460" t="e">
        <v>#N/A</v>
      </c>
      <c r="K3554" s="460" t="e">
        <v>#N/A</v>
      </c>
      <c r="L3554" s="459" t="e">
        <v>#N/A</v>
      </c>
      <c r="O3554" t="e">
        <v>#N/A</v>
      </c>
      <c r="P3554" t="e">
        <v>#N/A</v>
      </c>
    </row>
    <row r="3555" spans="1:16" ht="14.4" x14ac:dyDescent="0.3">
      <c r="A3555">
        <v>461900</v>
      </c>
      <c r="B3555" t="str">
        <f t="shared" si="110"/>
        <v>SEVROLL Gemini tor górny 3m jasny brąz new</v>
      </c>
      <c r="C3555" s="185" t="e">
        <f t="shared" si="111"/>
        <v>#N/A</v>
      </c>
      <c r="D3555" s="407" t="s">
        <v>1570</v>
      </c>
      <c r="E3555" s="407" t="s">
        <v>1997</v>
      </c>
      <c r="F3555" s="407" t="s">
        <v>6062</v>
      </c>
      <c r="G3555" s="407" t="s">
        <v>2502</v>
      </c>
      <c r="H3555" s="460" t="e">
        <v>#N/A</v>
      </c>
      <c r="I3555" s="460" t="e">
        <v>#N/A</v>
      </c>
      <c r="J3555" s="460" t="e">
        <v>#N/A</v>
      </c>
      <c r="K3555" s="460" t="e">
        <v>#N/A</v>
      </c>
      <c r="L3555" s="459" t="e">
        <v>#N/A</v>
      </c>
      <c r="O3555" t="e">
        <v>#N/A</v>
      </c>
      <c r="P3555" t="e">
        <v>#N/A</v>
      </c>
    </row>
    <row r="3556" spans="1:16" ht="14.4" x14ac:dyDescent="0.3">
      <c r="A3556">
        <v>461901</v>
      </c>
      <c r="B3556" t="str">
        <f t="shared" si="110"/>
        <v>SEVROLL Gemini tor górny 4,05m jasny brąz new</v>
      </c>
      <c r="C3556" s="185" t="e">
        <f t="shared" si="111"/>
        <v>#N/A</v>
      </c>
      <c r="D3556" s="407" t="s">
        <v>1571</v>
      </c>
      <c r="E3556" s="407" t="s">
        <v>1998</v>
      </c>
      <c r="F3556" s="407" t="s">
        <v>6063</v>
      </c>
      <c r="G3556" s="407" t="s">
        <v>2503</v>
      </c>
      <c r="H3556" s="460" t="e">
        <v>#N/A</v>
      </c>
      <c r="I3556" s="460" t="e">
        <v>#N/A</v>
      </c>
      <c r="J3556" s="460" t="e">
        <v>#N/A</v>
      </c>
      <c r="K3556" s="460" t="e">
        <v>#N/A</v>
      </c>
      <c r="L3556" s="459" t="e">
        <v>#N/A</v>
      </c>
      <c r="O3556" t="e">
        <v>#N/A</v>
      </c>
      <c r="P3556" t="e">
        <v>#N/A</v>
      </c>
    </row>
    <row r="3557" spans="1:16" ht="14.4" x14ac:dyDescent="0.3">
      <c r="A3557">
        <v>461902</v>
      </c>
      <c r="B3557" t="str">
        <f t="shared" si="110"/>
        <v>SEVROLL 00093-A kątownik Mini 17x11mm 1,7m jasny brąz new</v>
      </c>
      <c r="C3557" s="185" t="e">
        <f t="shared" si="111"/>
        <v>#N/A</v>
      </c>
      <c r="D3557" s="407" t="s">
        <v>6064</v>
      </c>
      <c r="E3557" s="407" t="s">
        <v>6065</v>
      </c>
      <c r="F3557" s="407" t="s">
        <v>6066</v>
      </c>
      <c r="G3557" s="407" t="s">
        <v>6067</v>
      </c>
      <c r="H3557" s="460" t="e">
        <v>#N/A</v>
      </c>
      <c r="I3557" s="460" t="e">
        <v>#N/A</v>
      </c>
      <c r="J3557" s="460" t="e">
        <v>#N/A</v>
      </c>
      <c r="K3557" s="460" t="e">
        <v>#N/A</v>
      </c>
      <c r="L3557" s="459" t="e">
        <v>#N/A</v>
      </c>
      <c r="O3557" t="e">
        <v>#N/A</v>
      </c>
      <c r="P3557" t="e">
        <v>#N/A</v>
      </c>
    </row>
    <row r="3558" spans="1:16" ht="14.4" x14ac:dyDescent="0.3">
      <c r="A3558">
        <v>461903</v>
      </c>
      <c r="B3558" t="str">
        <f t="shared" si="110"/>
        <v>SEVROLL 00094-A kątownik Mini 17x11mm 2,35m jasny brąz new</v>
      </c>
      <c r="C3558" s="185" t="e">
        <f t="shared" si="111"/>
        <v>#N/A</v>
      </c>
      <c r="D3558" s="407" t="s">
        <v>6068</v>
      </c>
      <c r="E3558" s="407" t="s">
        <v>6069</v>
      </c>
      <c r="F3558" s="407" t="s">
        <v>6070</v>
      </c>
      <c r="G3558" s="407" t="s">
        <v>6071</v>
      </c>
      <c r="H3558" s="460" t="e">
        <v>#N/A</v>
      </c>
      <c r="I3558" s="460" t="e">
        <v>#N/A</v>
      </c>
      <c r="J3558" s="460" t="e">
        <v>#N/A</v>
      </c>
      <c r="K3558" s="460" t="e">
        <v>#N/A</v>
      </c>
      <c r="L3558" s="459" t="e">
        <v>#N/A</v>
      </c>
      <c r="O3558" t="e">
        <v>#N/A</v>
      </c>
      <c r="P3558" t="e">
        <v>#N/A</v>
      </c>
    </row>
    <row r="3559" spans="1:16" ht="14.4" x14ac:dyDescent="0.3">
      <c r="A3559">
        <v>461904</v>
      </c>
      <c r="B3559" t="str">
        <f t="shared" si="110"/>
        <v>SEVROLL 00703-A listwa łącząca "T" 3m jasny brąz new</v>
      </c>
      <c r="C3559" s="185" t="e">
        <f t="shared" si="111"/>
        <v>#N/A</v>
      </c>
      <c r="D3559" s="407" t="s">
        <v>1572</v>
      </c>
      <c r="E3559" s="407" t="s">
        <v>1999</v>
      </c>
      <c r="F3559" s="407" t="s">
        <v>2202</v>
      </c>
      <c r="G3559" s="407" t="s">
        <v>6072</v>
      </c>
      <c r="H3559" s="460" t="e">
        <v>#N/A</v>
      </c>
      <c r="I3559" s="460" t="e">
        <v>#N/A</v>
      </c>
      <c r="J3559" s="460" t="e">
        <v>#N/A</v>
      </c>
      <c r="K3559" s="460" t="e">
        <v>#N/A</v>
      </c>
      <c r="L3559" s="459" t="e">
        <v>#N/A</v>
      </c>
      <c r="O3559" t="e">
        <v>#N/A</v>
      </c>
      <c r="P3559" t="e">
        <v>#N/A</v>
      </c>
    </row>
    <row r="3560" spans="1:16" ht="14.4" x14ac:dyDescent="0.3">
      <c r="A3560">
        <v>461917</v>
      </c>
      <c r="B3560" t="str">
        <f t="shared" si="110"/>
        <v>SEVROLL 00029-A profil "U" do płyty laminowanej 18mm 3m jasny brąz new</v>
      </c>
      <c r="C3560" s="185" t="e">
        <f t="shared" si="111"/>
        <v>#N/A</v>
      </c>
      <c r="D3560" s="407" t="s">
        <v>1398</v>
      </c>
      <c r="E3560" s="407" t="s">
        <v>2012</v>
      </c>
      <c r="F3560" s="407" t="s">
        <v>2215</v>
      </c>
      <c r="G3560" s="407" t="s">
        <v>2399</v>
      </c>
      <c r="H3560" s="460" t="e">
        <v>#N/A</v>
      </c>
      <c r="I3560" s="460" t="e">
        <v>#N/A</v>
      </c>
      <c r="J3560" s="460" t="e">
        <v>#N/A</v>
      </c>
      <c r="K3560" s="460" t="e">
        <v>#N/A</v>
      </c>
      <c r="L3560" s="459" t="e">
        <v>#N/A</v>
      </c>
      <c r="O3560" t="e">
        <v>#N/A</v>
      </c>
      <c r="P3560" t="e">
        <v>#N/A</v>
      </c>
    </row>
    <row r="3561" spans="1:16" ht="14.4" x14ac:dyDescent="0.3">
      <c r="A3561">
        <v>461921</v>
      </c>
      <c r="B3561" t="str">
        <f t="shared" si="110"/>
        <v>SEVROLL 00070-A kątownik K2 Decor 2,35m jasny brąz new</v>
      </c>
      <c r="C3561" s="185" t="e">
        <f t="shared" si="111"/>
        <v>#N/A</v>
      </c>
      <c r="D3561" s="407" t="s">
        <v>1588</v>
      </c>
      <c r="E3561" s="407" t="s">
        <v>2016</v>
      </c>
      <c r="F3561" s="407" t="s">
        <v>6082</v>
      </c>
      <c r="G3561" s="407" t="s">
        <v>6083</v>
      </c>
      <c r="H3561" s="460" t="e">
        <v>#N/A</v>
      </c>
      <c r="I3561" s="460" t="e">
        <v>#N/A</v>
      </c>
      <c r="J3561" s="460" t="e">
        <v>#N/A</v>
      </c>
      <c r="K3561" s="460" t="e">
        <v>#N/A</v>
      </c>
      <c r="L3561" s="459" t="e">
        <v>#N/A</v>
      </c>
      <c r="O3561" t="e">
        <v>#N/A</v>
      </c>
      <c r="P3561" t="e">
        <v>#N/A</v>
      </c>
    </row>
    <row r="3562" spans="1:16" ht="14.4" x14ac:dyDescent="0.3">
      <c r="A3562">
        <v>461922</v>
      </c>
      <c r="B3562" t="str">
        <f t="shared" si="110"/>
        <v>SEVROLL 00071-A kątownik K2 Decor 3m jasny brąz new</v>
      </c>
      <c r="C3562" s="185" t="e">
        <f t="shared" si="111"/>
        <v>#N/A</v>
      </c>
      <c r="D3562" s="407" t="s">
        <v>1589</v>
      </c>
      <c r="E3562" s="407" t="s">
        <v>2017</v>
      </c>
      <c r="F3562" s="407" t="s">
        <v>6084</v>
      </c>
      <c r="G3562" s="407" t="s">
        <v>6085</v>
      </c>
      <c r="H3562" s="460" t="e">
        <v>#N/A</v>
      </c>
      <c r="I3562" s="460" t="e">
        <v>#N/A</v>
      </c>
      <c r="J3562" s="460" t="e">
        <v>#N/A</v>
      </c>
      <c r="K3562" s="460" t="e">
        <v>#N/A</v>
      </c>
      <c r="L3562" s="459" t="e">
        <v>#N/A</v>
      </c>
      <c r="O3562" t="e">
        <v>#N/A</v>
      </c>
      <c r="P3562" t="e">
        <v>#N/A</v>
      </c>
    </row>
    <row r="3563" spans="1:16" ht="14.4" x14ac:dyDescent="0.3">
      <c r="A3563">
        <v>461923</v>
      </c>
      <c r="B3563" t="str">
        <f t="shared" si="110"/>
        <v>SEVROLL 00212-A listwa łącząca H18 3m jasny brąz new</v>
      </c>
      <c r="C3563" s="185" t="e">
        <f t="shared" si="111"/>
        <v>#N/A</v>
      </c>
      <c r="D3563" s="407" t="s">
        <v>1590</v>
      </c>
      <c r="E3563" s="407" t="s">
        <v>2018</v>
      </c>
      <c r="F3563" s="407" t="s">
        <v>2218</v>
      </c>
      <c r="G3563" s="407" t="s">
        <v>6086</v>
      </c>
      <c r="H3563" s="460" t="e">
        <v>#N/A</v>
      </c>
      <c r="I3563" s="460" t="e">
        <v>#N/A</v>
      </c>
      <c r="J3563" s="460" t="e">
        <v>#N/A</v>
      </c>
      <c r="K3563" s="460" t="e">
        <v>#N/A</v>
      </c>
      <c r="L3563" s="459" t="e">
        <v>#N/A</v>
      </c>
      <c r="O3563" t="e">
        <v>#N/A</v>
      </c>
      <c r="P3563" t="e">
        <v>#N/A</v>
      </c>
    </row>
    <row r="3564" spans="1:16" ht="14.4" x14ac:dyDescent="0.3">
      <c r="A3564">
        <v>461931</v>
      </c>
      <c r="B3564" t="str">
        <f t="shared" si="110"/>
        <v>SEVROLL 04274-A Elegant II tor dolny 2,35m jasny brąz new</v>
      </c>
      <c r="C3564" s="185" t="e">
        <f t="shared" si="111"/>
        <v>#N/A</v>
      </c>
      <c r="D3564" s="407" t="s">
        <v>1598</v>
      </c>
      <c r="E3564" s="407" t="s">
        <v>2026</v>
      </c>
      <c r="F3564" s="407" t="s">
        <v>6090</v>
      </c>
      <c r="G3564" s="407" t="s">
        <v>6091</v>
      </c>
      <c r="H3564" s="460" t="e">
        <v>#N/A</v>
      </c>
      <c r="I3564" s="460" t="e">
        <v>#N/A</v>
      </c>
      <c r="J3564" s="460" t="e">
        <v>#N/A</v>
      </c>
      <c r="K3564" s="460" t="e">
        <v>#N/A</v>
      </c>
      <c r="L3564" s="459" t="e">
        <v>#N/A</v>
      </c>
      <c r="O3564" t="e">
        <v>#N/A</v>
      </c>
      <c r="P3564" t="e">
        <v>#N/A</v>
      </c>
    </row>
    <row r="3565" spans="1:16" ht="14.4" x14ac:dyDescent="0.3">
      <c r="A3565">
        <v>461932</v>
      </c>
      <c r="B3565" t="str">
        <f t="shared" si="110"/>
        <v>SEVROLL 04275-A Elegant II tor dolny 3m jasny brąz new</v>
      </c>
      <c r="C3565" s="185" t="e">
        <f t="shared" si="111"/>
        <v>#N/A</v>
      </c>
      <c r="D3565" s="407" t="s">
        <v>1599</v>
      </c>
      <c r="E3565" s="407" t="s">
        <v>2027</v>
      </c>
      <c r="F3565" s="407" t="s">
        <v>6092</v>
      </c>
      <c r="G3565" s="407" t="s">
        <v>6093</v>
      </c>
      <c r="H3565" s="460" t="e">
        <v>#N/A</v>
      </c>
      <c r="I3565" s="460" t="e">
        <v>#N/A</v>
      </c>
      <c r="J3565" s="460" t="e">
        <v>#N/A</v>
      </c>
      <c r="K3565" s="460" t="e">
        <v>#N/A</v>
      </c>
      <c r="L3565" s="459" t="e">
        <v>#N/A</v>
      </c>
      <c r="O3565" t="e">
        <v>#N/A</v>
      </c>
      <c r="P3565" t="e">
        <v>#N/A</v>
      </c>
    </row>
    <row r="3566" spans="1:16" ht="14.4" x14ac:dyDescent="0.3">
      <c r="A3566">
        <v>461933</v>
      </c>
      <c r="B3566" t="str">
        <f t="shared" si="110"/>
        <v>SEVROLL 04276-A Elegant II tor dolny 4,05m jasny brąz new</v>
      </c>
      <c r="C3566" s="185" t="e">
        <f t="shared" si="111"/>
        <v>#N/A</v>
      </c>
      <c r="D3566" s="407" t="s">
        <v>1600</v>
      </c>
      <c r="E3566" s="407" t="s">
        <v>2028</v>
      </c>
      <c r="F3566" s="407" t="s">
        <v>6094</v>
      </c>
      <c r="G3566" s="407" t="s">
        <v>6095</v>
      </c>
      <c r="H3566" s="460" t="e">
        <v>#N/A</v>
      </c>
      <c r="I3566" s="460" t="e">
        <v>#N/A</v>
      </c>
      <c r="J3566" s="460" t="e">
        <v>#N/A</v>
      </c>
      <c r="K3566" s="460" t="e">
        <v>#N/A</v>
      </c>
      <c r="L3566" s="459" t="e">
        <v>#N/A</v>
      </c>
      <c r="O3566" t="e">
        <v>#N/A</v>
      </c>
      <c r="P3566" t="e">
        <v>#N/A</v>
      </c>
    </row>
    <row r="3567" spans="1:16" ht="14.4" x14ac:dyDescent="0.3">
      <c r="A3567">
        <v>461936</v>
      </c>
      <c r="B3567" t="str">
        <f t="shared" si="110"/>
        <v>SEVROLL Gemini tor górny 6m jasny brąz new</v>
      </c>
      <c r="C3567" s="185" t="e">
        <f t="shared" si="111"/>
        <v>#N/A</v>
      </c>
      <c r="D3567" s="407" t="s">
        <v>1603</v>
      </c>
      <c r="E3567" s="407" t="s">
        <v>2031</v>
      </c>
      <c r="F3567" s="407" t="s">
        <v>2223</v>
      </c>
      <c r="G3567" s="407" t="s">
        <v>2519</v>
      </c>
      <c r="H3567" s="460" t="e">
        <v>#N/A</v>
      </c>
      <c r="I3567" s="460" t="e">
        <v>#N/A</v>
      </c>
      <c r="J3567" s="460" t="e">
        <v>#N/A</v>
      </c>
      <c r="K3567" s="460" t="e">
        <v>#N/A</v>
      </c>
      <c r="L3567" s="459" t="e">
        <v>#N/A</v>
      </c>
      <c r="O3567" t="e">
        <v>#N/A</v>
      </c>
      <c r="P3567" t="e">
        <v>#N/A</v>
      </c>
    </row>
    <row r="3568" spans="1:16" ht="14.4" x14ac:dyDescent="0.3">
      <c r="A3568">
        <v>461972</v>
      </c>
      <c r="B3568" t="str">
        <f t="shared" si="110"/>
        <v>SEVROLL Alfa II rączka 18mm 2,70m jasny brąz new</v>
      </c>
      <c r="C3568" s="185" t="e">
        <f t="shared" si="111"/>
        <v>#N/A</v>
      </c>
      <c r="D3568" s="407" t="s">
        <v>1639</v>
      </c>
      <c r="E3568" s="407" t="s">
        <v>2066</v>
      </c>
      <c r="F3568" s="407" t="s">
        <v>1639</v>
      </c>
      <c r="G3568" s="407" t="s">
        <v>2551</v>
      </c>
      <c r="H3568" s="460" t="e">
        <v>#N/A</v>
      </c>
      <c r="I3568" s="460" t="e">
        <v>#N/A</v>
      </c>
      <c r="J3568" s="460" t="e">
        <v>#N/A</v>
      </c>
      <c r="K3568" s="460" t="e">
        <v>#N/A</v>
      </c>
      <c r="L3568" s="459" t="e">
        <v>#N/A</v>
      </c>
      <c r="O3568" t="e">
        <v>#N/A</v>
      </c>
      <c r="P3568" t="e">
        <v>#N/A</v>
      </c>
    </row>
    <row r="3569" spans="1:16" ht="14.4" x14ac:dyDescent="0.3">
      <c r="A3569">
        <v>462023</v>
      </c>
      <c r="B3569" t="str">
        <f t="shared" si="110"/>
        <v>SEVROLL  04297-A zaślepka do toru Elegant II 2,35m jasny brąz new</v>
      </c>
      <c r="C3569" s="185" t="e">
        <f t="shared" si="111"/>
        <v>#N/A</v>
      </c>
      <c r="D3569" s="407" t="s">
        <v>1690</v>
      </c>
      <c r="E3569" s="407" t="s">
        <v>2117</v>
      </c>
      <c r="F3569" s="407" t="s">
        <v>1690</v>
      </c>
      <c r="G3569" s="407" t="s">
        <v>6117</v>
      </c>
      <c r="H3569" s="460" t="e">
        <v>#N/A</v>
      </c>
      <c r="I3569" s="460" t="e">
        <v>#N/A</v>
      </c>
      <c r="J3569" s="460" t="e">
        <v>#N/A</v>
      </c>
      <c r="K3569" s="460" t="e">
        <v>#N/A</v>
      </c>
      <c r="L3569" s="459" t="e">
        <v>#N/A</v>
      </c>
      <c r="O3569" t="e">
        <v>#N/A</v>
      </c>
      <c r="P3569" t="e">
        <v>#N/A</v>
      </c>
    </row>
    <row r="3570" spans="1:16" ht="14.4" x14ac:dyDescent="0.3">
      <c r="A3570">
        <v>462024</v>
      </c>
      <c r="B3570" t="str">
        <f t="shared" si="110"/>
        <v>SEVROLL 04273-A Elegant II tor dolny 1,7m jasny brąz new</v>
      </c>
      <c r="C3570" s="185" t="e">
        <f t="shared" si="111"/>
        <v>#N/A</v>
      </c>
      <c r="D3570" s="407" t="s">
        <v>1691</v>
      </c>
      <c r="E3570" s="407" t="s">
        <v>2118</v>
      </c>
      <c r="F3570" s="407" t="s">
        <v>6118</v>
      </c>
      <c r="G3570" s="407" t="s">
        <v>6119</v>
      </c>
      <c r="H3570" s="460" t="e">
        <v>#N/A</v>
      </c>
      <c r="I3570" s="460" t="e">
        <v>#N/A</v>
      </c>
      <c r="J3570" s="460" t="e">
        <v>#N/A</v>
      </c>
      <c r="K3570" s="460" t="e">
        <v>#N/A</v>
      </c>
      <c r="L3570" s="459" t="e">
        <v>#N/A</v>
      </c>
      <c r="O3570" t="e">
        <v>#N/A</v>
      </c>
      <c r="P3570" t="e">
        <v>#N/A</v>
      </c>
    </row>
    <row r="3571" spans="1:16" ht="14.4" x14ac:dyDescent="0.3">
      <c r="A3571">
        <v>462026</v>
      </c>
      <c r="B3571" t="str">
        <f t="shared" si="110"/>
        <v>SEVROLL 04298-A zaślepka do toru Elegant II 3m jasny brąz new</v>
      </c>
      <c r="C3571" s="185" t="e">
        <f t="shared" si="111"/>
        <v>#N/A</v>
      </c>
      <c r="D3571" s="407" t="s">
        <v>1693</v>
      </c>
      <c r="E3571" s="407" t="s">
        <v>2120</v>
      </c>
      <c r="F3571" s="407" t="s">
        <v>1693</v>
      </c>
      <c r="G3571" s="407" t="s">
        <v>6121</v>
      </c>
      <c r="H3571" s="460" t="e">
        <v>#N/A</v>
      </c>
      <c r="I3571" s="460" t="e">
        <v>#N/A</v>
      </c>
      <c r="J3571" s="460" t="e">
        <v>#N/A</v>
      </c>
      <c r="K3571" s="460" t="e">
        <v>#N/A</v>
      </c>
      <c r="L3571" s="459" t="e">
        <v>#N/A</v>
      </c>
      <c r="O3571" t="e">
        <v>#N/A</v>
      </c>
      <c r="P3571" t="e">
        <v>#N/A</v>
      </c>
    </row>
    <row r="3572" spans="1:16" ht="14.4" x14ac:dyDescent="0.3">
      <c r="A3572">
        <v>462027</v>
      </c>
      <c r="B3572" t="str">
        <f t="shared" si="110"/>
        <v>SEVROLL 04299-A zaślepka do toru Elegant II 4,05m jasny brąz new</v>
      </c>
      <c r="C3572" s="185" t="e">
        <f t="shared" si="111"/>
        <v>#N/A</v>
      </c>
      <c r="D3572" s="407" t="s">
        <v>1367</v>
      </c>
      <c r="E3572" s="407" t="s">
        <v>1816</v>
      </c>
      <c r="F3572" s="407" t="s">
        <v>1367</v>
      </c>
      <c r="G3572" s="407" t="s">
        <v>5838</v>
      </c>
      <c r="H3572" s="460" t="e">
        <v>#N/A</v>
      </c>
      <c r="I3572" s="460" t="e">
        <v>#N/A</v>
      </c>
      <c r="J3572" s="460" t="e">
        <v>#N/A</v>
      </c>
      <c r="K3572" s="460" t="e">
        <v>#N/A</v>
      </c>
      <c r="L3572" s="459" t="e">
        <v>#N/A</v>
      </c>
      <c r="O3572" t="e">
        <v>#N/A</v>
      </c>
      <c r="P3572" t="e">
        <v>#N/A</v>
      </c>
    </row>
    <row r="3573" spans="1:16" ht="14.4" x14ac:dyDescent="0.3">
      <c r="A3573">
        <v>462028</v>
      </c>
      <c r="B3573" t="str">
        <f t="shared" si="110"/>
        <v>SEVROLL 04301-A zaślepka do toru Elegant II 6m jasny brąz new</v>
      </c>
      <c r="C3573" s="185" t="e">
        <f t="shared" si="111"/>
        <v>#N/A</v>
      </c>
      <c r="D3573" s="407" t="s">
        <v>1368</v>
      </c>
      <c r="E3573" s="407" t="s">
        <v>1817</v>
      </c>
      <c r="F3573" s="407" t="s">
        <v>1368</v>
      </c>
      <c r="G3573" s="407" t="s">
        <v>5839</v>
      </c>
      <c r="H3573" s="460" t="e">
        <v>#N/A</v>
      </c>
      <c r="I3573" s="460" t="e">
        <v>#N/A</v>
      </c>
      <c r="J3573" s="460" t="e">
        <v>#N/A</v>
      </c>
      <c r="K3573" s="460" t="e">
        <v>#N/A</v>
      </c>
      <c r="L3573" s="459" t="e">
        <v>#N/A</v>
      </c>
      <c r="O3573" t="e">
        <v>#N/A</v>
      </c>
      <c r="P3573" t="e">
        <v>#N/A</v>
      </c>
    </row>
    <row r="3574" spans="1:16" ht="14.4" x14ac:dyDescent="0.3">
      <c r="A3574">
        <v>462035</v>
      </c>
      <c r="B3574" t="str">
        <f t="shared" si="110"/>
        <v>SEVROLL 04492-M Blue-V tor dolny 3m jasny brąz new</v>
      </c>
      <c r="C3574" s="185" t="e">
        <f t="shared" si="111"/>
        <v>#N/A</v>
      </c>
      <c r="D3574" s="407" t="s">
        <v>1375</v>
      </c>
      <c r="E3574" s="407" t="s">
        <v>1824</v>
      </c>
      <c r="F3574" s="407" t="s">
        <v>5846</v>
      </c>
      <c r="G3574" s="407" t="s">
        <v>5847</v>
      </c>
      <c r="H3574" s="460" t="e">
        <v>#N/A</v>
      </c>
      <c r="I3574" s="460" t="e">
        <v>#N/A</v>
      </c>
      <c r="J3574" s="460" t="e">
        <v>#N/A</v>
      </c>
      <c r="K3574" s="460" t="e">
        <v>#N/A</v>
      </c>
      <c r="L3574" s="459" t="e">
        <v>#N/A</v>
      </c>
      <c r="O3574" t="e">
        <v>#N/A</v>
      </c>
      <c r="P3574" t="e">
        <v>#N/A</v>
      </c>
    </row>
    <row r="3575" spans="1:16" ht="14.4" x14ac:dyDescent="0.3">
      <c r="A3575">
        <v>462042</v>
      </c>
      <c r="B3575" t="str">
        <f t="shared" si="110"/>
        <v>SEVROLL 04278-A Elegant II tor dolny 6m jasny brąz new</v>
      </c>
      <c r="C3575" s="185" t="e">
        <f t="shared" si="111"/>
        <v>#N/A</v>
      </c>
      <c r="D3575" s="407" t="s">
        <v>1382</v>
      </c>
      <c r="E3575" s="407" t="s">
        <v>1831</v>
      </c>
      <c r="F3575" s="407" t="s">
        <v>5850</v>
      </c>
      <c r="G3575" s="407" t="s">
        <v>5851</v>
      </c>
      <c r="H3575" s="460" t="e">
        <v>#N/A</v>
      </c>
      <c r="I3575" s="460" t="e">
        <v>#N/A</v>
      </c>
      <c r="J3575" s="460" t="e">
        <v>#N/A</v>
      </c>
      <c r="K3575" s="460" t="e">
        <v>#N/A</v>
      </c>
      <c r="L3575" s="459" t="e">
        <v>#N/A</v>
      </c>
      <c r="O3575" t="e">
        <v>#N/A</v>
      </c>
      <c r="P3575" t="e">
        <v>#N/A</v>
      </c>
    </row>
    <row r="3576" spans="1:16" ht="14.4" x14ac:dyDescent="0.3">
      <c r="A3576">
        <v>462140</v>
      </c>
      <c r="B3576" t="str">
        <f t="shared" si="110"/>
        <v>SEVROLL Alfa II rączka 100mm czarny mat</v>
      </c>
      <c r="C3576" s="185">
        <f t="shared" si="111"/>
        <v>1.54355</v>
      </c>
      <c r="D3576" s="407" t="s">
        <v>1387</v>
      </c>
      <c r="E3576" s="407" t="s">
        <v>1836</v>
      </c>
      <c r="F3576" s="407" t="s">
        <v>5852</v>
      </c>
      <c r="G3576" s="407" t="s">
        <v>2394</v>
      </c>
      <c r="H3576" s="460">
        <v>8</v>
      </c>
      <c r="I3576" s="460">
        <v>0.31680999999999998</v>
      </c>
      <c r="J3576" s="460">
        <v>1.54355</v>
      </c>
      <c r="K3576" s="460">
        <v>137.10875999999999</v>
      </c>
      <c r="L3576" s="459" t="s">
        <v>541</v>
      </c>
      <c r="O3576">
        <v>0.28853000000000001</v>
      </c>
      <c r="P3576" t="s">
        <v>9806</v>
      </c>
    </row>
    <row r="3577" spans="1:16" ht="14.4" x14ac:dyDescent="0.3">
      <c r="A3577">
        <v>462141</v>
      </c>
      <c r="B3577" t="str">
        <f t="shared" si="110"/>
        <v>SEVROLL Faworyt II rączka 100 mm, biała matowa</v>
      </c>
      <c r="C3577" s="185">
        <f t="shared" si="111"/>
        <v>1.5232399999999999</v>
      </c>
      <c r="D3577" s="407" t="s">
        <v>1388</v>
      </c>
      <c r="E3577" s="407" t="s">
        <v>1837</v>
      </c>
      <c r="F3577" s="407" t="s">
        <v>2171</v>
      </c>
      <c r="G3577" s="407" t="s">
        <v>2395</v>
      </c>
      <c r="H3577" s="460">
        <v>8</v>
      </c>
      <c r="I3577" s="460">
        <v>0.31263999999999997</v>
      </c>
      <c r="J3577" s="460">
        <v>1.5232399999999999</v>
      </c>
      <c r="K3577" s="460">
        <v>135.30548999999999</v>
      </c>
      <c r="L3577" s="459" t="s">
        <v>541</v>
      </c>
      <c r="O3577">
        <v>0.28473999999999999</v>
      </c>
      <c r="P3577" t="s">
        <v>9807</v>
      </c>
    </row>
    <row r="3578" spans="1:16" ht="14.4" x14ac:dyDescent="0.3">
      <c r="A3578">
        <v>462142</v>
      </c>
      <c r="B3578" t="str">
        <f t="shared" si="110"/>
        <v>SEVROLL Fox II rączka 100mm czarny połysk</v>
      </c>
      <c r="C3578" s="185">
        <f t="shared" si="111"/>
        <v>1.8174399999999999</v>
      </c>
      <c r="D3578" s="407" t="s">
        <v>1389</v>
      </c>
      <c r="E3578" s="407" t="s">
        <v>1838</v>
      </c>
      <c r="F3578" s="407" t="s">
        <v>5853</v>
      </c>
      <c r="G3578" s="407" t="s">
        <v>2396</v>
      </c>
      <c r="H3578" s="460">
        <v>9</v>
      </c>
      <c r="I3578" s="460">
        <v>0.37302999999999997</v>
      </c>
      <c r="J3578" s="460">
        <v>1.8174399999999999</v>
      </c>
      <c r="K3578" s="460">
        <v>161.44137000000001</v>
      </c>
      <c r="L3578" s="459" t="s">
        <v>541</v>
      </c>
      <c r="O3578">
        <v>0.33973999999999999</v>
      </c>
      <c r="P3578" t="s">
        <v>9808</v>
      </c>
    </row>
    <row r="3579" spans="1:16" ht="14.4" x14ac:dyDescent="0.3">
      <c r="A3579">
        <v>462153</v>
      </c>
      <c r="B3579" t="str">
        <f t="shared" si="110"/>
        <v/>
      </c>
      <c r="C3579" s="185">
        <f t="shared" si="111"/>
        <v>1.17014</v>
      </c>
      <c r="D3579" s="407" t="s">
        <v>1390</v>
      </c>
      <c r="E3579" s="407" t="s">
        <v>1839</v>
      </c>
      <c r="F3579" s="407" t="s">
        <v>68</v>
      </c>
      <c r="G3579" s="407" t="s">
        <v>68</v>
      </c>
      <c r="H3579" s="460">
        <v>6</v>
      </c>
      <c r="I3579" s="460">
        <v>0.24016999999999999</v>
      </c>
      <c r="J3579" s="460">
        <v>1.17014</v>
      </c>
      <c r="K3579" s="460">
        <v>103.94232</v>
      </c>
      <c r="L3579" s="459" t="s">
        <v>541</v>
      </c>
      <c r="O3579">
        <v>0.21873999999999999</v>
      </c>
      <c r="P3579" t="s">
        <v>9809</v>
      </c>
    </row>
    <row r="3580" spans="1:16" ht="14.4" x14ac:dyDescent="0.3">
      <c r="A3580">
        <v>462154</v>
      </c>
      <c r="B3580" t="str">
        <f t="shared" si="110"/>
        <v/>
      </c>
      <c r="C3580" s="185">
        <f t="shared" si="111"/>
        <v>2.2383799999999998</v>
      </c>
      <c r="D3580" s="407" t="s">
        <v>1391</v>
      </c>
      <c r="E3580" s="407" t="s">
        <v>1840</v>
      </c>
      <c r="F3580" s="407" t="s">
        <v>68</v>
      </c>
      <c r="G3580" s="407" t="s">
        <v>68</v>
      </c>
      <c r="H3580" s="460">
        <v>11</v>
      </c>
      <c r="I3580" s="460">
        <v>0.45943000000000001</v>
      </c>
      <c r="J3580" s="460">
        <v>2.2383799999999998</v>
      </c>
      <c r="K3580" s="460">
        <v>198.83131</v>
      </c>
      <c r="L3580" s="459" t="s">
        <v>541</v>
      </c>
      <c r="O3580">
        <v>0.41842000000000001</v>
      </c>
      <c r="P3580" t="s">
        <v>9810</v>
      </c>
    </row>
    <row r="3581" spans="1:16" ht="14.4" x14ac:dyDescent="0.3">
      <c r="A3581">
        <v>462518</v>
      </c>
      <c r="B3581" t="str">
        <f t="shared" si="110"/>
        <v/>
      </c>
      <c r="C3581" s="185" t="e">
        <f t="shared" si="111"/>
        <v>#N/A</v>
      </c>
      <c r="D3581" s="407" t="s">
        <v>1392</v>
      </c>
      <c r="E3581" s="407" t="s">
        <v>68</v>
      </c>
      <c r="F3581" s="407" t="s">
        <v>68</v>
      </c>
      <c r="G3581" s="407" t="s">
        <v>68</v>
      </c>
      <c r="H3581" s="460" t="e">
        <v>#N/A</v>
      </c>
      <c r="I3581" s="460" t="e">
        <v>#N/A</v>
      </c>
      <c r="J3581" s="460" t="e">
        <v>#N/A</v>
      </c>
      <c r="K3581" s="460" t="e">
        <v>#N/A</v>
      </c>
      <c r="L3581" s="459" t="e">
        <v>#N/A</v>
      </c>
      <c r="O3581">
        <v>0</v>
      </c>
      <c r="P3581" t="s">
        <v>9811</v>
      </c>
    </row>
    <row r="3582" spans="1:16" ht="14.4" x14ac:dyDescent="0.3">
      <c r="A3582">
        <v>462519</v>
      </c>
      <c r="B3582" t="str">
        <f t="shared" si="110"/>
        <v/>
      </c>
      <c r="C3582" s="185">
        <f t="shared" si="111"/>
        <v>337.33834999999999</v>
      </c>
      <c r="D3582" s="407" t="s">
        <v>1393</v>
      </c>
      <c r="E3582" s="407" t="s">
        <v>68</v>
      </c>
      <c r="F3582" s="407" t="s">
        <v>68</v>
      </c>
      <c r="G3582" s="407" t="s">
        <v>68</v>
      </c>
      <c r="H3582" s="460">
        <v>7.1199999999999996E-3</v>
      </c>
      <c r="I3582" s="460">
        <v>2.5000000000000001E-4</v>
      </c>
      <c r="J3582" s="460">
        <v>337.33834999999999</v>
      </c>
      <c r="K3582" s="460">
        <v>11</v>
      </c>
      <c r="L3582" s="459" t="s">
        <v>541</v>
      </c>
      <c r="O3582">
        <v>2.2000000000000001E-4</v>
      </c>
      <c r="P3582" t="s">
        <v>9812</v>
      </c>
    </row>
    <row r="3583" spans="1:16" ht="14.4" x14ac:dyDescent="0.3">
      <c r="A3583">
        <v>462520</v>
      </c>
      <c r="B3583" t="str">
        <f t="shared" si="110"/>
        <v/>
      </c>
      <c r="C3583" s="185" t="e">
        <f t="shared" si="111"/>
        <v>#N/A</v>
      </c>
      <c r="D3583" s="407" t="s">
        <v>1394</v>
      </c>
      <c r="E3583" s="407" t="s">
        <v>68</v>
      </c>
      <c r="F3583" s="407" t="s">
        <v>68</v>
      </c>
      <c r="G3583" s="407" t="s">
        <v>68</v>
      </c>
      <c r="H3583" s="460" t="e">
        <v>#N/A</v>
      </c>
      <c r="I3583" s="460" t="e">
        <v>#N/A</v>
      </c>
      <c r="J3583" s="460" t="e">
        <v>#N/A</v>
      </c>
      <c r="K3583" s="460" t="e">
        <v>#N/A</v>
      </c>
      <c r="L3583" s="459" t="e">
        <v>#N/A</v>
      </c>
      <c r="O3583">
        <v>0</v>
      </c>
      <c r="P3583" t="s">
        <v>9813</v>
      </c>
    </row>
    <row r="3584" spans="1:16" ht="14.4" x14ac:dyDescent="0.3">
      <c r="A3584">
        <v>462521</v>
      </c>
      <c r="B3584" t="str">
        <f t="shared" si="110"/>
        <v/>
      </c>
      <c r="C3584" s="185" t="e">
        <f t="shared" si="111"/>
        <v>#N/A</v>
      </c>
      <c r="D3584" s="407" t="s">
        <v>1395</v>
      </c>
      <c r="E3584" s="407" t="s">
        <v>68</v>
      </c>
      <c r="F3584" s="407" t="s">
        <v>68</v>
      </c>
      <c r="G3584" s="407" t="s">
        <v>68</v>
      </c>
      <c r="H3584" s="460" t="e">
        <v>#N/A</v>
      </c>
      <c r="I3584" s="460" t="e">
        <v>#N/A</v>
      </c>
      <c r="J3584" s="460" t="e">
        <v>#N/A</v>
      </c>
      <c r="K3584" s="460" t="e">
        <v>#N/A</v>
      </c>
      <c r="L3584" s="459" t="e">
        <v>#N/A</v>
      </c>
      <c r="O3584">
        <v>0</v>
      </c>
      <c r="P3584" t="s">
        <v>9814</v>
      </c>
    </row>
    <row r="3585" spans="1:16" ht="14.4" x14ac:dyDescent="0.3">
      <c r="A3585">
        <v>462566</v>
      </c>
      <c r="B3585" t="str">
        <f t="shared" si="110"/>
        <v>SEVROLL 00095-A kątownik Mini 17x11mm 3m jasny brąz new</v>
      </c>
      <c r="C3585" s="185" t="e">
        <f t="shared" si="111"/>
        <v>#N/A</v>
      </c>
      <c r="D3585" s="407" t="s">
        <v>5855</v>
      </c>
      <c r="E3585" s="407" t="s">
        <v>5856</v>
      </c>
      <c r="F3585" s="407" t="s">
        <v>5857</v>
      </c>
      <c r="G3585" s="407" t="s">
        <v>5858</v>
      </c>
      <c r="H3585" s="460" t="e">
        <v>#N/A</v>
      </c>
      <c r="I3585" s="460" t="e">
        <v>#N/A</v>
      </c>
      <c r="J3585" s="460" t="e">
        <v>#N/A</v>
      </c>
      <c r="K3585" s="460" t="e">
        <v>#N/A</v>
      </c>
      <c r="L3585" s="459" t="e">
        <v>#N/A</v>
      </c>
      <c r="O3585" t="e">
        <v>#N/A</v>
      </c>
      <c r="P3585" t="e">
        <v>#N/A</v>
      </c>
    </row>
    <row r="3586" spans="1:16" ht="14.4" x14ac:dyDescent="0.3">
      <c r="A3586">
        <v>462573</v>
      </c>
      <c r="B3586" t="str">
        <f t="shared" si="110"/>
        <v>SEVROLL zaślepka do toru Elegant II 1,7m jasny brąz new</v>
      </c>
      <c r="C3586" s="185" t="e">
        <f t="shared" si="111"/>
        <v>#N/A</v>
      </c>
      <c r="D3586" s="407" t="s">
        <v>1402</v>
      </c>
      <c r="E3586" s="407" t="s">
        <v>1847</v>
      </c>
      <c r="F3586" s="407" t="s">
        <v>1402</v>
      </c>
      <c r="G3586" s="407" t="s">
        <v>2403</v>
      </c>
      <c r="H3586" s="460" t="e">
        <v>#N/A</v>
      </c>
      <c r="I3586" s="460" t="e">
        <v>#N/A</v>
      </c>
      <c r="J3586" s="460" t="e">
        <v>#N/A</v>
      </c>
      <c r="K3586" s="460" t="e">
        <v>#N/A</v>
      </c>
      <c r="L3586" s="459" t="e">
        <v>#N/A</v>
      </c>
      <c r="O3586" t="e">
        <v>#N/A</v>
      </c>
      <c r="P3586" t="e">
        <v>#N/A</v>
      </c>
    </row>
    <row r="3587" spans="1:16" ht="14.4" x14ac:dyDescent="0.3">
      <c r="A3587">
        <v>464138</v>
      </c>
      <c r="B3587" t="str">
        <f t="shared" si="110"/>
        <v>SEVROLL kątownik Mini 17x11mm 4,05m srebrny</v>
      </c>
      <c r="C3587" s="185" t="e">
        <f t="shared" si="111"/>
        <v>#N/A</v>
      </c>
      <c r="D3587" s="407" t="s">
        <v>5828</v>
      </c>
      <c r="E3587" s="407" t="s">
        <v>5829</v>
      </c>
      <c r="F3587" s="407" t="s">
        <v>5830</v>
      </c>
      <c r="G3587" s="407" t="s">
        <v>5831</v>
      </c>
      <c r="H3587" s="460" t="e">
        <v>#N/A</v>
      </c>
      <c r="I3587" s="460" t="e">
        <v>#N/A</v>
      </c>
      <c r="J3587" s="460" t="e">
        <v>#N/A</v>
      </c>
      <c r="K3587" s="460" t="e">
        <v>#N/A</v>
      </c>
      <c r="L3587" s="459" t="e">
        <v>#N/A</v>
      </c>
      <c r="O3587">
        <v>0</v>
      </c>
      <c r="P3587" t="s">
        <v>9702</v>
      </c>
    </row>
    <row r="3588" spans="1:16" ht="14.4" x14ac:dyDescent="0.3">
      <c r="A3588">
        <v>464295</v>
      </c>
      <c r="B3588" t="str">
        <f t="shared" ref="B3588:B3651" si="112">IF($A$2=1,D3588,IF($A$2=2,F3588,IF($A$2=3,G3588,IF($A$2=4,E3588,IF($A$2&gt;4,P3588,"zadat jazyk")))))</f>
        <v/>
      </c>
      <c r="C3588" s="185" t="e">
        <f t="shared" ref="C3588:C3651" si="113">IF($A$2=1,H3588,IF($A$2=2,I3588,IF($A$2=3,J3588,IF($A$2=4,K3588,IF($A$2&gt;4,O3588,"zadat jazyk")))))</f>
        <v>#N/A</v>
      </c>
      <c r="D3588" s="407" t="s">
        <v>1361</v>
      </c>
      <c r="E3588" s="407" t="s">
        <v>68</v>
      </c>
      <c r="F3588" s="407" t="s">
        <v>68</v>
      </c>
      <c r="G3588" s="407" t="s">
        <v>68</v>
      </c>
      <c r="H3588" s="460" t="e">
        <v>#N/A</v>
      </c>
      <c r="I3588" s="460" t="e">
        <v>#N/A</v>
      </c>
      <c r="J3588" s="460" t="e">
        <v>#N/A</v>
      </c>
      <c r="K3588" s="460" t="e">
        <v>#N/A</v>
      </c>
      <c r="L3588" s="459" t="e">
        <v>#N/A</v>
      </c>
      <c r="O3588" t="e">
        <v>#N/A</v>
      </c>
      <c r="P3588" t="e">
        <v>#N/A</v>
      </c>
    </row>
    <row r="3589" spans="1:16" ht="14.4" x14ac:dyDescent="0.3">
      <c r="A3589">
        <v>464296</v>
      </c>
      <c r="B3589" t="str">
        <f t="shared" si="112"/>
        <v/>
      </c>
      <c r="C3589" s="185">
        <f t="shared" si="113"/>
        <v>1</v>
      </c>
      <c r="D3589" s="407" t="s">
        <v>1362</v>
      </c>
      <c r="E3589" s="407" t="s">
        <v>68</v>
      </c>
      <c r="F3589" s="407" t="s">
        <v>68</v>
      </c>
      <c r="G3589" s="407" t="s">
        <v>68</v>
      </c>
      <c r="H3589" s="460">
        <v>7.1199999999999996E-3</v>
      </c>
      <c r="I3589" s="460">
        <v>2.5000000000000001E-4</v>
      </c>
      <c r="J3589" s="460">
        <v>1</v>
      </c>
      <c r="K3589" s="460">
        <v>11</v>
      </c>
      <c r="L3589" s="459" t="s">
        <v>541</v>
      </c>
      <c r="O3589">
        <v>2.2000000000000001E-4</v>
      </c>
      <c r="P3589" t="s">
        <v>9703</v>
      </c>
    </row>
    <row r="3590" spans="1:16" ht="14.4" x14ac:dyDescent="0.3">
      <c r="A3590">
        <v>465914</v>
      </c>
      <c r="B3590" t="str">
        <f t="shared" si="112"/>
        <v>SEVROLL 02986 Maxim II tor dolny 1,8m jasny brąz</v>
      </c>
      <c r="C3590" s="185" t="e">
        <f t="shared" si="113"/>
        <v>#N/A</v>
      </c>
      <c r="D3590" s="407" t="s">
        <v>1342</v>
      </c>
      <c r="E3590" s="407" t="s">
        <v>1793</v>
      </c>
      <c r="F3590" s="407" t="s">
        <v>2157</v>
      </c>
      <c r="G3590" s="407" t="s">
        <v>2365</v>
      </c>
      <c r="H3590" s="460" t="e">
        <v>#N/A</v>
      </c>
      <c r="I3590" s="460" t="e">
        <v>#N/A</v>
      </c>
      <c r="J3590" s="460" t="e">
        <v>#N/A</v>
      </c>
      <c r="K3590" s="460" t="e">
        <v>#N/A</v>
      </c>
      <c r="L3590" s="459" t="e">
        <v>#N/A</v>
      </c>
      <c r="O3590" t="e">
        <v>#N/A</v>
      </c>
      <c r="P3590" t="e">
        <v>#N/A</v>
      </c>
    </row>
    <row r="3591" spans="1:16" ht="14.4" x14ac:dyDescent="0.3">
      <c r="A3591">
        <v>465917</v>
      </c>
      <c r="B3591" t="str">
        <f t="shared" si="112"/>
        <v>SEVROLL 02996 Maxim II zaślepka do toru 1,8m jasny brąz</v>
      </c>
      <c r="C3591" s="185" t="e">
        <f t="shared" si="113"/>
        <v>#N/A</v>
      </c>
      <c r="D3591" s="407" t="s">
        <v>1343</v>
      </c>
      <c r="E3591" s="407" t="s">
        <v>1794</v>
      </c>
      <c r="F3591" s="407" t="s">
        <v>1343</v>
      </c>
      <c r="G3591" s="407" t="s">
        <v>2366</v>
      </c>
      <c r="H3591" s="460" t="e">
        <v>#N/A</v>
      </c>
      <c r="I3591" s="460" t="e">
        <v>#N/A</v>
      </c>
      <c r="J3591" s="460" t="e">
        <v>#N/A</v>
      </c>
      <c r="K3591" s="460" t="e">
        <v>#N/A</v>
      </c>
      <c r="L3591" s="459" t="e">
        <v>#N/A</v>
      </c>
      <c r="O3591" t="e">
        <v>#N/A</v>
      </c>
      <c r="P3591" t="e">
        <v>#N/A</v>
      </c>
    </row>
    <row r="3592" spans="1:16" ht="14.4" x14ac:dyDescent="0.3">
      <c r="A3592">
        <v>467244</v>
      </c>
      <c r="B3592" t="str">
        <f t="shared" si="112"/>
        <v>SEVROLL Alfa II rączka 100mm jasny brąz new</v>
      </c>
      <c r="C3592" s="185" t="e">
        <f t="shared" si="113"/>
        <v>#N/A</v>
      </c>
      <c r="D3592" s="407" t="s">
        <v>1700</v>
      </c>
      <c r="E3592" s="407" t="s">
        <v>2132</v>
      </c>
      <c r="F3592" s="407" t="s">
        <v>6130</v>
      </c>
      <c r="G3592" s="407" t="s">
        <v>2608</v>
      </c>
      <c r="H3592" s="460" t="e">
        <v>#N/A</v>
      </c>
      <c r="I3592" s="460" t="e">
        <v>#N/A</v>
      </c>
      <c r="J3592" s="460" t="e">
        <v>#N/A</v>
      </c>
      <c r="K3592" s="460" t="e">
        <v>#N/A</v>
      </c>
      <c r="L3592" s="459" t="e">
        <v>#N/A</v>
      </c>
      <c r="O3592" t="e">
        <v>#N/A</v>
      </c>
      <c r="P3592" t="e">
        <v>#N/A</v>
      </c>
    </row>
    <row r="3593" spans="1:16" ht="14.4" x14ac:dyDescent="0.3">
      <c r="A3593">
        <v>475310</v>
      </c>
      <c r="B3593" t="str">
        <f t="shared" si="112"/>
        <v/>
      </c>
      <c r="C3593" s="185" t="e">
        <f t="shared" si="113"/>
        <v>#N/A</v>
      </c>
      <c r="D3593" s="407" t="s">
        <v>3452</v>
      </c>
      <c r="E3593" s="407" t="s">
        <v>68</v>
      </c>
      <c r="F3593" s="407" t="s">
        <v>68</v>
      </c>
      <c r="G3593" s="407" t="s">
        <v>68</v>
      </c>
      <c r="H3593" s="460" t="e">
        <v>#N/A</v>
      </c>
      <c r="I3593" s="460" t="e">
        <v>#N/A</v>
      </c>
      <c r="J3593" s="460" t="e">
        <v>#N/A</v>
      </c>
      <c r="K3593" s="460" t="e">
        <v>#N/A</v>
      </c>
      <c r="L3593" s="459" t="e">
        <v>#N/A</v>
      </c>
      <c r="O3593">
        <v>42.515000000000001</v>
      </c>
      <c r="P3593" t="s">
        <v>10313</v>
      </c>
    </row>
    <row r="3594" spans="1:16" ht="14.4" x14ac:dyDescent="0.3">
      <c r="A3594">
        <v>475311</v>
      </c>
      <c r="B3594" t="str">
        <f t="shared" si="112"/>
        <v/>
      </c>
      <c r="C3594" s="185" t="e">
        <f t="shared" si="113"/>
        <v>#N/A</v>
      </c>
      <c r="D3594" s="407" t="s">
        <v>3453</v>
      </c>
      <c r="E3594" s="407" t="s">
        <v>68</v>
      </c>
      <c r="F3594" s="407" t="s">
        <v>68</v>
      </c>
      <c r="G3594" s="407" t="s">
        <v>68</v>
      </c>
      <c r="H3594" s="460" t="e">
        <v>#N/A</v>
      </c>
      <c r="I3594" s="460" t="e">
        <v>#N/A</v>
      </c>
      <c r="J3594" s="460" t="e">
        <v>#N/A</v>
      </c>
      <c r="K3594" s="460" t="e">
        <v>#N/A</v>
      </c>
      <c r="L3594" s="459" t="e">
        <v>#N/A</v>
      </c>
      <c r="O3594">
        <v>64.569999999999993</v>
      </c>
      <c r="P3594" t="s">
        <v>10314</v>
      </c>
    </row>
    <row r="3595" spans="1:16" ht="14.4" x14ac:dyDescent="0.3">
      <c r="A3595">
        <v>475312</v>
      </c>
      <c r="B3595" t="str">
        <f t="shared" si="112"/>
        <v/>
      </c>
      <c r="C3595" s="185" t="e">
        <f t="shared" si="113"/>
        <v>#N/A</v>
      </c>
      <c r="D3595" s="407" t="s">
        <v>3454</v>
      </c>
      <c r="E3595" s="407" t="s">
        <v>68</v>
      </c>
      <c r="F3595" s="407" t="s">
        <v>68</v>
      </c>
      <c r="G3595" s="407" t="s">
        <v>68</v>
      </c>
      <c r="H3595" s="460" t="e">
        <v>#N/A</v>
      </c>
      <c r="I3595" s="460" t="e">
        <v>#N/A</v>
      </c>
      <c r="J3595" s="460" t="e">
        <v>#N/A</v>
      </c>
      <c r="K3595" s="460" t="e">
        <v>#N/A</v>
      </c>
      <c r="L3595" s="459" t="e">
        <v>#N/A</v>
      </c>
      <c r="O3595">
        <v>36.024999999999999</v>
      </c>
      <c r="P3595" t="s">
        <v>10315</v>
      </c>
    </row>
    <row r="3596" spans="1:16" ht="14.4" x14ac:dyDescent="0.3">
      <c r="A3596">
        <v>475313</v>
      </c>
      <c r="B3596" t="str">
        <f t="shared" si="112"/>
        <v/>
      </c>
      <c r="C3596" s="185" t="e">
        <f t="shared" si="113"/>
        <v>#N/A</v>
      </c>
      <c r="D3596" s="407" t="s">
        <v>3455</v>
      </c>
      <c r="E3596" s="407" t="s">
        <v>68</v>
      </c>
      <c r="F3596" s="407" t="s">
        <v>68</v>
      </c>
      <c r="G3596" s="407" t="s">
        <v>68</v>
      </c>
      <c r="H3596" s="460" t="e">
        <v>#N/A</v>
      </c>
      <c r="I3596" s="460" t="e">
        <v>#N/A</v>
      </c>
      <c r="J3596" s="460" t="e">
        <v>#N/A</v>
      </c>
      <c r="K3596" s="460" t="e">
        <v>#N/A</v>
      </c>
      <c r="L3596" s="459" t="e">
        <v>#N/A</v>
      </c>
      <c r="O3596">
        <v>28.05</v>
      </c>
      <c r="P3596" t="s">
        <v>10316</v>
      </c>
    </row>
    <row r="3597" spans="1:16" ht="14.4" x14ac:dyDescent="0.3">
      <c r="A3597">
        <v>481515</v>
      </c>
      <c r="B3597" t="str">
        <f t="shared" si="112"/>
        <v>SEVROLL folia ochronna 500mm/400m</v>
      </c>
      <c r="C3597" s="185" t="e">
        <f t="shared" si="113"/>
        <v>#N/A</v>
      </c>
      <c r="D3597" s="407" t="s">
        <v>3456</v>
      </c>
      <c r="E3597" s="407" t="s">
        <v>6213</v>
      </c>
      <c r="F3597" s="407" t="s">
        <v>6214</v>
      </c>
      <c r="G3597" s="407" t="s">
        <v>6215</v>
      </c>
      <c r="H3597" s="460" t="e">
        <v>#N/A</v>
      </c>
      <c r="I3597" s="460" t="e">
        <v>#N/A</v>
      </c>
      <c r="J3597" s="460" t="e">
        <v>#N/A</v>
      </c>
      <c r="K3597" s="460" t="e">
        <v>#N/A</v>
      </c>
      <c r="L3597" s="459" t="e">
        <v>#N/A</v>
      </c>
      <c r="O3597">
        <v>410.52</v>
      </c>
      <c r="P3597" t="s">
        <v>10317</v>
      </c>
    </row>
    <row r="3598" spans="1:16" ht="14.4" x14ac:dyDescent="0.3">
      <c r="A3598">
        <v>488003</v>
      </c>
      <c r="B3598" t="str">
        <f t="shared" si="112"/>
        <v/>
      </c>
      <c r="C3598" s="185" t="e">
        <f t="shared" si="113"/>
        <v>#N/A</v>
      </c>
      <c r="D3598" s="407" t="s">
        <v>3457</v>
      </c>
      <c r="E3598" s="407" t="s">
        <v>68</v>
      </c>
      <c r="F3598" s="407" t="s">
        <v>68</v>
      </c>
      <c r="G3598" s="407" t="s">
        <v>68</v>
      </c>
      <c r="H3598" s="460" t="e">
        <v>#N/A</v>
      </c>
      <c r="I3598" s="460" t="e">
        <v>#N/A</v>
      </c>
      <c r="J3598" s="460" t="e">
        <v>#N/A</v>
      </c>
      <c r="K3598" s="460" t="e">
        <v>#N/A</v>
      </c>
      <c r="L3598" s="459" t="e">
        <v>#N/A</v>
      </c>
      <c r="O3598">
        <v>2.2000000000000001E-3</v>
      </c>
      <c r="P3598" t="s">
        <v>10318</v>
      </c>
    </row>
    <row r="3599" spans="1:16" ht="14.4" x14ac:dyDescent="0.3">
      <c r="A3599">
        <v>488004</v>
      </c>
      <c r="B3599" t="str">
        <f t="shared" si="112"/>
        <v/>
      </c>
      <c r="C3599" s="185" t="e">
        <f t="shared" si="113"/>
        <v>#N/A</v>
      </c>
      <c r="D3599" s="407" t="s">
        <v>3458</v>
      </c>
      <c r="E3599" s="407" t="s">
        <v>68</v>
      </c>
      <c r="F3599" s="407" t="s">
        <v>68</v>
      </c>
      <c r="G3599" s="407" t="s">
        <v>68</v>
      </c>
      <c r="H3599" s="460" t="e">
        <v>#N/A</v>
      </c>
      <c r="I3599" s="460" t="e">
        <v>#N/A</v>
      </c>
      <c r="J3599" s="460" t="e">
        <v>#N/A</v>
      </c>
      <c r="K3599" s="460" t="e">
        <v>#N/A</v>
      </c>
      <c r="L3599" s="459" t="e">
        <v>#N/A</v>
      </c>
      <c r="O3599">
        <v>2.2000000000000001E-3</v>
      </c>
      <c r="P3599" t="s">
        <v>10319</v>
      </c>
    </row>
    <row r="3600" spans="1:16" ht="14.4" x14ac:dyDescent="0.3">
      <c r="A3600">
        <v>488235</v>
      </c>
      <c r="B3600" t="str">
        <f t="shared" si="112"/>
        <v>SEVROLL 05747 dolna maskownica Simple/Blue 2m (do lamina18mm), czarny mat</v>
      </c>
      <c r="C3600" s="185">
        <f t="shared" si="113"/>
        <v>85.189250000000001</v>
      </c>
      <c r="D3600" s="407" t="s">
        <v>3459</v>
      </c>
      <c r="E3600" s="407" t="s">
        <v>6216</v>
      </c>
      <c r="F3600" s="407" t="s">
        <v>6217</v>
      </c>
      <c r="G3600" s="407" t="s">
        <v>6218</v>
      </c>
      <c r="H3600" s="460">
        <v>476.81455</v>
      </c>
      <c r="I3600" s="460">
        <v>17.331050000000001</v>
      </c>
      <c r="J3600" s="460">
        <v>85.189250000000001</v>
      </c>
      <c r="K3600" s="460">
        <v>6775.10851</v>
      </c>
      <c r="L3600" s="459" t="s">
        <v>538</v>
      </c>
      <c r="O3600">
        <v>16.521999999999998</v>
      </c>
      <c r="P3600" t="s">
        <v>10320</v>
      </c>
    </row>
    <row r="3601" spans="1:16" ht="14.4" x14ac:dyDescent="0.3">
      <c r="A3601">
        <v>488236</v>
      </c>
      <c r="B3601" t="str">
        <f t="shared" si="112"/>
        <v>SEVROLL 05748 maskownica dolna Simple/Blue 3m (do płyty 18mm) czarny mat</v>
      </c>
      <c r="C3601" s="185">
        <f t="shared" si="113"/>
        <v>127.83893999999999</v>
      </c>
      <c r="D3601" s="407" t="s">
        <v>3460</v>
      </c>
      <c r="E3601" s="407" t="s">
        <v>6219</v>
      </c>
      <c r="F3601" s="407" t="s">
        <v>6220</v>
      </c>
      <c r="G3601" s="407" t="s">
        <v>6221</v>
      </c>
      <c r="H3601" s="460">
        <v>714.50588000000005</v>
      </c>
      <c r="I3601" s="460">
        <v>25.970549999999999</v>
      </c>
      <c r="J3601" s="460">
        <v>127.83893999999999</v>
      </c>
      <c r="K3601" s="460">
        <v>10152.490110000001</v>
      </c>
      <c r="L3601" s="459" t="s">
        <v>538</v>
      </c>
      <c r="O3601">
        <v>24.398</v>
      </c>
      <c r="P3601" t="s">
        <v>10321</v>
      </c>
    </row>
    <row r="3602" spans="1:16" ht="14.4" x14ac:dyDescent="0.3">
      <c r="A3602">
        <v>488237</v>
      </c>
      <c r="B3602" t="str">
        <f t="shared" si="112"/>
        <v>SEVROLL 05749 górna listwa prowadząca Simple/Blue 2m (do lam. 18mm) czarny mat</v>
      </c>
      <c r="C3602" s="185">
        <f t="shared" si="113"/>
        <v>44.207169999999998</v>
      </c>
      <c r="D3602" s="407" t="s">
        <v>3461</v>
      </c>
      <c r="E3602" s="407" t="s">
        <v>6222</v>
      </c>
      <c r="F3602" s="407" t="s">
        <v>6223</v>
      </c>
      <c r="G3602" s="407" t="s">
        <v>6224</v>
      </c>
      <c r="H3602" s="460">
        <v>243.41883999999999</v>
      </c>
      <c r="I3602" s="460">
        <v>8.8476800000000004</v>
      </c>
      <c r="J3602" s="460">
        <v>44.207169999999998</v>
      </c>
      <c r="K3602" s="460">
        <v>3458.7641899999999</v>
      </c>
      <c r="L3602" s="459" t="s">
        <v>538</v>
      </c>
      <c r="O3602">
        <v>8.5139999999999993</v>
      </c>
      <c r="P3602" t="s">
        <v>10322</v>
      </c>
    </row>
    <row r="3603" spans="1:16" ht="14.4" x14ac:dyDescent="0.3">
      <c r="A3603">
        <v>488238</v>
      </c>
      <c r="B3603" t="str">
        <f t="shared" si="112"/>
        <v>SEVROLL 05750 tor dolny Simple/Blue 3m (do płyty 18mm) czarny mat</v>
      </c>
      <c r="C3603" s="185">
        <f t="shared" si="113"/>
        <v>66.326480000000004</v>
      </c>
      <c r="D3603" s="407" t="s">
        <v>3462</v>
      </c>
      <c r="E3603" s="407" t="s">
        <v>6225</v>
      </c>
      <c r="F3603" s="407" t="s">
        <v>6226</v>
      </c>
      <c r="G3603" s="407" t="s">
        <v>6227</v>
      </c>
      <c r="H3603" s="460">
        <v>365.12824999999998</v>
      </c>
      <c r="I3603" s="460">
        <v>13.27153</v>
      </c>
      <c r="J3603" s="460">
        <v>66.326480000000004</v>
      </c>
      <c r="K3603" s="460">
        <v>5188.1462799999999</v>
      </c>
      <c r="L3603" s="459" t="s">
        <v>538</v>
      </c>
      <c r="O3603">
        <v>12.474</v>
      </c>
      <c r="P3603" t="s">
        <v>10323</v>
      </c>
    </row>
    <row r="3604" spans="1:16" ht="14.4" x14ac:dyDescent="0.3">
      <c r="A3604">
        <v>488239</v>
      </c>
      <c r="B3604" t="str">
        <f t="shared" si="112"/>
        <v>SEVROLL 05746 listwa łącząca Simple/Blue H21 3m (do płyty 18mm) czarny mat</v>
      </c>
      <c r="C3604" s="185">
        <f t="shared" si="113"/>
        <v>61.339410000000001</v>
      </c>
      <c r="D3604" s="407" t="s">
        <v>3463</v>
      </c>
      <c r="E3604" s="407" t="s">
        <v>6228</v>
      </c>
      <c r="F3604" s="407" t="s">
        <v>6229</v>
      </c>
      <c r="G3604" s="407" t="s">
        <v>6230</v>
      </c>
      <c r="H3604" s="460">
        <v>408.80045000000001</v>
      </c>
      <c r="I3604" s="460">
        <v>14.8589</v>
      </c>
      <c r="J3604" s="460">
        <v>61.339410000000001</v>
      </c>
      <c r="K3604" s="460">
        <v>5808.6891100000003</v>
      </c>
      <c r="L3604" s="459" t="s">
        <v>538</v>
      </c>
      <c r="O3604">
        <v>13.882</v>
      </c>
      <c r="P3604" t="s">
        <v>10324</v>
      </c>
    </row>
    <row r="3605" spans="1:16" ht="14.4" x14ac:dyDescent="0.3">
      <c r="A3605">
        <v>488246</v>
      </c>
      <c r="B3605" t="str">
        <f t="shared" si="112"/>
        <v>SEVROLL 05745 Rączka Era 18 mm 2,70 m czarny mat</v>
      </c>
      <c r="C3605" s="185">
        <f t="shared" si="113"/>
        <v>55.817450000000001</v>
      </c>
      <c r="D3605" s="407" t="s">
        <v>3464</v>
      </c>
      <c r="E3605" s="407" t="s">
        <v>6231</v>
      </c>
      <c r="F3605" s="407" t="s">
        <v>6232</v>
      </c>
      <c r="G3605" s="407" t="s">
        <v>6233</v>
      </c>
      <c r="H3605" s="460">
        <v>437.43795999999998</v>
      </c>
      <c r="I3605" s="460">
        <v>15.89981</v>
      </c>
      <c r="J3605" s="460">
        <v>55.817450000000001</v>
      </c>
      <c r="K3605" s="460">
        <v>6215.6025399999999</v>
      </c>
      <c r="L3605" s="459" t="s">
        <v>538</v>
      </c>
      <c r="O3605">
        <v>14.938000000000001</v>
      </c>
      <c r="P3605" t="s">
        <v>10325</v>
      </c>
    </row>
    <row r="3606" spans="1:16" ht="14.4" x14ac:dyDescent="0.3">
      <c r="A3606">
        <v>488247</v>
      </c>
      <c r="B3606" t="str">
        <f t="shared" si="112"/>
        <v>SEVROLL 05909 Rekord rączka 18mm 2,70m czarny mat</v>
      </c>
      <c r="C3606" s="185">
        <f t="shared" si="113"/>
        <v>66.609660000000005</v>
      </c>
      <c r="D3606" s="407" t="s">
        <v>3465</v>
      </c>
      <c r="E3606" s="407" t="s">
        <v>6234</v>
      </c>
      <c r="F3606" s="407" t="s">
        <v>6235</v>
      </c>
      <c r="G3606" s="407" t="s">
        <v>6236</v>
      </c>
      <c r="H3606" s="460">
        <v>446.02920999999998</v>
      </c>
      <c r="I3606" s="460">
        <v>16.21208</v>
      </c>
      <c r="J3606" s="460">
        <v>66.609660000000005</v>
      </c>
      <c r="K3606" s="460">
        <v>6337.6766500000003</v>
      </c>
      <c r="L3606" s="459" t="s">
        <v>538</v>
      </c>
      <c r="O3606">
        <v>17.841999999999999</v>
      </c>
      <c r="P3606" t="s">
        <v>10326</v>
      </c>
    </row>
    <row r="3607" spans="1:16" ht="14.4" x14ac:dyDescent="0.3">
      <c r="A3607">
        <v>488257</v>
      </c>
      <c r="B3607" t="str">
        <f t="shared" si="112"/>
        <v>SEVROLL 05751 Blue-V tor dolny 2m  czarny mat</v>
      </c>
      <c r="C3607" s="185">
        <f t="shared" si="113"/>
        <v>44.993769999999998</v>
      </c>
      <c r="D3607" s="407" t="s">
        <v>3466</v>
      </c>
      <c r="E3607" s="407" t="s">
        <v>6237</v>
      </c>
      <c r="F3607" s="407" t="s">
        <v>6238</v>
      </c>
      <c r="G3607" s="407" t="s">
        <v>6239</v>
      </c>
      <c r="H3607" s="460">
        <v>288.52291000000002</v>
      </c>
      <c r="I3607" s="460">
        <v>10.487109999999999</v>
      </c>
      <c r="J3607" s="460">
        <v>44.993769999999998</v>
      </c>
      <c r="K3607" s="460">
        <v>4099.6527800000003</v>
      </c>
      <c r="L3607" s="459" t="s">
        <v>538</v>
      </c>
      <c r="O3607">
        <v>11.263999999999999</v>
      </c>
      <c r="P3607" t="s">
        <v>10327</v>
      </c>
    </row>
    <row r="3608" spans="1:16" ht="14.4" x14ac:dyDescent="0.3">
      <c r="A3608">
        <v>488258</v>
      </c>
      <c r="B3608" t="str">
        <f t="shared" si="112"/>
        <v>SEVROLL 05752 Blue-V tor dolny 3m czarny mat</v>
      </c>
      <c r="C3608" s="185">
        <f t="shared" si="113"/>
        <v>67.490650000000002</v>
      </c>
      <c r="D3608" s="407" t="s">
        <v>3467</v>
      </c>
      <c r="E3608" s="407" t="s">
        <v>6240</v>
      </c>
      <c r="F3608" s="407" t="s">
        <v>6241</v>
      </c>
      <c r="G3608" s="407" t="s">
        <v>6242</v>
      </c>
      <c r="H3608" s="460">
        <v>433.14235000000002</v>
      </c>
      <c r="I3608" s="460">
        <v>15.74367</v>
      </c>
      <c r="J3608" s="460">
        <v>67.490650000000002</v>
      </c>
      <c r="K3608" s="460">
        <v>6154.5656900000004</v>
      </c>
      <c r="L3608" s="459" t="s">
        <v>538</v>
      </c>
      <c r="O3608">
        <v>16.478000000000002</v>
      </c>
      <c r="P3608" t="s">
        <v>10328</v>
      </c>
    </row>
    <row r="3609" spans="1:16" ht="14.4" x14ac:dyDescent="0.3">
      <c r="A3609">
        <v>488259</v>
      </c>
      <c r="B3609" t="str">
        <f t="shared" si="112"/>
        <v>SEVROLL 05753 Blue-V tor dolny 6m czarny mat</v>
      </c>
      <c r="C3609" s="185">
        <f t="shared" si="113"/>
        <v>0</v>
      </c>
      <c r="D3609" s="407" t="s">
        <v>3468</v>
      </c>
      <c r="E3609" s="407" t="s">
        <v>6243</v>
      </c>
      <c r="F3609" s="407" t="s">
        <v>6244</v>
      </c>
      <c r="G3609" s="407" t="s">
        <v>6245</v>
      </c>
      <c r="H3609" s="460">
        <v>865.56874000000005</v>
      </c>
      <c r="I3609" s="460">
        <v>31.461320000000001</v>
      </c>
      <c r="J3609" s="460">
        <v>0</v>
      </c>
      <c r="K3609" s="460">
        <v>12298.958689999999</v>
      </c>
      <c r="L3609" s="459" t="s">
        <v>539</v>
      </c>
      <c r="O3609">
        <v>33.198</v>
      </c>
      <c r="P3609" t="s">
        <v>10329</v>
      </c>
    </row>
    <row r="3610" spans="1:16" ht="14.4" x14ac:dyDescent="0.3">
      <c r="A3610">
        <v>488266</v>
      </c>
      <c r="B3610" t="str">
        <f t="shared" si="112"/>
        <v>SEVROLL 05754 Blue tor gótny 2m czarny mat</v>
      </c>
      <c r="C3610" s="185">
        <f t="shared" si="113"/>
        <v>66.342209999999994</v>
      </c>
      <c r="D3610" s="407" t="s">
        <v>3469</v>
      </c>
      <c r="E3610" s="407" t="s">
        <v>6246</v>
      </c>
      <c r="F3610" s="407" t="s">
        <v>6247</v>
      </c>
      <c r="G3610" s="407" t="s">
        <v>6248</v>
      </c>
      <c r="H3610" s="460">
        <v>539.81704999999999</v>
      </c>
      <c r="I3610" s="460">
        <v>19.621040000000001</v>
      </c>
      <c r="J3610" s="460">
        <v>66.342209999999994</v>
      </c>
      <c r="K3610" s="460">
        <v>7670.3183900000004</v>
      </c>
      <c r="L3610" s="459" t="s">
        <v>538</v>
      </c>
      <c r="O3610">
        <v>19.602</v>
      </c>
      <c r="P3610" t="s">
        <v>10330</v>
      </c>
    </row>
    <row r="3611" spans="1:16" ht="14.4" x14ac:dyDescent="0.3">
      <c r="A3611">
        <v>488267</v>
      </c>
      <c r="B3611" t="str">
        <f t="shared" si="112"/>
        <v>SEVROLL 05755 Blue tor górny 3m czarny mat</v>
      </c>
      <c r="C3611" s="185">
        <f t="shared" si="113"/>
        <v>99.55265</v>
      </c>
      <c r="D3611" s="407" t="s">
        <v>3470</v>
      </c>
      <c r="E3611" s="407" t="s">
        <v>6249</v>
      </c>
      <c r="F3611" s="407" t="s">
        <v>6250</v>
      </c>
      <c r="G3611" s="407" t="s">
        <v>6251</v>
      </c>
      <c r="H3611" s="460">
        <v>809.72559000000001</v>
      </c>
      <c r="I3611" s="460">
        <v>29.431560000000001</v>
      </c>
      <c r="J3611" s="460">
        <v>99.55265</v>
      </c>
      <c r="K3611" s="460">
        <v>11505.47718</v>
      </c>
      <c r="L3611" s="459" t="s">
        <v>538</v>
      </c>
      <c r="O3611">
        <v>29.062000000000001</v>
      </c>
      <c r="P3611" t="s">
        <v>10331</v>
      </c>
    </row>
    <row r="3612" spans="1:16" ht="14.4" x14ac:dyDescent="0.3">
      <c r="A3612">
        <v>488268</v>
      </c>
      <c r="B3612" t="str">
        <f t="shared" si="112"/>
        <v>SEVROLL 05756 Blue tor górny 6m czarny mat</v>
      </c>
      <c r="C3612" s="185">
        <f t="shared" si="113"/>
        <v>0</v>
      </c>
      <c r="D3612" s="407" t="s">
        <v>3471</v>
      </c>
      <c r="E3612" s="407" t="s">
        <v>6252</v>
      </c>
      <c r="F3612" s="407" t="s">
        <v>6253</v>
      </c>
      <c r="G3612" s="407" t="s">
        <v>6254</v>
      </c>
      <c r="H3612" s="460">
        <v>1619.45119</v>
      </c>
      <c r="I3612" s="460">
        <v>58.863120000000002</v>
      </c>
      <c r="J3612" s="460">
        <v>0</v>
      </c>
      <c r="K3612" s="460">
        <v>23010.95477</v>
      </c>
      <c r="L3612" s="459" t="s">
        <v>539</v>
      </c>
      <c r="O3612">
        <v>58.3</v>
      </c>
      <c r="P3612" t="s">
        <v>10332</v>
      </c>
    </row>
    <row r="3613" spans="1:16" ht="14.4" x14ac:dyDescent="0.3">
      <c r="A3613">
        <v>488274</v>
      </c>
      <c r="B3613" t="str">
        <f t="shared" si="112"/>
        <v>SEVROLL 05808 Concordia</v>
      </c>
      <c r="C3613" s="185">
        <f t="shared" si="113"/>
        <v>1866.1271999999999</v>
      </c>
      <c r="D3613" s="407" t="s">
        <v>3472</v>
      </c>
      <c r="E3613" s="407" t="s">
        <v>6255</v>
      </c>
      <c r="F3613" s="407" t="s">
        <v>6255</v>
      </c>
      <c r="G3613" s="407" t="s">
        <v>6255</v>
      </c>
      <c r="H3613" s="460">
        <v>12253.41777</v>
      </c>
      <c r="I3613" s="460">
        <v>552.02937999999995</v>
      </c>
      <c r="J3613" s="460">
        <v>1866.1271999999999</v>
      </c>
      <c r="K3613" s="460">
        <v>210074.95204999999</v>
      </c>
      <c r="L3613" s="459" t="s">
        <v>539</v>
      </c>
      <c r="O3613">
        <v>495.44</v>
      </c>
      <c r="P3613" t="s">
        <v>10333</v>
      </c>
    </row>
    <row r="3614" spans="1:16" ht="14.4" x14ac:dyDescent="0.3">
      <c r="A3614">
        <v>488275</v>
      </c>
      <c r="B3614" t="str">
        <f t="shared" si="112"/>
        <v>SEVROLL 05809 Concordia</v>
      </c>
      <c r="C3614" s="185">
        <f t="shared" si="113"/>
        <v>1961.3184000000001</v>
      </c>
      <c r="D3614" s="407" t="s">
        <v>3473</v>
      </c>
      <c r="E3614" s="407" t="s">
        <v>6256</v>
      </c>
      <c r="F3614" s="407" t="s">
        <v>6256</v>
      </c>
      <c r="G3614" s="407" t="s">
        <v>6256</v>
      </c>
      <c r="H3614" s="460">
        <v>12878.288259999999</v>
      </c>
      <c r="I3614" s="460">
        <v>580.18046000000004</v>
      </c>
      <c r="J3614" s="460">
        <v>1961.3184000000001</v>
      </c>
      <c r="K3614" s="460">
        <v>220787.85143000001</v>
      </c>
      <c r="L3614" s="459" t="s">
        <v>539</v>
      </c>
      <c r="O3614">
        <v>520.69600000000003</v>
      </c>
      <c r="P3614" t="s">
        <v>10334</v>
      </c>
    </row>
    <row r="3615" spans="1:16" ht="14.4" x14ac:dyDescent="0.3">
      <c r="A3615">
        <v>488534</v>
      </c>
      <c r="B3615" t="str">
        <f t="shared" si="112"/>
        <v/>
      </c>
      <c r="C3615" s="185">
        <f t="shared" si="113"/>
        <v>0</v>
      </c>
      <c r="D3615" s="407" t="s">
        <v>3474</v>
      </c>
      <c r="E3615" s="407" t="s">
        <v>6257</v>
      </c>
      <c r="F3615" s="407" t="s">
        <v>68</v>
      </c>
      <c r="G3615" s="407" t="s">
        <v>68</v>
      </c>
      <c r="H3615" s="460">
        <v>0</v>
      </c>
      <c r="I3615" s="460">
        <v>0</v>
      </c>
      <c r="J3615" s="460">
        <v>0</v>
      </c>
      <c r="K3615" s="460">
        <v>0</v>
      </c>
      <c r="L3615" s="459" t="s">
        <v>541</v>
      </c>
      <c r="O3615">
        <v>0</v>
      </c>
      <c r="P3615" t="s">
        <v>10335</v>
      </c>
    </row>
    <row r="3616" spans="1:16" ht="14.4" x14ac:dyDescent="0.3">
      <c r="A3616">
        <v>488535</v>
      </c>
      <c r="B3616" t="str">
        <f t="shared" si="112"/>
        <v/>
      </c>
      <c r="C3616" s="185">
        <f t="shared" si="113"/>
        <v>0</v>
      </c>
      <c r="D3616" s="407" t="s">
        <v>3475</v>
      </c>
      <c r="E3616" s="407" t="s">
        <v>6258</v>
      </c>
      <c r="F3616" s="407" t="s">
        <v>68</v>
      </c>
      <c r="G3616" s="407" t="s">
        <v>68</v>
      </c>
      <c r="H3616" s="460">
        <v>0</v>
      </c>
      <c r="I3616" s="460">
        <v>0</v>
      </c>
      <c r="J3616" s="460">
        <v>0</v>
      </c>
      <c r="K3616" s="460">
        <v>0</v>
      </c>
      <c r="L3616" s="459" t="s">
        <v>541</v>
      </c>
      <c r="O3616">
        <v>0</v>
      </c>
      <c r="P3616" t="s">
        <v>10336</v>
      </c>
    </row>
    <row r="3617" spans="1:16" ht="14.4" x14ac:dyDescent="0.3">
      <c r="A3617">
        <v>488536</v>
      </c>
      <c r="B3617" t="str">
        <f t="shared" si="112"/>
        <v/>
      </c>
      <c r="C3617" s="185">
        <f t="shared" si="113"/>
        <v>0</v>
      </c>
      <c r="D3617" s="407" t="s">
        <v>3476</v>
      </c>
      <c r="E3617" s="407" t="s">
        <v>6259</v>
      </c>
      <c r="F3617" s="407" t="s">
        <v>68</v>
      </c>
      <c r="G3617" s="407" t="s">
        <v>68</v>
      </c>
      <c r="H3617" s="460">
        <v>0</v>
      </c>
      <c r="I3617" s="460">
        <v>0</v>
      </c>
      <c r="J3617" s="460">
        <v>0</v>
      </c>
      <c r="K3617" s="460">
        <v>0</v>
      </c>
      <c r="L3617" s="459" t="s">
        <v>541</v>
      </c>
      <c r="O3617">
        <v>0</v>
      </c>
      <c r="P3617" t="s">
        <v>10337</v>
      </c>
    </row>
    <row r="3618" spans="1:16" ht="14.4" x14ac:dyDescent="0.3">
      <c r="A3618">
        <v>488537</v>
      </c>
      <c r="B3618" t="str">
        <f t="shared" si="112"/>
        <v/>
      </c>
      <c r="C3618" s="185">
        <f t="shared" si="113"/>
        <v>0</v>
      </c>
      <c r="D3618" s="407" t="s">
        <v>3477</v>
      </c>
      <c r="E3618" s="407" t="s">
        <v>6260</v>
      </c>
      <c r="F3618" s="407" t="s">
        <v>68</v>
      </c>
      <c r="G3618" s="407" t="s">
        <v>68</v>
      </c>
      <c r="H3618" s="460">
        <v>0</v>
      </c>
      <c r="I3618" s="460">
        <v>0</v>
      </c>
      <c r="J3618" s="460">
        <v>0</v>
      </c>
      <c r="K3618" s="460">
        <v>0</v>
      </c>
      <c r="L3618" s="459" t="s">
        <v>541</v>
      </c>
      <c r="O3618">
        <v>0</v>
      </c>
      <c r="P3618" t="s">
        <v>10338</v>
      </c>
    </row>
    <row r="3619" spans="1:16" ht="14.4" x14ac:dyDescent="0.3">
      <c r="A3619">
        <v>489286</v>
      </c>
      <c r="B3619" t="str">
        <f t="shared" si="112"/>
        <v>SEVROLL 05784 Porto GM 18 rączka 2,7m srebrny</v>
      </c>
      <c r="C3619" s="185">
        <f t="shared" si="113"/>
        <v>78.988799999999998</v>
      </c>
      <c r="D3619" s="407" t="s">
        <v>6261</v>
      </c>
      <c r="E3619" s="407" t="s">
        <v>6262</v>
      </c>
      <c r="F3619" s="407" t="s">
        <v>6263</v>
      </c>
      <c r="G3619" s="407" t="s">
        <v>6264</v>
      </c>
      <c r="H3619" s="460">
        <v>596.36832000000004</v>
      </c>
      <c r="I3619" s="460">
        <v>21.442620000000002</v>
      </c>
      <c r="J3619" s="460">
        <v>78.988799999999998</v>
      </c>
      <c r="K3619" s="460">
        <v>8252.9587200000005</v>
      </c>
      <c r="L3619" s="459" t="s">
        <v>539</v>
      </c>
      <c r="O3619">
        <v>20.152000000000001</v>
      </c>
      <c r="P3619" t="s">
        <v>10339</v>
      </c>
    </row>
    <row r="3620" spans="1:16" ht="14.4" x14ac:dyDescent="0.3">
      <c r="A3620">
        <v>489287</v>
      </c>
      <c r="B3620" t="str">
        <f t="shared" si="112"/>
        <v>SEVROLL 05785 Porto GM 18 rączka 3m srebrny</v>
      </c>
      <c r="C3620" s="185">
        <f t="shared" si="113"/>
        <v>87.771000000000001</v>
      </c>
      <c r="D3620" s="407" t="s">
        <v>6265</v>
      </c>
      <c r="E3620" s="407" t="s">
        <v>6266</v>
      </c>
      <c r="F3620" s="407" t="s">
        <v>6267</v>
      </c>
      <c r="G3620" s="407" t="s">
        <v>6268</v>
      </c>
      <c r="H3620" s="460">
        <v>662.22942</v>
      </c>
      <c r="I3620" s="460">
        <v>23.810680000000001</v>
      </c>
      <c r="J3620" s="460">
        <v>87.771000000000001</v>
      </c>
      <c r="K3620" s="460">
        <v>9164.3896700000005</v>
      </c>
      <c r="L3620" s="459" t="s">
        <v>538</v>
      </c>
      <c r="O3620">
        <v>22.373999999999999</v>
      </c>
      <c r="P3620" t="s">
        <v>10340</v>
      </c>
    </row>
    <row r="3621" spans="1:16" ht="14.4" x14ac:dyDescent="0.3">
      <c r="A3621">
        <v>489288</v>
      </c>
      <c r="B3621" t="str">
        <f t="shared" si="112"/>
        <v>SEVROLL 05787 Porto GM 18 rączka 2,7m j.brąz</v>
      </c>
      <c r="C3621" s="185">
        <f t="shared" si="113"/>
        <v>102.37097</v>
      </c>
      <c r="D3621" s="407" t="s">
        <v>6269</v>
      </c>
      <c r="E3621" s="407" t="s">
        <v>6270</v>
      </c>
      <c r="F3621" s="407" t="s">
        <v>6271</v>
      </c>
      <c r="G3621" s="407" t="s">
        <v>6272</v>
      </c>
      <c r="H3621" s="460">
        <v>827.96767999999997</v>
      </c>
      <c r="I3621" s="460">
        <v>29.769850000000002</v>
      </c>
      <c r="J3621" s="460">
        <v>102.37097</v>
      </c>
      <c r="K3621" s="460">
        <v>11457.991169999999</v>
      </c>
      <c r="L3621" s="459" t="s">
        <v>539</v>
      </c>
      <c r="O3621">
        <v>27.082000000000001</v>
      </c>
      <c r="P3621" t="s">
        <v>10341</v>
      </c>
    </row>
    <row r="3622" spans="1:16" ht="14.4" x14ac:dyDescent="0.3">
      <c r="A3622">
        <v>489289</v>
      </c>
      <c r="B3622" t="str">
        <f t="shared" si="112"/>
        <v>SEVROLL 05786 Porto GM 18 rączka 2,7m j.brąz</v>
      </c>
      <c r="C3622" s="185">
        <f t="shared" si="113"/>
        <v>92.169669999999996</v>
      </c>
      <c r="D3622" s="407" t="s">
        <v>6273</v>
      </c>
      <c r="E3622" s="407" t="s">
        <v>6274</v>
      </c>
      <c r="F3622" s="407" t="s">
        <v>6273</v>
      </c>
      <c r="G3622" s="407" t="s">
        <v>6275</v>
      </c>
      <c r="H3622" s="460">
        <v>745.46042</v>
      </c>
      <c r="I3622" s="460">
        <v>26.803280000000001</v>
      </c>
      <c r="J3622" s="460">
        <v>92.169669999999996</v>
      </c>
      <c r="K3622" s="460">
        <v>10316.19822</v>
      </c>
      <c r="L3622" s="459" t="s">
        <v>539</v>
      </c>
      <c r="O3622">
        <v>24.376000000000001</v>
      </c>
      <c r="P3622" t="s">
        <v>10342</v>
      </c>
    </row>
    <row r="3623" spans="1:16" ht="14.4" x14ac:dyDescent="0.3">
      <c r="A3623">
        <v>489290</v>
      </c>
      <c r="B3623" t="str">
        <f t="shared" si="112"/>
        <v>SEVROLL 05790 Prosper GM 18 rączka 2,7m srebrny</v>
      </c>
      <c r="C3623" s="185">
        <f t="shared" si="113"/>
        <v>78.988799999999998</v>
      </c>
      <c r="D3623" s="407" t="s">
        <v>6276</v>
      </c>
      <c r="E3623" s="407" t="s">
        <v>6277</v>
      </c>
      <c r="F3623" s="407" t="s">
        <v>6278</v>
      </c>
      <c r="G3623" s="407" t="s">
        <v>6279</v>
      </c>
      <c r="H3623" s="460">
        <v>629.66074000000003</v>
      </c>
      <c r="I3623" s="460">
        <v>22.639659999999999</v>
      </c>
      <c r="J3623" s="460">
        <v>78.988799999999998</v>
      </c>
      <c r="K3623" s="460">
        <v>8713.6819799999994</v>
      </c>
      <c r="L3623" s="459" t="s">
        <v>538</v>
      </c>
      <c r="O3623">
        <v>20.152000000000001</v>
      </c>
      <c r="P3623" t="s">
        <v>10343</v>
      </c>
    </row>
    <row r="3624" spans="1:16" ht="14.4" x14ac:dyDescent="0.3">
      <c r="A3624">
        <v>489291</v>
      </c>
      <c r="B3624" t="str">
        <f t="shared" si="112"/>
        <v>SEVROLL 05791 Prosper GM 18 rączka 2,7 m j.brąz</v>
      </c>
      <c r="C3624" s="185">
        <f t="shared" si="113"/>
        <v>97.359819999999999</v>
      </c>
      <c r="D3624" s="407" t="s">
        <v>6280</v>
      </c>
      <c r="E3624" s="407" t="s">
        <v>6281</v>
      </c>
      <c r="F3624" s="407" t="s">
        <v>6282</v>
      </c>
      <c r="G3624" s="407" t="s">
        <v>6283</v>
      </c>
      <c r="H3624" s="460">
        <v>787.43781000000001</v>
      </c>
      <c r="I3624" s="460">
        <v>28.31259</v>
      </c>
      <c r="J3624" s="460">
        <v>97.359819999999999</v>
      </c>
      <c r="K3624" s="460">
        <v>10897.11025</v>
      </c>
      <c r="L3624" s="459" t="s">
        <v>539</v>
      </c>
      <c r="O3624">
        <v>24.376000000000001</v>
      </c>
      <c r="P3624" t="s">
        <v>10344</v>
      </c>
    </row>
    <row r="3625" spans="1:16" ht="14.4" x14ac:dyDescent="0.3">
      <c r="A3625">
        <v>489292</v>
      </c>
      <c r="B3625" t="str">
        <f t="shared" si="112"/>
        <v>SEVROLL 05788 Arte GM 18 rączka 2,7m srebrny</v>
      </c>
      <c r="C3625" s="185">
        <f t="shared" si="113"/>
        <v>78.988799999999998</v>
      </c>
      <c r="D3625" s="407" t="s">
        <v>6284</v>
      </c>
      <c r="E3625" s="407" t="s">
        <v>6285</v>
      </c>
      <c r="F3625" s="407" t="s">
        <v>6286</v>
      </c>
      <c r="G3625" s="407" t="s">
        <v>6287</v>
      </c>
      <c r="H3625" s="460">
        <v>629.66074000000003</v>
      </c>
      <c r="I3625" s="460">
        <v>22.639659999999999</v>
      </c>
      <c r="J3625" s="460">
        <v>78.988799999999998</v>
      </c>
      <c r="K3625" s="460">
        <v>8713.6819799999994</v>
      </c>
      <c r="L3625" s="459" t="s">
        <v>538</v>
      </c>
      <c r="O3625">
        <v>20.152000000000001</v>
      </c>
      <c r="P3625" t="s">
        <v>10345</v>
      </c>
    </row>
    <row r="3626" spans="1:16" ht="14.4" x14ac:dyDescent="0.3">
      <c r="A3626">
        <v>489293</v>
      </c>
      <c r="B3626" t="str">
        <f t="shared" si="112"/>
        <v>SEVROLL 05789 Arte GM 18 rączka 2,7m j.brąz</v>
      </c>
      <c r="C3626" s="185">
        <f t="shared" si="113"/>
        <v>97.359819999999999</v>
      </c>
      <c r="D3626" s="407" t="s">
        <v>6288</v>
      </c>
      <c r="E3626" s="407" t="s">
        <v>6289</v>
      </c>
      <c r="F3626" s="407" t="s">
        <v>6290</v>
      </c>
      <c r="G3626" s="407" t="s">
        <v>6291</v>
      </c>
      <c r="H3626" s="460">
        <v>787.43781000000001</v>
      </c>
      <c r="I3626" s="460">
        <v>28.31259</v>
      </c>
      <c r="J3626" s="460">
        <v>97.359819999999999</v>
      </c>
      <c r="K3626" s="460">
        <v>10897.11025</v>
      </c>
      <c r="L3626" s="459" t="s">
        <v>539</v>
      </c>
      <c r="O3626">
        <v>24.376000000000001</v>
      </c>
      <c r="P3626" t="s">
        <v>10346</v>
      </c>
    </row>
    <row r="3627" spans="1:16" ht="14.4" x14ac:dyDescent="0.3">
      <c r="A3627">
        <v>489294</v>
      </c>
      <c r="B3627" t="str">
        <f t="shared" si="112"/>
        <v>SEVROLL 05910 Arte GM 18 rączka 2,7m czarny mat</v>
      </c>
      <c r="C3627" s="185">
        <f t="shared" si="113"/>
        <v>102.68340000000001</v>
      </c>
      <c r="D3627" s="407" t="s">
        <v>6292</v>
      </c>
      <c r="E3627" s="407" t="s">
        <v>6293</v>
      </c>
      <c r="F3627" s="407" t="s">
        <v>6294</v>
      </c>
      <c r="G3627" s="407" t="s">
        <v>6295</v>
      </c>
      <c r="H3627" s="460">
        <v>816.38773000000003</v>
      </c>
      <c r="I3627" s="460">
        <v>29.353490000000001</v>
      </c>
      <c r="J3627" s="460">
        <v>102.68340000000001</v>
      </c>
      <c r="K3627" s="460">
        <v>11297.73933</v>
      </c>
      <c r="L3627" s="459" t="s">
        <v>539</v>
      </c>
      <c r="O3627">
        <v>24.815999999999999</v>
      </c>
      <c r="P3627" t="s">
        <v>10347</v>
      </c>
    </row>
    <row r="3628" spans="1:16" ht="14.4" x14ac:dyDescent="0.3">
      <c r="A3628">
        <v>489301</v>
      </c>
      <c r="B3628" t="str">
        <f t="shared" si="112"/>
        <v>SEVROLL 05903 Focus II 18mm rączka 2,7m</v>
      </c>
      <c r="C3628" s="185">
        <f t="shared" si="113"/>
        <v>51.7956</v>
      </c>
      <c r="D3628" s="407" t="s">
        <v>3478</v>
      </c>
      <c r="E3628" s="407" t="s">
        <v>6296</v>
      </c>
      <c r="F3628" s="407" t="s">
        <v>6297</v>
      </c>
      <c r="G3628" s="407" t="s">
        <v>6298</v>
      </c>
      <c r="H3628" s="460">
        <v>300.35543000000001</v>
      </c>
      <c r="I3628" s="460">
        <v>10.799379999999999</v>
      </c>
      <c r="J3628" s="460">
        <v>51.7956</v>
      </c>
      <c r="K3628" s="460">
        <v>4156.5264699999998</v>
      </c>
      <c r="L3628" s="459" t="s">
        <v>538</v>
      </c>
      <c r="O3628">
        <v>15.532</v>
      </c>
      <c r="P3628" t="s">
        <v>10348</v>
      </c>
    </row>
    <row r="3629" spans="1:16" ht="14.4" x14ac:dyDescent="0.3">
      <c r="A3629">
        <v>489302</v>
      </c>
      <c r="B3629" t="str">
        <f t="shared" si="112"/>
        <v>SEVROLL 05900 Fox II rączka 2,7m biały mat</v>
      </c>
      <c r="C3629" s="185">
        <f t="shared" si="113"/>
        <v>80.416799999999995</v>
      </c>
      <c r="D3629" s="407" t="s">
        <v>6299</v>
      </c>
      <c r="E3629" s="407" t="s">
        <v>6300</v>
      </c>
      <c r="F3629" s="407" t="s">
        <v>6301</v>
      </c>
      <c r="G3629" s="407" t="s">
        <v>6302</v>
      </c>
      <c r="H3629" s="460">
        <v>600.71082000000001</v>
      </c>
      <c r="I3629" s="460">
        <v>21.598759999999999</v>
      </c>
      <c r="J3629" s="460">
        <v>80.416799999999995</v>
      </c>
      <c r="K3629" s="460">
        <v>8313.0529399999996</v>
      </c>
      <c r="L3629" s="459" t="s">
        <v>538</v>
      </c>
      <c r="O3629">
        <v>18.260000000000002</v>
      </c>
      <c r="P3629" t="s">
        <v>10349</v>
      </c>
    </row>
    <row r="3630" spans="1:16" ht="14.4" x14ac:dyDescent="0.3">
      <c r="A3630">
        <v>489303</v>
      </c>
      <c r="B3630" t="str">
        <f t="shared" si="112"/>
        <v>SEVROLL 04831 Pax XL rączka 2,7m czarny mat</v>
      </c>
      <c r="C3630" s="185">
        <f t="shared" si="113"/>
        <v>116.8716</v>
      </c>
      <c r="D3630" s="407" t="s">
        <v>6303</v>
      </c>
      <c r="E3630" s="407" t="s">
        <v>6304</v>
      </c>
      <c r="F3630" s="407" t="s">
        <v>6305</v>
      </c>
      <c r="G3630" s="407" t="s">
        <v>6306</v>
      </c>
      <c r="H3630" s="460">
        <v>847.50887999999998</v>
      </c>
      <c r="I3630" s="460">
        <v>30.472460000000002</v>
      </c>
      <c r="J3630" s="460">
        <v>116.8716</v>
      </c>
      <c r="K3630" s="460">
        <v>11728.41548</v>
      </c>
      <c r="L3630" s="459" t="s">
        <v>539</v>
      </c>
      <c r="O3630">
        <v>28.16</v>
      </c>
      <c r="P3630" t="s">
        <v>10350</v>
      </c>
    </row>
    <row r="3631" spans="1:16" ht="14.4" x14ac:dyDescent="0.3">
      <c r="A3631">
        <v>489304</v>
      </c>
      <c r="B3631" t="str">
        <f t="shared" si="112"/>
        <v>SEVROLL 04832 Pax XL rączka 2,7m czarny mat</v>
      </c>
      <c r="C3631" s="185">
        <f t="shared" si="113"/>
        <v>129.8562</v>
      </c>
      <c r="D3631" s="407" t="s">
        <v>6307</v>
      </c>
      <c r="E3631" s="407" t="s">
        <v>6308</v>
      </c>
      <c r="F3631" s="407" t="s">
        <v>6309</v>
      </c>
      <c r="G3631" s="407" t="s">
        <v>6310</v>
      </c>
      <c r="H3631" s="460">
        <v>943.04360999999994</v>
      </c>
      <c r="I3631" s="460">
        <v>33.907449999999997</v>
      </c>
      <c r="J3631" s="460">
        <v>129.8562</v>
      </c>
      <c r="K3631" s="460">
        <v>13050.49144</v>
      </c>
      <c r="L3631" s="459" t="s">
        <v>539</v>
      </c>
      <c r="O3631">
        <v>31.283999999999999</v>
      </c>
      <c r="P3631" t="s">
        <v>10351</v>
      </c>
    </row>
    <row r="3632" spans="1:16" ht="14.4" x14ac:dyDescent="0.3">
      <c r="A3632">
        <v>489305</v>
      </c>
      <c r="B3632" t="str">
        <f t="shared" si="112"/>
        <v>SEVROLL 04415 Pax XL rączka 2,7m srebrna</v>
      </c>
      <c r="C3632" s="185">
        <f t="shared" si="113"/>
        <v>99.888599999999997</v>
      </c>
      <c r="D3632" s="407" t="s">
        <v>6311</v>
      </c>
      <c r="E3632" s="407" t="s">
        <v>6312</v>
      </c>
      <c r="F3632" s="407" t="s">
        <v>68</v>
      </c>
      <c r="G3632" s="407" t="s">
        <v>6313</v>
      </c>
      <c r="H3632" s="460">
        <v>725.19547</v>
      </c>
      <c r="I3632" s="460">
        <v>26.074649999999998</v>
      </c>
      <c r="J3632" s="460">
        <v>99.888599999999997</v>
      </c>
      <c r="K3632" s="460">
        <v>10035.75794</v>
      </c>
      <c r="L3632" s="459" t="s">
        <v>539</v>
      </c>
      <c r="O3632">
        <v>25.388000000000002</v>
      </c>
      <c r="P3632" t="s">
        <v>10352</v>
      </c>
    </row>
    <row r="3633" spans="1:16" ht="14.4" x14ac:dyDescent="0.3">
      <c r="A3633">
        <v>489306</v>
      </c>
      <c r="B3633" t="str">
        <f t="shared" si="112"/>
        <v>SEVROLL 01706 Slim Line II profil ramowy 2,7 m j.brąz</v>
      </c>
      <c r="C3633" s="185">
        <f t="shared" si="113"/>
        <v>36.509929999999997</v>
      </c>
      <c r="D3633" s="407" t="s">
        <v>6314</v>
      </c>
      <c r="E3633" s="407" t="s">
        <v>6315</v>
      </c>
      <c r="F3633" s="407" t="s">
        <v>6314</v>
      </c>
      <c r="G3633" s="407" t="s">
        <v>6316</v>
      </c>
      <c r="H3633" s="460">
        <v>295.28917999999999</v>
      </c>
      <c r="I3633" s="460">
        <v>10.61722</v>
      </c>
      <c r="J3633" s="460">
        <v>36.509929999999997</v>
      </c>
      <c r="K3633" s="460">
        <v>4086.4163100000001</v>
      </c>
      <c r="L3633" s="459" t="s">
        <v>539</v>
      </c>
      <c r="O3633">
        <v>8.9760000000000009</v>
      </c>
      <c r="P3633" t="s">
        <v>10353</v>
      </c>
    </row>
    <row r="3634" spans="1:16" ht="14.4" x14ac:dyDescent="0.3">
      <c r="A3634">
        <v>489307</v>
      </c>
      <c r="B3634" t="str">
        <f t="shared" si="112"/>
        <v>SEVROLL 02549 Secret Line II profil ramkowy 2,7 m j.brąz</v>
      </c>
      <c r="C3634" s="185">
        <f t="shared" si="113"/>
        <v>32.035670000000003</v>
      </c>
      <c r="D3634" s="407" t="s">
        <v>3479</v>
      </c>
      <c r="E3634" s="407" t="s">
        <v>6317</v>
      </c>
      <c r="F3634" s="407" t="s">
        <v>3479</v>
      </c>
      <c r="G3634" s="407" t="s">
        <v>6318</v>
      </c>
      <c r="H3634" s="460">
        <v>259.10178000000002</v>
      </c>
      <c r="I3634" s="460">
        <v>9.3160900000000009</v>
      </c>
      <c r="J3634" s="460">
        <v>32.035670000000003</v>
      </c>
      <c r="K3634" s="460">
        <v>3585.62997</v>
      </c>
      <c r="L3634" s="459" t="s">
        <v>539</v>
      </c>
      <c r="O3634">
        <v>7.8760000000000003</v>
      </c>
      <c r="P3634" t="s">
        <v>10354</v>
      </c>
    </row>
    <row r="3635" spans="1:16" ht="14.4" x14ac:dyDescent="0.3">
      <c r="A3635">
        <v>489308</v>
      </c>
      <c r="B3635" t="str">
        <f t="shared" si="112"/>
        <v>SEVROLL 05744 Secret Line II profil ramkowy 2,7m czarny mat</v>
      </c>
      <c r="C3635" s="185">
        <f t="shared" si="113"/>
        <v>35.026800000000001</v>
      </c>
      <c r="D3635" s="407" t="s">
        <v>3480</v>
      </c>
      <c r="E3635" s="407" t="s">
        <v>6319</v>
      </c>
      <c r="F3635" s="407" t="s">
        <v>6320</v>
      </c>
      <c r="G3635" s="407" t="s">
        <v>6321</v>
      </c>
      <c r="H3635" s="460">
        <v>279.36673000000002</v>
      </c>
      <c r="I3635" s="460">
        <v>10.047330000000001</v>
      </c>
      <c r="J3635" s="460">
        <v>35.026800000000001</v>
      </c>
      <c r="K3635" s="460">
        <v>3866.0702500000002</v>
      </c>
      <c r="L3635" s="459" t="s">
        <v>539</v>
      </c>
      <c r="O3635">
        <v>8.4700000000000006</v>
      </c>
      <c r="P3635" t="s">
        <v>10355</v>
      </c>
    </row>
    <row r="3636" spans="1:16" ht="14.4" x14ac:dyDescent="0.3">
      <c r="A3636">
        <v>489309</v>
      </c>
      <c r="B3636" t="str">
        <f t="shared" si="112"/>
        <v>SEVROLL Rączka Vitara 2,7m czarny mat</v>
      </c>
      <c r="C3636" s="185">
        <f t="shared" si="113"/>
        <v>74.143799999999999</v>
      </c>
      <c r="D3636" s="407" t="s">
        <v>3481</v>
      </c>
      <c r="E3636" s="407" t="s">
        <v>6322</v>
      </c>
      <c r="F3636" s="407" t="s">
        <v>6323</v>
      </c>
      <c r="G3636" s="407" t="s">
        <v>6324</v>
      </c>
      <c r="H3636" s="460">
        <v>525.44104000000004</v>
      </c>
      <c r="I3636" s="460">
        <v>18.892410000000002</v>
      </c>
      <c r="J3636" s="460">
        <v>74.143799999999999</v>
      </c>
      <c r="K3636" s="460">
        <v>7271.4172099999996</v>
      </c>
      <c r="L3636" s="459" t="s">
        <v>539</v>
      </c>
      <c r="O3636">
        <v>16.103999999999999</v>
      </c>
      <c r="P3636" t="s">
        <v>10356</v>
      </c>
    </row>
    <row r="3637" spans="1:16" ht="14.4" x14ac:dyDescent="0.3">
      <c r="A3637">
        <v>489624</v>
      </c>
      <c r="B3637" t="str">
        <f t="shared" si="112"/>
        <v>Sevroll 05000 Lux III rączka 2,7m złoty</v>
      </c>
      <c r="C3637" s="185">
        <f t="shared" si="113"/>
        <v>99.97551</v>
      </c>
      <c r="D3637" s="407" t="s">
        <v>3482</v>
      </c>
      <c r="E3637" s="407" t="s">
        <v>6325</v>
      </c>
      <c r="F3637" s="407" t="s">
        <v>3482</v>
      </c>
      <c r="G3637" s="407" t="s">
        <v>6326</v>
      </c>
      <c r="H3637" s="460">
        <v>759.21163000000001</v>
      </c>
      <c r="I3637" s="460">
        <v>27.297709999999999</v>
      </c>
      <c r="J3637" s="460">
        <v>99.97551</v>
      </c>
      <c r="K3637" s="460">
        <v>10506.497170000001</v>
      </c>
      <c r="L3637" s="459" t="s">
        <v>539</v>
      </c>
      <c r="O3637">
        <v>23.077999999999999</v>
      </c>
      <c r="P3637" t="s">
        <v>10357</v>
      </c>
    </row>
    <row r="3638" spans="1:16" ht="14.4" x14ac:dyDescent="0.3">
      <c r="A3638">
        <v>489625</v>
      </c>
      <c r="B3638" t="str">
        <f t="shared" si="112"/>
        <v>Sevroll 81002 Lux III rączka 3m srebrna</v>
      </c>
      <c r="C3638" s="185">
        <f t="shared" si="113"/>
        <v>107.99908000000001</v>
      </c>
      <c r="D3638" s="407" t="s">
        <v>3483</v>
      </c>
      <c r="E3638" s="407" t="s">
        <v>6327</v>
      </c>
      <c r="F3638" s="407" t="s">
        <v>6328</v>
      </c>
      <c r="G3638" s="407" t="s">
        <v>6329</v>
      </c>
      <c r="H3638" s="460">
        <v>764.27787999999998</v>
      </c>
      <c r="I3638" s="460">
        <v>27.479869999999998</v>
      </c>
      <c r="J3638" s="460">
        <v>107.99908000000001</v>
      </c>
      <c r="K3638" s="460">
        <v>10576.60692</v>
      </c>
      <c r="L3638" s="459" t="s">
        <v>539</v>
      </c>
      <c r="O3638">
        <v>24.463999999999999</v>
      </c>
      <c r="P3638" t="s">
        <v>10358</v>
      </c>
    </row>
    <row r="3639" spans="1:16" ht="14.4" x14ac:dyDescent="0.3">
      <c r="A3639">
        <v>489626</v>
      </c>
      <c r="B3639" t="str">
        <f t="shared" si="112"/>
        <v>SEVROLL 02782 Beta 16 rączka 2,70 m oliwka</v>
      </c>
      <c r="C3639" s="185">
        <f t="shared" si="113"/>
        <v>32.986800000000002</v>
      </c>
      <c r="D3639" s="407" t="s">
        <v>3484</v>
      </c>
      <c r="E3639" s="407" t="s">
        <v>6330</v>
      </c>
      <c r="F3639" s="407" t="s">
        <v>3484</v>
      </c>
      <c r="G3639" s="407" t="s">
        <v>6331</v>
      </c>
      <c r="H3639" s="460">
        <v>266.33926000000002</v>
      </c>
      <c r="I3639" s="460">
        <v>9.5763200000000008</v>
      </c>
      <c r="J3639" s="460">
        <v>32.986800000000002</v>
      </c>
      <c r="K3639" s="460">
        <v>3685.7872400000001</v>
      </c>
      <c r="L3639" s="459" t="s">
        <v>539</v>
      </c>
      <c r="O3639">
        <v>8.0960000000000001</v>
      </c>
      <c r="P3639" t="s">
        <v>10359</v>
      </c>
    </row>
    <row r="3640" spans="1:16" ht="14.4" x14ac:dyDescent="0.3">
      <c r="A3640">
        <v>489947</v>
      </c>
      <c r="B3640" t="str">
        <f t="shared" si="112"/>
        <v>SEVROLL Pax XL rączka 3m biały polysk</v>
      </c>
      <c r="C3640" s="185">
        <f t="shared" si="113"/>
        <v>129.8562</v>
      </c>
      <c r="D3640" s="407" t="s">
        <v>3485</v>
      </c>
      <c r="E3640" s="407" t="s">
        <v>6332</v>
      </c>
      <c r="F3640" s="407" t="s">
        <v>68</v>
      </c>
      <c r="G3640" s="407" t="s">
        <v>6333</v>
      </c>
      <c r="H3640" s="460">
        <v>943.04360999999994</v>
      </c>
      <c r="I3640" s="460">
        <v>33.907449999999997</v>
      </c>
      <c r="J3640" s="460">
        <v>129.8562</v>
      </c>
      <c r="K3640" s="460">
        <v>13050.49144</v>
      </c>
      <c r="L3640" s="459" t="s">
        <v>539</v>
      </c>
      <c r="O3640">
        <v>34.76</v>
      </c>
      <c r="P3640" t="s">
        <v>10360</v>
      </c>
    </row>
    <row r="3641" spans="1:16" ht="14.4" x14ac:dyDescent="0.3">
      <c r="A3641">
        <v>489948</v>
      </c>
      <c r="B3641" t="str">
        <f t="shared" si="112"/>
        <v>Sevroll 85622 Lux III rączka 3m jasny brąz</v>
      </c>
      <c r="C3641" s="185">
        <f t="shared" si="113"/>
        <v>111.12626</v>
      </c>
      <c r="D3641" s="407" t="s">
        <v>6334</v>
      </c>
      <c r="E3641" s="407" t="s">
        <v>6335</v>
      </c>
      <c r="F3641" s="407" t="s">
        <v>6336</v>
      </c>
      <c r="G3641" s="407" t="s">
        <v>6337</v>
      </c>
      <c r="H3641" s="460">
        <v>843.89016000000004</v>
      </c>
      <c r="I3641" s="460">
        <v>30.34235</v>
      </c>
      <c r="J3641" s="460">
        <v>111.12626</v>
      </c>
      <c r="K3641" s="460">
        <v>11678.33685</v>
      </c>
      <c r="L3641" s="459" t="s">
        <v>539</v>
      </c>
      <c r="O3641">
        <v>25.652000000000001</v>
      </c>
      <c r="P3641" t="s">
        <v>10361</v>
      </c>
    </row>
    <row r="3642" spans="1:16" ht="14.4" x14ac:dyDescent="0.3">
      <c r="A3642">
        <v>489949</v>
      </c>
      <c r="B3642" t="str">
        <f t="shared" si="112"/>
        <v>Sevroll 05001 Lux III rączka 3m złoty</v>
      </c>
      <c r="C3642" s="185">
        <f t="shared" si="113"/>
        <v>111.12626</v>
      </c>
      <c r="D3642" s="407" t="s">
        <v>3486</v>
      </c>
      <c r="E3642" s="407" t="s">
        <v>6338</v>
      </c>
      <c r="F3642" s="407" t="s">
        <v>3486</v>
      </c>
      <c r="G3642" s="407" t="s">
        <v>6339</v>
      </c>
      <c r="H3642" s="460">
        <v>843.89016000000004</v>
      </c>
      <c r="I3642" s="460">
        <v>30.34235</v>
      </c>
      <c r="J3642" s="460">
        <v>111.12626</v>
      </c>
      <c r="K3642" s="460">
        <v>11678.33685</v>
      </c>
      <c r="L3642" s="459" t="s">
        <v>539</v>
      </c>
      <c r="O3642">
        <v>25.652000000000001</v>
      </c>
      <c r="P3642" t="s">
        <v>10362</v>
      </c>
    </row>
    <row r="3643" spans="1:16" ht="14.4" x14ac:dyDescent="0.3">
      <c r="A3643">
        <v>491112</v>
      </c>
      <c r="B3643" t="str">
        <f t="shared" si="112"/>
        <v>SEVROLL 02336 Szpros S10 3m czarny mat</v>
      </c>
      <c r="C3643" s="185">
        <f t="shared" si="113"/>
        <v>15.606</v>
      </c>
      <c r="D3643" s="407" t="s">
        <v>3487</v>
      </c>
      <c r="E3643" s="407" t="s">
        <v>6340</v>
      </c>
      <c r="F3643" s="407" t="s">
        <v>6341</v>
      </c>
      <c r="G3643" s="407" t="s">
        <v>6342</v>
      </c>
      <c r="H3643" s="460">
        <v>123.03716</v>
      </c>
      <c r="I3643" s="460">
        <v>4.4316399999999998</v>
      </c>
      <c r="J3643" s="460">
        <v>15.606</v>
      </c>
      <c r="K3643" s="460">
        <v>1702.6734799999999</v>
      </c>
      <c r="L3643" s="459" t="s">
        <v>538</v>
      </c>
      <c r="O3643">
        <v>4.1580000000000004</v>
      </c>
      <c r="P3643" t="s">
        <v>10363</v>
      </c>
    </row>
    <row r="3644" spans="1:16" ht="14.4" x14ac:dyDescent="0.3">
      <c r="A3644">
        <v>90105</v>
      </c>
      <c r="B3644" t="str">
        <f t="shared" si="112"/>
        <v>SEVROLL Universal 18 rączka 2,7 m, jasny brąz</v>
      </c>
      <c r="C3644" s="185">
        <f t="shared" si="113"/>
        <v>72.303970000000007</v>
      </c>
      <c r="D3644" s="407" t="s">
        <v>3488</v>
      </c>
      <c r="E3644" s="407" t="s">
        <v>4490</v>
      </c>
      <c r="F3644" s="407" t="s">
        <v>3488</v>
      </c>
      <c r="G3644" s="407" t="s">
        <v>4491</v>
      </c>
      <c r="H3644" s="460">
        <v>584.78836999999999</v>
      </c>
      <c r="I3644" s="460">
        <v>21.013249999999999</v>
      </c>
      <c r="J3644" s="460">
        <v>72.303970000000007</v>
      </c>
      <c r="K3644" s="460">
        <v>8092.7068799999997</v>
      </c>
      <c r="L3644" s="459" t="s">
        <v>538</v>
      </c>
      <c r="O3644">
        <v>16.456</v>
      </c>
      <c r="P3644" t="s">
        <v>9152</v>
      </c>
    </row>
    <row r="3645" spans="1:16" ht="14.4" x14ac:dyDescent="0.3">
      <c r="A3645">
        <v>494743</v>
      </c>
      <c r="B3645" t="str">
        <f t="shared" si="112"/>
        <v>SEVROLL 06033 profil "U" do płyty laminowanej 18mm 3m grafit</v>
      </c>
      <c r="C3645" s="185">
        <f t="shared" si="113"/>
        <v>27.009599999999999</v>
      </c>
      <c r="D3645" s="407" t="s">
        <v>3495</v>
      </c>
      <c r="E3645" s="407" t="s">
        <v>6343</v>
      </c>
      <c r="F3645" s="407" t="s">
        <v>6344</v>
      </c>
      <c r="G3645" s="407" t="s">
        <v>6345</v>
      </c>
      <c r="H3645" s="460">
        <v>172.25201999999999</v>
      </c>
      <c r="I3645" s="460">
        <v>6.1933800000000003</v>
      </c>
      <c r="J3645" s="460">
        <v>27.009599999999999</v>
      </c>
      <c r="K3645" s="460">
        <v>2383.7428100000002</v>
      </c>
      <c r="L3645" s="459" t="s">
        <v>538</v>
      </c>
      <c r="O3645">
        <v>5.8739999999999997</v>
      </c>
      <c r="P3645" t="s">
        <v>10364</v>
      </c>
    </row>
    <row r="3646" spans="1:16" ht="14.4" x14ac:dyDescent="0.3">
      <c r="A3646">
        <v>494744</v>
      </c>
      <c r="B3646" t="str">
        <f t="shared" si="112"/>
        <v>SEVROLL 06034 kątownik Mini 17x11 mm 1,7 m grafit</v>
      </c>
      <c r="C3646" s="185">
        <f t="shared" si="113"/>
        <v>12.2094</v>
      </c>
      <c r="D3646" s="407" t="s">
        <v>3496</v>
      </c>
      <c r="E3646" s="407" t="s">
        <v>6346</v>
      </c>
      <c r="F3646" s="407" t="s">
        <v>6347</v>
      </c>
      <c r="G3646" s="407" t="s">
        <v>6348</v>
      </c>
      <c r="H3646" s="460">
        <v>88.297250000000005</v>
      </c>
      <c r="I3646" s="460">
        <v>3.17476</v>
      </c>
      <c r="J3646" s="460">
        <v>12.2094</v>
      </c>
      <c r="K3646" s="460">
        <v>1221.9187199999999</v>
      </c>
      <c r="L3646" s="459" t="s">
        <v>538</v>
      </c>
      <c r="O3646">
        <v>2.9260000000000002</v>
      </c>
      <c r="P3646" t="s">
        <v>10365</v>
      </c>
    </row>
    <row r="3647" spans="1:16" ht="14.4" x14ac:dyDescent="0.3">
      <c r="A3647">
        <v>494724</v>
      </c>
      <c r="B3647" t="str">
        <f t="shared" si="112"/>
        <v>SEVROLL 06035 kątownik Mini 17x11 mm 2,35m grafit</v>
      </c>
      <c r="C3647" s="185">
        <f t="shared" si="113"/>
        <v>16.901399999999999</v>
      </c>
      <c r="D3647" s="407" t="s">
        <v>3497</v>
      </c>
      <c r="E3647" s="407" t="s">
        <v>6349</v>
      </c>
      <c r="F3647" s="407" t="s">
        <v>6350</v>
      </c>
      <c r="G3647" s="407" t="s">
        <v>6351</v>
      </c>
      <c r="H3647" s="460">
        <v>122.31341</v>
      </c>
      <c r="I3647" s="460">
        <v>4.3978200000000003</v>
      </c>
      <c r="J3647" s="460">
        <v>16.901399999999999</v>
      </c>
      <c r="K3647" s="460">
        <v>1692.6579200000001</v>
      </c>
      <c r="L3647" s="459" t="s">
        <v>538</v>
      </c>
      <c r="O3647">
        <v>4.0919999999999996</v>
      </c>
      <c r="P3647" t="s">
        <v>10366</v>
      </c>
    </row>
    <row r="3648" spans="1:16" ht="14.4" x14ac:dyDescent="0.3">
      <c r="A3648">
        <v>494728</v>
      </c>
      <c r="B3648" t="str">
        <f t="shared" si="112"/>
        <v>SEVROLL 06036 kątownik Mini 17x11 mm 3 m grafit</v>
      </c>
      <c r="C3648" s="185">
        <f t="shared" si="113"/>
        <v>21.583200000000001</v>
      </c>
      <c r="D3648" s="407" t="s">
        <v>3498</v>
      </c>
      <c r="E3648" s="407" t="s">
        <v>6352</v>
      </c>
      <c r="F3648" s="407" t="s">
        <v>6353</v>
      </c>
      <c r="G3648" s="407" t="s">
        <v>6354</v>
      </c>
      <c r="H3648" s="460">
        <v>156.32956999999999</v>
      </c>
      <c r="I3648" s="460">
        <v>5.6208799999999997</v>
      </c>
      <c r="J3648" s="460">
        <v>21.583200000000001</v>
      </c>
      <c r="K3648" s="460">
        <v>2163.3967400000001</v>
      </c>
      <c r="L3648" s="459" t="s">
        <v>538</v>
      </c>
      <c r="O3648">
        <v>5.1920000000000002</v>
      </c>
      <c r="P3648" t="s">
        <v>10367</v>
      </c>
    </row>
    <row r="3649" spans="1:16" ht="14.4" x14ac:dyDescent="0.3">
      <c r="A3649">
        <v>495473</v>
      </c>
      <c r="B3649" t="str">
        <f t="shared" si="112"/>
        <v>SEVROLL 06037 listwa pozioma dolna 1,7m 10mm grafit</v>
      </c>
      <c r="C3649" s="185">
        <f t="shared" si="113"/>
        <v>70.369799999999998</v>
      </c>
      <c r="D3649" s="407" t="s">
        <v>3499</v>
      </c>
      <c r="E3649" s="407" t="s">
        <v>6355</v>
      </c>
      <c r="F3649" s="407" t="s">
        <v>6356</v>
      </c>
      <c r="G3649" s="407" t="s">
        <v>6357</v>
      </c>
      <c r="H3649" s="460">
        <v>529.78351999999995</v>
      </c>
      <c r="I3649" s="460">
        <v>19.048539999999999</v>
      </c>
      <c r="J3649" s="460">
        <v>70.369799999999998</v>
      </c>
      <c r="K3649" s="460">
        <v>7331.51181</v>
      </c>
      <c r="L3649" s="459" t="s">
        <v>539</v>
      </c>
      <c r="O3649">
        <v>16.456</v>
      </c>
      <c r="P3649" t="s">
        <v>10368</v>
      </c>
    </row>
    <row r="3650" spans="1:16" ht="14.4" x14ac:dyDescent="0.3">
      <c r="A3650">
        <v>495474</v>
      </c>
      <c r="B3650" t="str">
        <f t="shared" si="112"/>
        <v>SEVROLL 06038 listwa pozioma dolna 2,35m 10mm grafit</v>
      </c>
      <c r="C3650" s="185">
        <f t="shared" si="113"/>
        <v>97.287599999999998</v>
      </c>
      <c r="D3650" s="407" t="s">
        <v>3500</v>
      </c>
      <c r="E3650" s="407" t="s">
        <v>6358</v>
      </c>
      <c r="F3650" s="407" t="s">
        <v>6359</v>
      </c>
      <c r="G3650" s="407" t="s">
        <v>6360</v>
      </c>
      <c r="H3650" s="460">
        <v>731.70920999999998</v>
      </c>
      <c r="I3650" s="460">
        <v>26.30885</v>
      </c>
      <c r="J3650" s="460">
        <v>97.287599999999998</v>
      </c>
      <c r="K3650" s="460">
        <v>10125.899240000001</v>
      </c>
      <c r="L3650" s="459" t="s">
        <v>539</v>
      </c>
      <c r="O3650">
        <v>22.77</v>
      </c>
      <c r="P3650" t="s">
        <v>10369</v>
      </c>
    </row>
    <row r="3651" spans="1:16" ht="14.4" x14ac:dyDescent="0.3">
      <c r="A3651">
        <v>495475</v>
      </c>
      <c r="B3651" t="str">
        <f t="shared" si="112"/>
        <v>SEVROLL 05967 listaw pozioma dolna 3m 10mm grafit</v>
      </c>
      <c r="C3651" s="185">
        <f t="shared" si="113"/>
        <v>124.22580000000001</v>
      </c>
      <c r="D3651" s="407" t="s">
        <v>3501</v>
      </c>
      <c r="E3651" s="407" t="s">
        <v>6361</v>
      </c>
      <c r="F3651" s="407" t="s">
        <v>6362</v>
      </c>
      <c r="G3651" s="407" t="s">
        <v>6363</v>
      </c>
      <c r="H3651" s="460">
        <v>936.52988000000005</v>
      </c>
      <c r="I3651" s="460">
        <v>33.67324</v>
      </c>
      <c r="J3651" s="460">
        <v>124.22580000000001</v>
      </c>
      <c r="K3651" s="460">
        <v>12960.35014</v>
      </c>
      <c r="L3651" s="459" t="s">
        <v>539</v>
      </c>
      <c r="O3651">
        <v>29.084</v>
      </c>
      <c r="P3651" t="s">
        <v>10370</v>
      </c>
    </row>
    <row r="3652" spans="1:16" ht="14.4" x14ac:dyDescent="0.3">
      <c r="A3652">
        <v>495477</v>
      </c>
      <c r="B3652" t="str">
        <f t="shared" ref="B3652:B3715" si="114">IF($A$2=1,D3652,IF($A$2=2,F3652,IF($A$2=3,G3652,IF($A$2=4,E3652,IF($A$2&gt;4,P3652,"zadat jazyk")))))</f>
        <v>SEVROLL 06039 listwa pozioma górna 1,7m grafit</v>
      </c>
      <c r="C3652" s="185">
        <f t="shared" ref="C3652:C3715" si="115">IF($A$2=1,H3652,IF($A$2=2,I3652,IF($A$2=3,J3652,IF($A$2=4,K3652,IF($A$2&gt;4,O3652,"zadat jazyk")))))</f>
        <v>59.986199999999997</v>
      </c>
      <c r="D3652" s="407" t="s">
        <v>3502</v>
      </c>
      <c r="E3652" s="407" t="s">
        <v>6364</v>
      </c>
      <c r="F3652" s="407" t="s">
        <v>6365</v>
      </c>
      <c r="G3652" s="407" t="s">
        <v>6366</v>
      </c>
      <c r="H3652" s="460">
        <v>291.67043000000001</v>
      </c>
      <c r="I3652" s="460">
        <v>10.487109999999999</v>
      </c>
      <c r="J3652" s="460">
        <v>59.986199999999997</v>
      </c>
      <c r="K3652" s="460">
        <v>4036.3376800000001</v>
      </c>
      <c r="L3652" s="459" t="s">
        <v>539</v>
      </c>
      <c r="O3652">
        <v>10.208</v>
      </c>
      <c r="P3652" t="s">
        <v>10371</v>
      </c>
    </row>
    <row r="3653" spans="1:16" ht="14.4" x14ac:dyDescent="0.3">
      <c r="A3653">
        <v>495616</v>
      </c>
      <c r="B3653" t="str">
        <f t="shared" si="114"/>
        <v>SEVROLL 06040 listwa pozioma górna 2,35m grafit</v>
      </c>
      <c r="C3653" s="185">
        <f t="shared" si="115"/>
        <v>82.936199999999999</v>
      </c>
      <c r="D3653" s="407" t="s">
        <v>3503</v>
      </c>
      <c r="E3653" s="407" t="s">
        <v>6367</v>
      </c>
      <c r="F3653" s="407" t="s">
        <v>6368</v>
      </c>
      <c r="G3653" s="407" t="s">
        <v>6369</v>
      </c>
      <c r="H3653" s="460">
        <v>403.85138000000001</v>
      </c>
      <c r="I3653" s="460">
        <v>14.52061</v>
      </c>
      <c r="J3653" s="460">
        <v>82.936199999999999</v>
      </c>
      <c r="K3653" s="460">
        <v>5588.7752499999997</v>
      </c>
      <c r="L3653" s="459" t="s">
        <v>539</v>
      </c>
      <c r="O3653">
        <v>14.08</v>
      </c>
      <c r="P3653" t="s">
        <v>10372</v>
      </c>
    </row>
    <row r="3654" spans="1:16" ht="14.4" x14ac:dyDescent="0.3">
      <c r="A3654">
        <v>495617</v>
      </c>
      <c r="B3654" t="str">
        <f t="shared" si="114"/>
        <v>SEVROLL 05966 listwa pozioma górna 3m grafit</v>
      </c>
      <c r="C3654" s="185">
        <f t="shared" si="115"/>
        <v>105.8454</v>
      </c>
      <c r="D3654" s="407" t="s">
        <v>3504</v>
      </c>
      <c r="E3654" s="407" t="s">
        <v>6370</v>
      </c>
      <c r="F3654" s="407" t="s">
        <v>6371</v>
      </c>
      <c r="G3654" s="407" t="s">
        <v>6372</v>
      </c>
      <c r="H3654" s="460">
        <v>515.30856000000006</v>
      </c>
      <c r="I3654" s="460">
        <v>18.528089999999999</v>
      </c>
      <c r="J3654" s="460">
        <v>105.8454</v>
      </c>
      <c r="K3654" s="460">
        <v>7131.1972999999998</v>
      </c>
      <c r="L3654" s="459" t="s">
        <v>539</v>
      </c>
      <c r="O3654">
        <v>17.93</v>
      </c>
      <c r="P3654" t="s">
        <v>10373</v>
      </c>
    </row>
    <row r="3655" spans="1:16" ht="14.4" x14ac:dyDescent="0.3">
      <c r="A3655">
        <v>496358</v>
      </c>
      <c r="B3655" t="str">
        <f t="shared" si="114"/>
        <v>SEVROLL 05971 listwa łącząca H10 3m grafit</v>
      </c>
      <c r="C3655" s="185">
        <f t="shared" si="115"/>
        <v>67.289400000000001</v>
      </c>
      <c r="D3655" s="407" t="s">
        <v>3505</v>
      </c>
      <c r="E3655" s="407" t="s">
        <v>6373</v>
      </c>
      <c r="F3655" s="407" t="s">
        <v>6374</v>
      </c>
      <c r="G3655" s="407" t="s">
        <v>6375</v>
      </c>
      <c r="H3655" s="460">
        <v>440.03877999999997</v>
      </c>
      <c r="I3655" s="460">
        <v>15.82174</v>
      </c>
      <c r="J3655" s="460">
        <v>67.289400000000001</v>
      </c>
      <c r="K3655" s="460">
        <v>6089.5615900000003</v>
      </c>
      <c r="L3655" s="459" t="s">
        <v>539</v>
      </c>
      <c r="O3655">
        <v>16.257999999999999</v>
      </c>
      <c r="P3655" t="s">
        <v>10374</v>
      </c>
    </row>
    <row r="3656" spans="1:16" ht="14.4" x14ac:dyDescent="0.3">
      <c r="A3656">
        <v>494727</v>
      </c>
      <c r="B3656" t="str">
        <f t="shared" si="114"/>
        <v>SEVROLL 06041 listwa łącząca H18 3m grafit</v>
      </c>
      <c r="C3656" s="185">
        <f t="shared" si="115"/>
        <v>62.464799999999997</v>
      </c>
      <c r="D3656" s="407" t="s">
        <v>3506</v>
      </c>
      <c r="E3656" s="407" t="s">
        <v>6376</v>
      </c>
      <c r="F3656" s="407" t="s">
        <v>6377</v>
      </c>
      <c r="G3656" s="407" t="s">
        <v>6378</v>
      </c>
      <c r="H3656" s="460">
        <v>433.52503999999999</v>
      </c>
      <c r="I3656" s="460">
        <v>15.587540000000001</v>
      </c>
      <c r="J3656" s="460">
        <v>62.464799999999997</v>
      </c>
      <c r="K3656" s="460">
        <v>5999.42029</v>
      </c>
      <c r="L3656" s="459" t="s">
        <v>539</v>
      </c>
      <c r="O3656">
        <v>14.85</v>
      </c>
      <c r="P3656" t="s">
        <v>10375</v>
      </c>
    </row>
    <row r="3657" spans="1:16" ht="14.4" x14ac:dyDescent="0.3">
      <c r="A3657">
        <v>494667</v>
      </c>
      <c r="B3657" t="str">
        <f t="shared" si="114"/>
        <v>SEVROLL 06053 Alfa II rączka 18mm 2,7m grafit</v>
      </c>
      <c r="C3657" s="185">
        <f t="shared" si="115"/>
        <v>66.463200000000001</v>
      </c>
      <c r="D3657" s="407" t="s">
        <v>3507</v>
      </c>
      <c r="E3657" s="407" t="s">
        <v>6379</v>
      </c>
      <c r="F3657" s="407" t="s">
        <v>3507</v>
      </c>
      <c r="G3657" s="407" t="s">
        <v>6380</v>
      </c>
      <c r="H3657" s="460">
        <v>457.40872000000002</v>
      </c>
      <c r="I3657" s="460">
        <v>16.446280000000002</v>
      </c>
      <c r="J3657" s="460">
        <v>66.463200000000001</v>
      </c>
      <c r="K3657" s="460">
        <v>6329.9391800000003</v>
      </c>
      <c r="L3657" s="459" t="s">
        <v>538</v>
      </c>
      <c r="O3657">
        <v>15.906000000000001</v>
      </c>
      <c r="P3657" t="s">
        <v>10376</v>
      </c>
    </row>
    <row r="3658" spans="1:16" ht="14.4" x14ac:dyDescent="0.3">
      <c r="A3658">
        <v>495587</v>
      </c>
      <c r="B3658" t="str">
        <f t="shared" si="114"/>
        <v>SEVROLL 06019 Fox II rączka 2,7m grafit</v>
      </c>
      <c r="C3658" s="185">
        <f t="shared" si="115"/>
        <v>80.416799999999995</v>
      </c>
      <c r="D3658" s="407" t="s">
        <v>3508</v>
      </c>
      <c r="E3658" s="407" t="s">
        <v>6381</v>
      </c>
      <c r="F3658" s="407" t="s">
        <v>6382</v>
      </c>
      <c r="G3658" s="407" t="s">
        <v>6383</v>
      </c>
      <c r="H3658" s="460">
        <v>600.71082000000001</v>
      </c>
      <c r="I3658" s="460">
        <v>21.598759999999999</v>
      </c>
      <c r="J3658" s="460">
        <v>80.416799999999995</v>
      </c>
      <c r="K3658" s="460">
        <v>8313.0529399999996</v>
      </c>
      <c r="L3658" s="459" t="s">
        <v>539</v>
      </c>
      <c r="O3658">
        <v>18.260000000000002</v>
      </c>
      <c r="P3658" t="s">
        <v>10377</v>
      </c>
    </row>
    <row r="3659" spans="1:16" ht="14.4" x14ac:dyDescent="0.3">
      <c r="A3659">
        <v>494741</v>
      </c>
      <c r="B3659" t="str">
        <f t="shared" si="114"/>
        <v>SEVROLL 06042 Elegant II tor dolny 1,7 m grafit</v>
      </c>
      <c r="C3659" s="185">
        <f t="shared" si="115"/>
        <v>40.698</v>
      </c>
      <c r="D3659" s="407" t="s">
        <v>3509</v>
      </c>
      <c r="E3659" s="407" t="s">
        <v>6384</v>
      </c>
      <c r="F3659" s="407" t="s">
        <v>6385</v>
      </c>
      <c r="G3659" s="407" t="s">
        <v>6386</v>
      </c>
      <c r="H3659" s="460">
        <v>301.80291999999997</v>
      </c>
      <c r="I3659" s="460">
        <v>10.851419999999999</v>
      </c>
      <c r="J3659" s="460">
        <v>40.698</v>
      </c>
      <c r="K3659" s="460">
        <v>4176.5579900000002</v>
      </c>
      <c r="L3659" s="459" t="s">
        <v>538</v>
      </c>
      <c r="O3659">
        <v>9.6359999999999992</v>
      </c>
      <c r="P3659" t="s">
        <v>10378</v>
      </c>
    </row>
    <row r="3660" spans="1:16" ht="14.4" x14ac:dyDescent="0.3">
      <c r="A3660">
        <v>494692</v>
      </c>
      <c r="B3660" t="str">
        <f t="shared" si="114"/>
        <v>SEVROLL 06043 Elegant II tor dolny 2,35 m grafit</v>
      </c>
      <c r="C3660" s="185">
        <f t="shared" si="115"/>
        <v>56.242800000000003</v>
      </c>
      <c r="D3660" s="407" t="s">
        <v>3510</v>
      </c>
      <c r="E3660" s="407" t="s">
        <v>6387</v>
      </c>
      <c r="F3660" s="407" t="s">
        <v>6388</v>
      </c>
      <c r="G3660" s="407" t="s">
        <v>6389</v>
      </c>
      <c r="H3660" s="460">
        <v>414.70758000000001</v>
      </c>
      <c r="I3660" s="460">
        <v>14.91095</v>
      </c>
      <c r="J3660" s="460">
        <v>56.242800000000003</v>
      </c>
      <c r="K3660" s="460">
        <v>5739.01116</v>
      </c>
      <c r="L3660" s="459" t="s">
        <v>538</v>
      </c>
      <c r="O3660">
        <v>13.375999999999999</v>
      </c>
      <c r="P3660" t="s">
        <v>10379</v>
      </c>
    </row>
    <row r="3661" spans="1:16" ht="14.4" x14ac:dyDescent="0.3">
      <c r="A3661">
        <v>494739</v>
      </c>
      <c r="B3661" t="str">
        <f t="shared" si="114"/>
        <v>SEVROLL 06020 Elegant II tor dolny 3 m grafit</v>
      </c>
      <c r="C3661" s="185">
        <f t="shared" si="115"/>
        <v>71.808000000000007</v>
      </c>
      <c r="D3661" s="407" t="s">
        <v>3511</v>
      </c>
      <c r="E3661" s="407" t="s">
        <v>6390</v>
      </c>
      <c r="F3661" s="407" t="s">
        <v>6391</v>
      </c>
      <c r="G3661" s="407" t="s">
        <v>6392</v>
      </c>
      <c r="H3661" s="460">
        <v>526.88854000000003</v>
      </c>
      <c r="I3661" s="460">
        <v>18.94445</v>
      </c>
      <c r="J3661" s="460">
        <v>71.808000000000007</v>
      </c>
      <c r="K3661" s="460">
        <v>7291.4487600000002</v>
      </c>
      <c r="L3661" s="459" t="s">
        <v>538</v>
      </c>
      <c r="O3661">
        <v>16.984000000000002</v>
      </c>
      <c r="P3661" t="s">
        <v>10380</v>
      </c>
    </row>
    <row r="3662" spans="1:16" ht="14.4" x14ac:dyDescent="0.3">
      <c r="A3662">
        <v>494672</v>
      </c>
      <c r="B3662" t="str">
        <f t="shared" si="114"/>
        <v>SEVROLL 06021 Elegant II tor dolny 4,05 m grafit</v>
      </c>
      <c r="C3662" s="185">
        <f t="shared" si="115"/>
        <v>96.930599999999998</v>
      </c>
      <c r="D3662" s="407" t="s">
        <v>3512</v>
      </c>
      <c r="E3662" s="407" t="s">
        <v>6393</v>
      </c>
      <c r="F3662" s="407" t="s">
        <v>6394</v>
      </c>
      <c r="G3662" s="407" t="s">
        <v>6395</v>
      </c>
      <c r="H3662" s="460">
        <v>713.61551999999995</v>
      </c>
      <c r="I3662" s="460">
        <v>25.658280000000001</v>
      </c>
      <c r="J3662" s="460">
        <v>96.930599999999998</v>
      </c>
      <c r="K3662" s="460">
        <v>9875.5060699999995</v>
      </c>
      <c r="L3662" s="459" t="s">
        <v>538</v>
      </c>
      <c r="O3662">
        <v>23.012</v>
      </c>
      <c r="P3662" t="s">
        <v>10381</v>
      </c>
    </row>
    <row r="3663" spans="1:16" ht="14.4" x14ac:dyDescent="0.3">
      <c r="A3663">
        <v>496355</v>
      </c>
      <c r="B3663" t="str">
        <f t="shared" si="114"/>
        <v>SEVROLL 06044 Elegant II tor dolny 6m grafit</v>
      </c>
      <c r="C3663" s="185">
        <f t="shared" si="115"/>
        <v>0</v>
      </c>
      <c r="D3663" s="407" t="s">
        <v>3513</v>
      </c>
      <c r="E3663" s="407" t="s">
        <v>6396</v>
      </c>
      <c r="F3663" s="407" t="s">
        <v>6397</v>
      </c>
      <c r="G3663" s="407" t="s">
        <v>6398</v>
      </c>
      <c r="H3663" s="460">
        <v>1054.50082</v>
      </c>
      <c r="I3663" s="460">
        <v>37.914929999999998</v>
      </c>
      <c r="J3663" s="460">
        <v>0</v>
      </c>
      <c r="K3663" s="460">
        <v>14592.91346</v>
      </c>
      <c r="L3663" s="459" t="s">
        <v>539</v>
      </c>
      <c r="O3663">
        <v>33.968000000000004</v>
      </c>
      <c r="P3663" t="s">
        <v>10382</v>
      </c>
    </row>
    <row r="3664" spans="1:16" ht="14.4" x14ac:dyDescent="0.3">
      <c r="A3664">
        <v>494742</v>
      </c>
      <c r="B3664" t="str">
        <f t="shared" si="114"/>
        <v>SEVROLL 06045 Gemini tor górny 1,7 m grafit</v>
      </c>
      <c r="C3664" s="185">
        <f t="shared" si="115"/>
        <v>74.653800000000004</v>
      </c>
      <c r="D3664" s="407" t="s">
        <v>3514</v>
      </c>
      <c r="E3664" s="407" t="s">
        <v>6399</v>
      </c>
      <c r="F3664" s="407" t="s">
        <v>6400</v>
      </c>
      <c r="G3664" s="407" t="s">
        <v>6401</v>
      </c>
      <c r="H3664" s="460">
        <v>511.68982999999997</v>
      </c>
      <c r="I3664" s="460">
        <v>18.39798</v>
      </c>
      <c r="J3664" s="460">
        <v>74.653800000000004</v>
      </c>
      <c r="K3664" s="460">
        <v>7081.1186600000001</v>
      </c>
      <c r="L3664" s="459" t="s">
        <v>538</v>
      </c>
      <c r="O3664">
        <v>17.533999999999999</v>
      </c>
      <c r="P3664" t="s">
        <v>10383</v>
      </c>
    </row>
    <row r="3665" spans="1:16" ht="14.4" x14ac:dyDescent="0.3">
      <c r="A3665">
        <v>494669</v>
      </c>
      <c r="B3665" t="str">
        <f t="shared" si="114"/>
        <v>SEVROLL 06046 Gemini tor górny 2,35 m grafit</v>
      </c>
      <c r="C3665" s="185">
        <f t="shared" si="115"/>
        <v>103.20359999999999</v>
      </c>
      <c r="D3665" s="407" t="s">
        <v>3515</v>
      </c>
      <c r="E3665" s="407" t="s">
        <v>6402</v>
      </c>
      <c r="F3665" s="407" t="s">
        <v>6403</v>
      </c>
      <c r="G3665" s="407" t="s">
        <v>6404</v>
      </c>
      <c r="H3665" s="460">
        <v>707.82552999999996</v>
      </c>
      <c r="I3665" s="460">
        <v>25.450099999999999</v>
      </c>
      <c r="J3665" s="460">
        <v>103.20359999999999</v>
      </c>
      <c r="K3665" s="460">
        <v>9795.3803599999992</v>
      </c>
      <c r="L3665" s="459" t="s">
        <v>538</v>
      </c>
      <c r="O3665">
        <v>24.244</v>
      </c>
      <c r="P3665" t="s">
        <v>10384</v>
      </c>
    </row>
    <row r="3666" spans="1:16" ht="14.4" x14ac:dyDescent="0.3">
      <c r="A3666">
        <v>494730</v>
      </c>
      <c r="B3666" t="str">
        <f t="shared" si="114"/>
        <v>SEVROLL 06022 Gemini tor górny 3 m grafit</v>
      </c>
      <c r="C3666" s="185">
        <f t="shared" si="115"/>
        <v>131.79419999999999</v>
      </c>
      <c r="D3666" s="407" t="s">
        <v>3516</v>
      </c>
      <c r="E3666" s="407" t="s">
        <v>6405</v>
      </c>
      <c r="F3666" s="407" t="s">
        <v>6406</v>
      </c>
      <c r="G3666" s="407" t="s">
        <v>6407</v>
      </c>
      <c r="H3666" s="460">
        <v>903.23748000000001</v>
      </c>
      <c r="I3666" s="460">
        <v>32.476199999999999</v>
      </c>
      <c r="J3666" s="460">
        <v>131.79419999999999</v>
      </c>
      <c r="K3666" s="460">
        <v>12499.626490000001</v>
      </c>
      <c r="L3666" s="459" t="s">
        <v>538</v>
      </c>
      <c r="O3666">
        <v>30.91</v>
      </c>
      <c r="P3666" t="s">
        <v>10385</v>
      </c>
    </row>
    <row r="3667" spans="1:16" ht="14.4" x14ac:dyDescent="0.3">
      <c r="A3667">
        <v>494670</v>
      </c>
      <c r="B3667" t="str">
        <f t="shared" si="114"/>
        <v>SEVROLL 06023 Gemini tor górny 4,05 m grafit</v>
      </c>
      <c r="C3667" s="185">
        <f t="shared" si="115"/>
        <v>177.9186</v>
      </c>
      <c r="D3667" s="407" t="s">
        <v>3517</v>
      </c>
      <c r="E3667" s="407" t="s">
        <v>6408</v>
      </c>
      <c r="F3667" s="407" t="s">
        <v>6409</v>
      </c>
      <c r="G3667" s="407" t="s">
        <v>6410</v>
      </c>
      <c r="H3667" s="460">
        <v>1219.5153600000001</v>
      </c>
      <c r="I3667" s="460">
        <v>43.842869999999998</v>
      </c>
      <c r="J3667" s="460">
        <v>177.9186</v>
      </c>
      <c r="K3667" s="460">
        <v>16876.499019999999</v>
      </c>
      <c r="L3667" s="459" t="s">
        <v>538</v>
      </c>
      <c r="O3667">
        <v>41.712000000000003</v>
      </c>
      <c r="P3667" t="s">
        <v>10386</v>
      </c>
    </row>
    <row r="3668" spans="1:16" ht="14.4" x14ac:dyDescent="0.3">
      <c r="A3668">
        <v>495629</v>
      </c>
      <c r="B3668" t="str">
        <f t="shared" si="114"/>
        <v>SEVROLL 06047 Gemini tor górny 6m grafit</v>
      </c>
      <c r="C3668" s="185">
        <f t="shared" si="115"/>
        <v>0</v>
      </c>
      <c r="D3668" s="407" t="s">
        <v>3518</v>
      </c>
      <c r="E3668" s="407" t="s">
        <v>6411</v>
      </c>
      <c r="F3668" s="407" t="s">
        <v>6412</v>
      </c>
      <c r="G3668" s="407" t="s">
        <v>6413</v>
      </c>
      <c r="H3668" s="460">
        <v>1806.47497</v>
      </c>
      <c r="I3668" s="460">
        <v>64.95241</v>
      </c>
      <c r="J3668" s="460">
        <v>0</v>
      </c>
      <c r="K3668" s="460">
        <v>24999.252980000001</v>
      </c>
      <c r="L3668" s="459" t="s">
        <v>539</v>
      </c>
      <c r="O3668">
        <v>61.841999999999999</v>
      </c>
      <c r="P3668" t="s">
        <v>10387</v>
      </c>
    </row>
    <row r="3669" spans="1:16" ht="14.4" x14ac:dyDescent="0.3">
      <c r="A3669">
        <v>496356</v>
      </c>
      <c r="B3669" t="str">
        <f t="shared" si="114"/>
        <v>SEVROLL 06048 zaślepka do toru Elegant II 1,7m grafit</v>
      </c>
      <c r="C3669" s="185">
        <f t="shared" si="115"/>
        <v>12.199199999999999</v>
      </c>
      <c r="D3669" s="407" t="s">
        <v>3519</v>
      </c>
      <c r="E3669" s="407" t="s">
        <v>6414</v>
      </c>
      <c r="F3669" s="407" t="s">
        <v>3519</v>
      </c>
      <c r="G3669" s="407" t="s">
        <v>6415</v>
      </c>
      <c r="H3669" s="460">
        <v>92.639750000000006</v>
      </c>
      <c r="I3669" s="460">
        <v>3.3308900000000001</v>
      </c>
      <c r="J3669" s="460">
        <v>12.199199999999999</v>
      </c>
      <c r="K3669" s="460">
        <v>1282.0129099999999</v>
      </c>
      <c r="L3669" s="459" t="s">
        <v>538</v>
      </c>
      <c r="O3669">
        <v>2.948</v>
      </c>
      <c r="P3669" t="s">
        <v>10388</v>
      </c>
    </row>
    <row r="3670" spans="1:16" ht="14.4" x14ac:dyDescent="0.3">
      <c r="A3670">
        <v>494693</v>
      </c>
      <c r="B3670" t="str">
        <f t="shared" si="114"/>
        <v>SEVROLL 06049 zaślepka do toru Elegant II 2,35m grafit</v>
      </c>
      <c r="C3670" s="185">
        <f t="shared" si="115"/>
        <v>16.870799999999999</v>
      </c>
      <c r="D3670" s="407" t="s">
        <v>3520</v>
      </c>
      <c r="E3670" s="407" t="s">
        <v>6416</v>
      </c>
      <c r="F3670" s="407" t="s">
        <v>3520</v>
      </c>
      <c r="G3670" s="407" t="s">
        <v>6417</v>
      </c>
      <c r="H3670" s="460">
        <v>128.10339999999999</v>
      </c>
      <c r="I3670" s="460">
        <v>4.6059999999999999</v>
      </c>
      <c r="J3670" s="460">
        <v>16.870799999999999</v>
      </c>
      <c r="K3670" s="460">
        <v>1772.7836600000001</v>
      </c>
      <c r="L3670" s="459" t="s">
        <v>538</v>
      </c>
      <c r="O3670">
        <v>4.07</v>
      </c>
      <c r="P3670" t="s">
        <v>10389</v>
      </c>
    </row>
    <row r="3671" spans="1:16" ht="14.4" x14ac:dyDescent="0.3">
      <c r="A3671">
        <v>494740</v>
      </c>
      <c r="B3671" t="str">
        <f t="shared" si="114"/>
        <v>SEVROLL 06050 maskownica do toru Elegant II 3m grafit</v>
      </c>
      <c r="C3671" s="185">
        <f t="shared" si="115"/>
        <v>21.542400000000001</v>
      </c>
      <c r="D3671" s="407" t="s">
        <v>3521</v>
      </c>
      <c r="E3671" s="407" t="s">
        <v>6418</v>
      </c>
      <c r="F3671" s="407" t="s">
        <v>3521</v>
      </c>
      <c r="G3671" s="407" t="s">
        <v>6419</v>
      </c>
      <c r="H3671" s="460">
        <v>163.56704999999999</v>
      </c>
      <c r="I3671" s="460">
        <v>5.8811099999999996</v>
      </c>
      <c r="J3671" s="460">
        <v>21.542400000000001</v>
      </c>
      <c r="K3671" s="460">
        <v>2263.5540099999998</v>
      </c>
      <c r="L3671" s="459" t="s">
        <v>538</v>
      </c>
      <c r="O3671">
        <v>5.1920000000000002</v>
      </c>
      <c r="P3671" t="s">
        <v>10390</v>
      </c>
    </row>
    <row r="3672" spans="1:16" ht="14.4" x14ac:dyDescent="0.3">
      <c r="A3672">
        <v>494703</v>
      </c>
      <c r="B3672" t="str">
        <f t="shared" si="114"/>
        <v>SEVROLL 06051 zaślepka do toru Elegant II 4,05m grafit</v>
      </c>
      <c r="C3672" s="185">
        <f t="shared" si="115"/>
        <v>29.07</v>
      </c>
      <c r="D3672" s="407" t="s">
        <v>3522</v>
      </c>
      <c r="E3672" s="407" t="s">
        <v>6420</v>
      </c>
      <c r="F3672" s="407" t="s">
        <v>3522</v>
      </c>
      <c r="G3672" s="407" t="s">
        <v>6421</v>
      </c>
      <c r="H3672" s="460">
        <v>220.74315000000001</v>
      </c>
      <c r="I3672" s="460">
        <v>7.93689</v>
      </c>
      <c r="J3672" s="460">
        <v>29.07</v>
      </c>
      <c r="K3672" s="460">
        <v>3054.79655</v>
      </c>
      <c r="L3672" s="459" t="s">
        <v>538</v>
      </c>
      <c r="O3672">
        <v>7.0179999999999998</v>
      </c>
      <c r="P3672" t="s">
        <v>10391</v>
      </c>
    </row>
    <row r="3673" spans="1:16" ht="14.4" x14ac:dyDescent="0.3">
      <c r="A3673">
        <v>496357</v>
      </c>
      <c r="B3673" t="str">
        <f t="shared" si="114"/>
        <v>SEVROLL 06052 maskownica do toru Elegant II 6m grafit</v>
      </c>
      <c r="C3673" s="185">
        <f t="shared" si="115"/>
        <v>0</v>
      </c>
      <c r="D3673" s="407" t="s">
        <v>3523</v>
      </c>
      <c r="E3673" s="407" t="s">
        <v>6422</v>
      </c>
      <c r="F3673" s="407" t="s">
        <v>3523</v>
      </c>
      <c r="G3673" s="407" t="s">
        <v>6423</v>
      </c>
      <c r="H3673" s="460">
        <v>327.13407999999998</v>
      </c>
      <c r="I3673" s="460">
        <v>11.762219999999999</v>
      </c>
      <c r="J3673" s="460">
        <v>0</v>
      </c>
      <c r="K3673" s="460">
        <v>4527.1084300000002</v>
      </c>
      <c r="L3673" s="459" t="s">
        <v>539</v>
      </c>
      <c r="O3673">
        <v>10.384</v>
      </c>
      <c r="P3673" t="s">
        <v>10392</v>
      </c>
    </row>
    <row r="3674" spans="1:16" ht="14.4" x14ac:dyDescent="0.3">
      <c r="A3674">
        <v>489289</v>
      </c>
      <c r="B3674" t="str">
        <f t="shared" si="114"/>
        <v>SEVROLL 05786 Porto GM 18 rączka 2,7m j.brąz</v>
      </c>
      <c r="C3674" s="185">
        <f t="shared" si="115"/>
        <v>92.169669999999996</v>
      </c>
      <c r="D3674" s="407" t="s">
        <v>6273</v>
      </c>
      <c r="E3674" s="407" t="s">
        <v>6274</v>
      </c>
      <c r="F3674" s="407" t="s">
        <v>6273</v>
      </c>
      <c r="G3674" s="407" t="s">
        <v>6275</v>
      </c>
      <c r="H3674" s="460">
        <v>745.46042</v>
      </c>
      <c r="I3674" s="460">
        <v>26.803280000000001</v>
      </c>
      <c r="J3674" s="460">
        <v>92.169669999999996</v>
      </c>
      <c r="K3674" s="460">
        <v>10316.19822</v>
      </c>
      <c r="L3674" s="459" t="s">
        <v>539</v>
      </c>
      <c r="O3674">
        <v>24.376000000000001</v>
      </c>
      <c r="P3674" t="s">
        <v>10342</v>
      </c>
    </row>
    <row r="3675" spans="1:16" ht="14.4" x14ac:dyDescent="0.3">
      <c r="A3675">
        <v>489288</v>
      </c>
      <c r="B3675" t="str">
        <f t="shared" si="114"/>
        <v>SEVROLL 05787 Porto GM 18 rączka 2,7m j.brąz</v>
      </c>
      <c r="C3675" s="185">
        <f t="shared" si="115"/>
        <v>102.37097</v>
      </c>
      <c r="D3675" s="407" t="s">
        <v>6269</v>
      </c>
      <c r="E3675" s="407" t="s">
        <v>6270</v>
      </c>
      <c r="F3675" s="407" t="s">
        <v>6271</v>
      </c>
      <c r="G3675" s="407" t="s">
        <v>6272</v>
      </c>
      <c r="H3675" s="460">
        <v>827.96767999999997</v>
      </c>
      <c r="I3675" s="460">
        <v>29.769850000000002</v>
      </c>
      <c r="J3675" s="460">
        <v>102.37097</v>
      </c>
      <c r="K3675" s="460">
        <v>11457.991169999999</v>
      </c>
      <c r="L3675" s="459" t="s">
        <v>539</v>
      </c>
      <c r="O3675">
        <v>27.082000000000001</v>
      </c>
      <c r="P3675" t="s">
        <v>10341</v>
      </c>
    </row>
    <row r="3676" spans="1:16" ht="14.4" x14ac:dyDescent="0.3">
      <c r="A3676">
        <v>489286</v>
      </c>
      <c r="B3676" t="str">
        <f t="shared" si="114"/>
        <v>SEVROLL 05784 Porto GM 18 rączka 2,7m srebrny</v>
      </c>
      <c r="C3676" s="185">
        <f t="shared" si="115"/>
        <v>78.988799999999998</v>
      </c>
      <c r="D3676" s="407" t="s">
        <v>6261</v>
      </c>
      <c r="E3676" s="407" t="s">
        <v>6262</v>
      </c>
      <c r="F3676" s="407" t="s">
        <v>6263</v>
      </c>
      <c r="G3676" s="407" t="s">
        <v>6264</v>
      </c>
      <c r="H3676" s="460">
        <v>596.36832000000004</v>
      </c>
      <c r="I3676" s="460">
        <v>21.442620000000002</v>
      </c>
      <c r="J3676" s="460">
        <v>78.988799999999998</v>
      </c>
      <c r="K3676" s="460">
        <v>8252.9587200000005</v>
      </c>
      <c r="L3676" s="459" t="s">
        <v>539</v>
      </c>
      <c r="O3676">
        <v>20.152000000000001</v>
      </c>
      <c r="P3676" t="s">
        <v>10339</v>
      </c>
    </row>
    <row r="3677" spans="1:16" ht="14.4" x14ac:dyDescent="0.3">
      <c r="A3677">
        <v>489287</v>
      </c>
      <c r="B3677" t="str">
        <f t="shared" si="114"/>
        <v>SEVROLL 05785 Porto GM 18 rączka 3m srebrny</v>
      </c>
      <c r="C3677" s="185">
        <f t="shared" si="115"/>
        <v>87.771000000000001</v>
      </c>
      <c r="D3677" s="407" t="s">
        <v>6265</v>
      </c>
      <c r="E3677" s="407" t="s">
        <v>6266</v>
      </c>
      <c r="F3677" s="407" t="s">
        <v>6267</v>
      </c>
      <c r="G3677" s="407" t="s">
        <v>6268</v>
      </c>
      <c r="H3677" s="460">
        <v>662.22942</v>
      </c>
      <c r="I3677" s="460">
        <v>23.810680000000001</v>
      </c>
      <c r="J3677" s="460">
        <v>87.771000000000001</v>
      </c>
      <c r="K3677" s="460">
        <v>9164.3896700000005</v>
      </c>
      <c r="L3677" s="459" t="s">
        <v>538</v>
      </c>
      <c r="O3677">
        <v>22.373999999999999</v>
      </c>
      <c r="P3677" t="s">
        <v>10340</v>
      </c>
    </row>
    <row r="3678" spans="1:16" ht="14.4" x14ac:dyDescent="0.3">
      <c r="A3678">
        <v>489291</v>
      </c>
      <c r="B3678" t="str">
        <f t="shared" si="114"/>
        <v>SEVROLL 05791 Prosper GM 18 rączka 2,7 m j.brąz</v>
      </c>
      <c r="C3678" s="185">
        <f t="shared" si="115"/>
        <v>97.359819999999999</v>
      </c>
      <c r="D3678" s="407" t="s">
        <v>6280</v>
      </c>
      <c r="E3678" s="407" t="s">
        <v>6281</v>
      </c>
      <c r="F3678" s="407" t="s">
        <v>6282</v>
      </c>
      <c r="G3678" s="407" t="s">
        <v>6283</v>
      </c>
      <c r="H3678" s="460">
        <v>787.43781000000001</v>
      </c>
      <c r="I3678" s="460">
        <v>28.31259</v>
      </c>
      <c r="J3678" s="460">
        <v>97.359819999999999</v>
      </c>
      <c r="K3678" s="460">
        <v>10897.11025</v>
      </c>
      <c r="L3678" s="459" t="s">
        <v>539</v>
      </c>
      <c r="O3678">
        <v>24.376000000000001</v>
      </c>
      <c r="P3678" t="s">
        <v>10344</v>
      </c>
    </row>
    <row r="3679" spans="1:16" ht="14.4" x14ac:dyDescent="0.3">
      <c r="A3679">
        <v>489290</v>
      </c>
      <c r="B3679" t="str">
        <f t="shared" si="114"/>
        <v>SEVROLL 05790 Prosper GM 18 rączka 2,7m srebrny</v>
      </c>
      <c r="C3679" s="185">
        <f t="shared" si="115"/>
        <v>78.988799999999998</v>
      </c>
      <c r="D3679" s="407" t="s">
        <v>6276</v>
      </c>
      <c r="E3679" s="407" t="s">
        <v>6277</v>
      </c>
      <c r="F3679" s="407" t="s">
        <v>6278</v>
      </c>
      <c r="G3679" s="407" t="s">
        <v>6279</v>
      </c>
      <c r="H3679" s="460">
        <v>629.66074000000003</v>
      </c>
      <c r="I3679" s="460">
        <v>22.639659999999999</v>
      </c>
      <c r="J3679" s="460">
        <v>78.988799999999998</v>
      </c>
      <c r="K3679" s="460">
        <v>8713.6819799999994</v>
      </c>
      <c r="L3679" s="459" t="s">
        <v>538</v>
      </c>
      <c r="O3679">
        <v>20.152000000000001</v>
      </c>
      <c r="P3679" t="s">
        <v>10343</v>
      </c>
    </row>
    <row r="3680" spans="1:16" ht="14.4" x14ac:dyDescent="0.3">
      <c r="A3680">
        <v>489293</v>
      </c>
      <c r="B3680" t="str">
        <f t="shared" si="114"/>
        <v>SEVROLL 05789 Arte GM 18 rączka 2,7m j.brąz</v>
      </c>
      <c r="C3680" s="185">
        <f t="shared" si="115"/>
        <v>97.359819999999999</v>
      </c>
      <c r="D3680" s="407" t="s">
        <v>6288</v>
      </c>
      <c r="E3680" s="407" t="s">
        <v>6289</v>
      </c>
      <c r="F3680" s="407" t="s">
        <v>6290</v>
      </c>
      <c r="G3680" s="407" t="s">
        <v>6291</v>
      </c>
      <c r="H3680" s="460">
        <v>787.43781000000001</v>
      </c>
      <c r="I3680" s="460">
        <v>28.31259</v>
      </c>
      <c r="J3680" s="460">
        <v>97.359819999999999</v>
      </c>
      <c r="K3680" s="460">
        <v>10897.11025</v>
      </c>
      <c r="L3680" s="459" t="s">
        <v>539</v>
      </c>
      <c r="O3680">
        <v>24.376000000000001</v>
      </c>
      <c r="P3680" t="s">
        <v>10346</v>
      </c>
    </row>
    <row r="3681" spans="1:16" ht="14.4" x14ac:dyDescent="0.3">
      <c r="A3681">
        <v>489294</v>
      </c>
      <c r="B3681" t="str">
        <f t="shared" si="114"/>
        <v>SEVROLL 05910 Arte GM 18 rączka 2,7m czarny mat</v>
      </c>
      <c r="C3681" s="185">
        <f t="shared" si="115"/>
        <v>102.68340000000001</v>
      </c>
      <c r="D3681" s="407" t="s">
        <v>6292</v>
      </c>
      <c r="E3681" s="407" t="s">
        <v>6293</v>
      </c>
      <c r="F3681" s="407" t="s">
        <v>6294</v>
      </c>
      <c r="G3681" s="407" t="s">
        <v>6295</v>
      </c>
      <c r="H3681" s="460">
        <v>816.38773000000003</v>
      </c>
      <c r="I3681" s="460">
        <v>29.353490000000001</v>
      </c>
      <c r="J3681" s="460">
        <v>102.68340000000001</v>
      </c>
      <c r="K3681" s="460">
        <v>11297.73933</v>
      </c>
      <c r="L3681" s="459" t="s">
        <v>539</v>
      </c>
      <c r="O3681">
        <v>24.815999999999999</v>
      </c>
      <c r="P3681" t="s">
        <v>10347</v>
      </c>
    </row>
    <row r="3682" spans="1:16" ht="14.4" x14ac:dyDescent="0.3">
      <c r="A3682">
        <v>489292</v>
      </c>
      <c r="B3682" t="str">
        <f t="shared" si="114"/>
        <v>SEVROLL 05788 Arte GM 18 rączka 2,7m srebrny</v>
      </c>
      <c r="C3682" s="185">
        <f t="shared" si="115"/>
        <v>78.988799999999998</v>
      </c>
      <c r="D3682" s="407" t="s">
        <v>6284</v>
      </c>
      <c r="E3682" s="407" t="s">
        <v>6285</v>
      </c>
      <c r="F3682" s="407" t="s">
        <v>6286</v>
      </c>
      <c r="G3682" s="407" t="s">
        <v>6287</v>
      </c>
      <c r="H3682" s="460">
        <v>629.66074000000003</v>
      </c>
      <c r="I3682" s="460">
        <v>22.639659999999999</v>
      </c>
      <c r="J3682" s="460">
        <v>78.988799999999998</v>
      </c>
      <c r="K3682" s="460">
        <v>8713.6819799999994</v>
      </c>
      <c r="L3682" s="459" t="s">
        <v>538</v>
      </c>
      <c r="O3682">
        <v>20.152000000000001</v>
      </c>
      <c r="P3682" t="s">
        <v>10345</v>
      </c>
    </row>
    <row r="3683" spans="1:16" ht="14.4" x14ac:dyDescent="0.3">
      <c r="A3683">
        <v>496946</v>
      </c>
      <c r="B3683" t="str">
        <f t="shared" si="114"/>
        <v>SEVROLL 05801 GM 18 listwa pozioma dolna 1,7m 18mm srebrny</v>
      </c>
      <c r="C3683" s="185">
        <f t="shared" si="115"/>
        <v>87.963880000000003</v>
      </c>
      <c r="D3683" s="407" t="s">
        <v>3525</v>
      </c>
      <c r="E3683" s="407" t="s">
        <v>6424</v>
      </c>
      <c r="F3683" s="407" t="s">
        <v>6425</v>
      </c>
      <c r="G3683" s="407" t="s">
        <v>6426</v>
      </c>
      <c r="H3683" s="460">
        <v>711.44425999999999</v>
      </c>
      <c r="I3683" s="460">
        <v>25.580220000000001</v>
      </c>
      <c r="J3683" s="460">
        <v>87.963880000000003</v>
      </c>
      <c r="K3683" s="460">
        <v>9845.4589899999992</v>
      </c>
      <c r="L3683" s="459" t="s">
        <v>539</v>
      </c>
      <c r="O3683">
        <v>21.626000000000001</v>
      </c>
      <c r="P3683" t="s">
        <v>10393</v>
      </c>
    </row>
    <row r="3684" spans="1:16" ht="14.4" x14ac:dyDescent="0.3">
      <c r="A3684">
        <v>496947</v>
      </c>
      <c r="B3684" t="str">
        <f t="shared" si="114"/>
        <v>SEVROLL 05913 GM 18 listwa pozioma dolna 2,35m, j.brąz</v>
      </c>
      <c r="C3684" s="185">
        <f t="shared" si="115"/>
        <v>121.52079000000001</v>
      </c>
      <c r="D3684" s="407" t="s">
        <v>6427</v>
      </c>
      <c r="E3684" s="407" t="s">
        <v>6428</v>
      </c>
      <c r="F3684" s="407" t="s">
        <v>6429</v>
      </c>
      <c r="G3684" s="407" t="s">
        <v>6430</v>
      </c>
      <c r="H3684" s="460">
        <v>982.84975999999995</v>
      </c>
      <c r="I3684" s="460">
        <v>35.33869</v>
      </c>
      <c r="J3684" s="460">
        <v>121.52079000000001</v>
      </c>
      <c r="K3684" s="460">
        <v>13601.356390000001</v>
      </c>
      <c r="L3684" s="459" t="s">
        <v>539</v>
      </c>
      <c r="O3684">
        <v>29.876000000000001</v>
      </c>
      <c r="P3684" t="s">
        <v>10394</v>
      </c>
    </row>
    <row r="3685" spans="1:16" ht="14.4" x14ac:dyDescent="0.3">
      <c r="A3685">
        <v>496951</v>
      </c>
      <c r="B3685" t="str">
        <f t="shared" si="114"/>
        <v>SEVROLL 05803 GM 18 listwa pozioma dolna 3m 18mm, jasny brąz</v>
      </c>
      <c r="C3685" s="185">
        <f t="shared" si="115"/>
        <v>155.16721000000001</v>
      </c>
      <c r="D3685" s="407" t="s">
        <v>3526</v>
      </c>
      <c r="E3685" s="407" t="s">
        <v>6431</v>
      </c>
      <c r="F3685" s="407" t="s">
        <v>6432</v>
      </c>
      <c r="G3685" s="407" t="s">
        <v>6433</v>
      </c>
      <c r="H3685" s="460">
        <v>1254.9789900000001</v>
      </c>
      <c r="I3685" s="460">
        <v>45.123190000000001</v>
      </c>
      <c r="J3685" s="460">
        <v>155.16721000000001</v>
      </c>
      <c r="K3685" s="460">
        <v>17367.269779999999</v>
      </c>
      <c r="L3685" s="459" t="s">
        <v>539</v>
      </c>
      <c r="O3685">
        <v>38.148000000000003</v>
      </c>
      <c r="P3685" t="s">
        <v>10395</v>
      </c>
    </row>
    <row r="3686" spans="1:16" ht="14.4" x14ac:dyDescent="0.3">
      <c r="A3686">
        <v>496952</v>
      </c>
      <c r="B3686" t="str">
        <f t="shared" si="114"/>
        <v>SEVROLL 05912 GM 18 listwa pozioma dolna 1,7m 18mm czarny mat</v>
      </c>
      <c r="C3686" s="185">
        <f t="shared" si="115"/>
        <v>94.496290000000002</v>
      </c>
      <c r="D3686" s="407" t="s">
        <v>6434</v>
      </c>
      <c r="E3686" s="407" t="s">
        <v>6435</v>
      </c>
      <c r="F3686" s="407" t="s">
        <v>6436</v>
      </c>
      <c r="G3686" s="407" t="s">
        <v>6437</v>
      </c>
      <c r="H3686" s="460">
        <v>764.27787999999998</v>
      </c>
      <c r="I3686" s="460">
        <v>27.479869999999998</v>
      </c>
      <c r="J3686" s="460">
        <v>94.496290000000002</v>
      </c>
      <c r="K3686" s="460">
        <v>10576.60692</v>
      </c>
      <c r="L3686" s="459" t="s">
        <v>539</v>
      </c>
      <c r="O3686">
        <v>22.021999999999998</v>
      </c>
      <c r="P3686" t="s">
        <v>10396</v>
      </c>
    </row>
    <row r="3687" spans="1:16" ht="14.4" x14ac:dyDescent="0.3">
      <c r="A3687">
        <v>496955</v>
      </c>
      <c r="B3687" t="str">
        <f t="shared" si="114"/>
        <v>SEVROLL 05913 GM 18 listwa pozioma dolna 2,35m, czarny mat</v>
      </c>
      <c r="C3687" s="185">
        <f t="shared" si="115"/>
        <v>130.55878999999999</v>
      </c>
      <c r="D3687" s="407" t="s">
        <v>3527</v>
      </c>
      <c r="E3687" s="407" t="s">
        <v>6438</v>
      </c>
      <c r="F3687" s="407" t="s">
        <v>6439</v>
      </c>
      <c r="G3687" s="407" t="s">
        <v>6440</v>
      </c>
      <c r="H3687" s="460">
        <v>1055.94831</v>
      </c>
      <c r="I3687" s="460">
        <v>37.966970000000003</v>
      </c>
      <c r="J3687" s="460">
        <v>130.55878999999999</v>
      </c>
      <c r="K3687" s="460">
        <v>14612.945009999999</v>
      </c>
      <c r="L3687" s="459" t="s">
        <v>539</v>
      </c>
      <c r="O3687">
        <v>30.404</v>
      </c>
      <c r="P3687" t="s">
        <v>10397</v>
      </c>
    </row>
    <row r="3688" spans="1:16" ht="14.4" x14ac:dyDescent="0.3">
      <c r="A3688">
        <v>496957</v>
      </c>
      <c r="B3688" t="str">
        <f t="shared" si="114"/>
        <v>SEVROLL 05803 GM 18 listwa pozioma dolna 3m 18mm, czarny mat</v>
      </c>
      <c r="C3688" s="185">
        <f t="shared" si="115"/>
        <v>166.71079</v>
      </c>
      <c r="D3688" s="407" t="s">
        <v>3528</v>
      </c>
      <c r="E3688" s="407" t="s">
        <v>6441</v>
      </c>
      <c r="F3688" s="407" t="s">
        <v>6442</v>
      </c>
      <c r="G3688" s="407" t="s">
        <v>6443</v>
      </c>
      <c r="H3688" s="460">
        <v>1348.34248</v>
      </c>
      <c r="I3688" s="460">
        <v>48.4801</v>
      </c>
      <c r="J3688" s="460">
        <v>166.71079</v>
      </c>
      <c r="K3688" s="460">
        <v>18659.29824</v>
      </c>
      <c r="L3688" s="459" t="s">
        <v>539</v>
      </c>
      <c r="O3688">
        <v>38.808</v>
      </c>
      <c r="P3688" t="s">
        <v>10398</v>
      </c>
    </row>
    <row r="3689" spans="1:16" ht="14.4" x14ac:dyDescent="0.3">
      <c r="A3689">
        <v>496369</v>
      </c>
      <c r="B3689" t="str">
        <f t="shared" si="114"/>
        <v>SEVROLL 05798 GM 18 maskownica dolna 1,7 m, 18 mm, srebrna</v>
      </c>
      <c r="C3689" s="185">
        <f t="shared" si="115"/>
        <v>72.661929999999998</v>
      </c>
      <c r="D3689" s="407" t="s">
        <v>6444</v>
      </c>
      <c r="E3689" s="407" t="s">
        <v>6445</v>
      </c>
      <c r="F3689" s="407" t="s">
        <v>6446</v>
      </c>
      <c r="G3689" s="407" t="s">
        <v>6447</v>
      </c>
      <c r="H3689" s="460">
        <v>587.68335000000002</v>
      </c>
      <c r="I3689" s="460">
        <v>21.13035</v>
      </c>
      <c r="J3689" s="460">
        <v>72.661929999999998</v>
      </c>
      <c r="K3689" s="460">
        <v>8132.7699300000004</v>
      </c>
      <c r="L3689" s="459" t="s">
        <v>539</v>
      </c>
      <c r="O3689">
        <v>17.864000000000001</v>
      </c>
      <c r="P3689" t="s">
        <v>10399</v>
      </c>
    </row>
    <row r="3690" spans="1:16" ht="14.4" x14ac:dyDescent="0.3">
      <c r="A3690">
        <v>496370</v>
      </c>
      <c r="B3690" t="str">
        <f t="shared" si="114"/>
        <v>SEVROLL 05799 GM 18 maskownica dolna 2,35 m, 18mm srebrna</v>
      </c>
      <c r="C3690" s="185">
        <f t="shared" si="115"/>
        <v>100.40231</v>
      </c>
      <c r="D3690" s="407" t="s">
        <v>6448</v>
      </c>
      <c r="E3690" s="407" t="s">
        <v>6449</v>
      </c>
      <c r="F3690" s="407" t="s">
        <v>6450</v>
      </c>
      <c r="G3690" s="407" t="s">
        <v>6451</v>
      </c>
      <c r="H3690" s="460">
        <v>812.04522999999995</v>
      </c>
      <c r="I3690" s="460">
        <v>29.19736</v>
      </c>
      <c r="J3690" s="460">
        <v>100.40231</v>
      </c>
      <c r="K3690" s="460">
        <v>11237.645109999999</v>
      </c>
      <c r="L3690" s="459" t="s">
        <v>538</v>
      </c>
      <c r="O3690">
        <v>24.684000000000001</v>
      </c>
      <c r="P3690" t="s">
        <v>10400</v>
      </c>
    </row>
    <row r="3691" spans="1:16" ht="14.4" x14ac:dyDescent="0.3">
      <c r="A3691">
        <v>496371</v>
      </c>
      <c r="B3691" t="str">
        <f t="shared" si="114"/>
        <v>SEVROLL 05800 GM 18 maskownica dolna 3 m, 18mm  srebrna</v>
      </c>
      <c r="C3691" s="185">
        <f t="shared" si="115"/>
        <v>128.23218</v>
      </c>
      <c r="D3691" s="407" t="s">
        <v>6452</v>
      </c>
      <c r="E3691" s="407" t="s">
        <v>6453</v>
      </c>
      <c r="F3691" s="407" t="s">
        <v>6454</v>
      </c>
      <c r="G3691" s="407" t="s">
        <v>6455</v>
      </c>
      <c r="H3691" s="460">
        <v>1037.13085</v>
      </c>
      <c r="I3691" s="460">
        <v>37.290390000000002</v>
      </c>
      <c r="J3691" s="460">
        <v>128.23218</v>
      </c>
      <c r="K3691" s="460">
        <v>14352.53587</v>
      </c>
      <c r="L3691" s="459" t="s">
        <v>539</v>
      </c>
      <c r="O3691">
        <v>31.526</v>
      </c>
      <c r="P3691" t="s">
        <v>10401</v>
      </c>
    </row>
    <row r="3692" spans="1:16" ht="14.4" x14ac:dyDescent="0.3">
      <c r="A3692">
        <v>496970</v>
      </c>
      <c r="B3692" t="str">
        <f t="shared" si="114"/>
        <v>SEVROLL 05795 GM 18 listwa pozioma górna 1,7m j.brąz</v>
      </c>
      <c r="C3692" s="185">
        <f t="shared" si="115"/>
        <v>60.760399999999997</v>
      </c>
      <c r="D3692" s="407" t="s">
        <v>3529</v>
      </c>
      <c r="E3692" s="407" t="s">
        <v>6456</v>
      </c>
      <c r="F3692" s="407" t="s">
        <v>6457</v>
      </c>
      <c r="G3692" s="407" t="s">
        <v>6458</v>
      </c>
      <c r="H3692" s="460">
        <v>491.42487999999997</v>
      </c>
      <c r="I3692" s="460">
        <v>17.669350000000001</v>
      </c>
      <c r="J3692" s="460">
        <v>60.760399999999997</v>
      </c>
      <c r="K3692" s="460">
        <v>6800.67839</v>
      </c>
      <c r="L3692" s="459" t="s">
        <v>539</v>
      </c>
      <c r="O3692">
        <v>14.938000000000001</v>
      </c>
      <c r="P3692" t="s">
        <v>10402</v>
      </c>
    </row>
    <row r="3693" spans="1:16" ht="14.4" x14ac:dyDescent="0.3">
      <c r="A3693">
        <v>496971</v>
      </c>
      <c r="B3693" t="str">
        <f t="shared" si="114"/>
        <v>SEVROLL 05796 GM 18 tor 2,35m, j.brąz</v>
      </c>
      <c r="C3693" s="185">
        <f t="shared" si="115"/>
        <v>83.847549999999998</v>
      </c>
      <c r="D3693" s="407" t="s">
        <v>3530</v>
      </c>
      <c r="E3693" s="407" t="s">
        <v>6459</v>
      </c>
      <c r="F3693" s="407" t="s">
        <v>6460</v>
      </c>
      <c r="G3693" s="407" t="s">
        <v>6461</v>
      </c>
      <c r="H3693" s="460">
        <v>678.15187000000003</v>
      </c>
      <c r="I3693" s="460">
        <v>24.383179999999999</v>
      </c>
      <c r="J3693" s="460">
        <v>83.847549999999998</v>
      </c>
      <c r="K3693" s="460">
        <v>9384.7357300000003</v>
      </c>
      <c r="L3693" s="459" t="s">
        <v>539</v>
      </c>
      <c r="O3693">
        <v>20.614000000000001</v>
      </c>
      <c r="P3693" t="s">
        <v>10403</v>
      </c>
    </row>
    <row r="3694" spans="1:16" ht="14.4" x14ac:dyDescent="0.3">
      <c r="A3694">
        <v>496972</v>
      </c>
      <c r="B3694" t="str">
        <f t="shared" si="114"/>
        <v>SEVROLL 05797 GM 18 listwa pozioma górna 3m, jasny brąz</v>
      </c>
      <c r="C3694" s="185">
        <f t="shared" si="115"/>
        <v>107.11369999999999</v>
      </c>
      <c r="D3694" s="407" t="s">
        <v>6462</v>
      </c>
      <c r="E3694" s="407" t="s">
        <v>6463</v>
      </c>
      <c r="F3694" s="407" t="s">
        <v>6464</v>
      </c>
      <c r="G3694" s="407" t="s">
        <v>6465</v>
      </c>
      <c r="H3694" s="460">
        <v>866.32633999999996</v>
      </c>
      <c r="I3694" s="460">
        <v>31.149049999999999</v>
      </c>
      <c r="J3694" s="460">
        <v>107.11369999999999</v>
      </c>
      <c r="K3694" s="460">
        <v>11988.82459</v>
      </c>
      <c r="L3694" s="459" t="s">
        <v>539</v>
      </c>
      <c r="O3694">
        <v>26.334</v>
      </c>
      <c r="P3694" t="s">
        <v>10404</v>
      </c>
    </row>
    <row r="3695" spans="1:16" ht="14.4" x14ac:dyDescent="0.3">
      <c r="A3695">
        <v>496974</v>
      </c>
      <c r="B3695" t="str">
        <f t="shared" si="114"/>
        <v>SEVROLL 05918 GM 18 listwa pozioma górna 1,7m czarny mat</v>
      </c>
      <c r="C3695" s="185">
        <f t="shared" si="115"/>
        <v>62.791200000000003</v>
      </c>
      <c r="D3695" s="407" t="s">
        <v>3531</v>
      </c>
      <c r="E3695" s="407" t="s">
        <v>6466</v>
      </c>
      <c r="F3695" s="407" t="s">
        <v>6467</v>
      </c>
      <c r="G3695" s="407" t="s">
        <v>6468</v>
      </c>
      <c r="H3695" s="460">
        <v>499.38610999999997</v>
      </c>
      <c r="I3695" s="460">
        <v>17.955590000000001</v>
      </c>
      <c r="J3695" s="460">
        <v>62.791200000000003</v>
      </c>
      <c r="K3695" s="460">
        <v>6910.85124</v>
      </c>
      <c r="L3695" s="459" t="s">
        <v>539</v>
      </c>
      <c r="O3695">
        <v>15.18</v>
      </c>
      <c r="P3695" t="s">
        <v>10405</v>
      </c>
    </row>
    <row r="3696" spans="1:16" ht="14.4" x14ac:dyDescent="0.3">
      <c r="A3696">
        <v>496977</v>
      </c>
      <c r="B3696" t="str">
        <f t="shared" si="114"/>
        <v>SEVROLL 05919 GM 18 listwa pozioma górna 2,35m, czarny mat</v>
      </c>
      <c r="C3696" s="185">
        <f t="shared" si="115"/>
        <v>86.802000000000007</v>
      </c>
      <c r="D3696" s="407" t="s">
        <v>3532</v>
      </c>
      <c r="E3696" s="407" t="s">
        <v>6469</v>
      </c>
      <c r="F3696" s="407" t="s">
        <v>6470</v>
      </c>
      <c r="G3696" s="407" t="s">
        <v>6471</v>
      </c>
      <c r="H3696" s="460">
        <v>690.45555999999999</v>
      </c>
      <c r="I3696" s="460">
        <v>24.825559999999999</v>
      </c>
      <c r="J3696" s="460">
        <v>86.802000000000007</v>
      </c>
      <c r="K3696" s="460">
        <v>9555.0031500000005</v>
      </c>
      <c r="L3696" s="459" t="s">
        <v>539</v>
      </c>
      <c r="O3696">
        <v>20.988</v>
      </c>
      <c r="P3696" t="s">
        <v>10406</v>
      </c>
    </row>
    <row r="3697" spans="1:16" ht="14.4" x14ac:dyDescent="0.3">
      <c r="A3697">
        <v>496979</v>
      </c>
      <c r="B3697" t="str">
        <f t="shared" si="114"/>
        <v>SEVROLL 05920 GM 18 listwa pozioma górna 3m czarny mat</v>
      </c>
      <c r="C3697" s="185">
        <f t="shared" si="115"/>
        <v>110.8026</v>
      </c>
      <c r="D3697" s="407" t="s">
        <v>3533</v>
      </c>
      <c r="E3697" s="407" t="s">
        <v>6472</v>
      </c>
      <c r="F3697" s="407" t="s">
        <v>6473</v>
      </c>
      <c r="G3697" s="407" t="s">
        <v>6474</v>
      </c>
      <c r="H3697" s="460">
        <v>881.52504999999996</v>
      </c>
      <c r="I3697" s="460">
        <v>31.695530000000002</v>
      </c>
      <c r="J3697" s="460">
        <v>110.8026</v>
      </c>
      <c r="K3697" s="460">
        <v>12199.154689999999</v>
      </c>
      <c r="L3697" s="459" t="s">
        <v>539</v>
      </c>
      <c r="O3697">
        <v>26.795999999999999</v>
      </c>
      <c r="P3697" t="s">
        <v>10407</v>
      </c>
    </row>
    <row r="3698" spans="1:16" ht="14.4" x14ac:dyDescent="0.3">
      <c r="A3698">
        <v>496366</v>
      </c>
      <c r="B3698" t="str">
        <f t="shared" si="114"/>
        <v>SEVROLL 05792 GM 18 tor 1,7 m srebrny</v>
      </c>
      <c r="C3698" s="185">
        <f t="shared" si="115"/>
        <v>50.201149999999998</v>
      </c>
      <c r="D3698" s="407" t="s">
        <v>6475</v>
      </c>
      <c r="E3698" s="407" t="s">
        <v>6476</v>
      </c>
      <c r="F3698" s="407" t="s">
        <v>6477</v>
      </c>
      <c r="G3698" s="407" t="s">
        <v>6478</v>
      </c>
      <c r="H3698" s="460">
        <v>406.02260999999999</v>
      </c>
      <c r="I3698" s="460">
        <v>14.59868</v>
      </c>
      <c r="J3698" s="460">
        <v>50.201149999999998</v>
      </c>
      <c r="K3698" s="460">
        <v>5618.8223600000001</v>
      </c>
      <c r="L3698" s="459" t="s">
        <v>538</v>
      </c>
      <c r="O3698">
        <v>12.342000000000001</v>
      </c>
      <c r="P3698" t="s">
        <v>10408</v>
      </c>
    </row>
    <row r="3699" spans="1:16" ht="14.4" x14ac:dyDescent="0.3">
      <c r="A3699">
        <v>496367</v>
      </c>
      <c r="B3699" t="str">
        <f t="shared" si="114"/>
        <v>SEVROLL 05793 GM 18 tor 2,35 m, srebrny</v>
      </c>
      <c r="C3699" s="185">
        <f t="shared" si="115"/>
        <v>69.261480000000006</v>
      </c>
      <c r="D3699" s="407" t="s">
        <v>6479</v>
      </c>
      <c r="E3699" s="407" t="s">
        <v>6480</v>
      </c>
      <c r="F3699" s="407" t="s">
        <v>6481</v>
      </c>
      <c r="G3699" s="407" t="s">
        <v>6482</v>
      </c>
      <c r="H3699" s="460">
        <v>560.18092999999999</v>
      </c>
      <c r="I3699" s="460">
        <v>20.141490000000001</v>
      </c>
      <c r="J3699" s="460">
        <v>69.261480000000006</v>
      </c>
      <c r="K3699" s="460">
        <v>7752.1724100000001</v>
      </c>
      <c r="L3699" s="459" t="s">
        <v>538</v>
      </c>
      <c r="O3699">
        <v>17.027999999999999</v>
      </c>
      <c r="P3699" t="s">
        <v>10409</v>
      </c>
    </row>
    <row r="3700" spans="1:16" ht="14.4" x14ac:dyDescent="0.3">
      <c r="A3700">
        <v>496368</v>
      </c>
      <c r="B3700" t="str">
        <f t="shared" si="114"/>
        <v>SEVROLL 05794 GM 18 Maxim tor 3 m, srebrny</v>
      </c>
      <c r="C3700" s="185">
        <f t="shared" si="115"/>
        <v>88.411289999999994</v>
      </c>
      <c r="D3700" s="407" t="s">
        <v>6483</v>
      </c>
      <c r="E3700" s="407" t="s">
        <v>6484</v>
      </c>
      <c r="F3700" s="407" t="s">
        <v>6485</v>
      </c>
      <c r="G3700" s="407" t="s">
        <v>6486</v>
      </c>
      <c r="H3700" s="460">
        <v>715.06300999999996</v>
      </c>
      <c r="I3700" s="460">
        <v>25.710329999999999</v>
      </c>
      <c r="J3700" s="460">
        <v>88.411289999999994</v>
      </c>
      <c r="K3700" s="460">
        <v>9895.5376199999992</v>
      </c>
      <c r="L3700" s="459" t="s">
        <v>539</v>
      </c>
      <c r="O3700">
        <v>21.736000000000001</v>
      </c>
      <c r="P3700" t="s">
        <v>10410</v>
      </c>
    </row>
    <row r="3701" spans="1:16" ht="14.4" x14ac:dyDescent="0.3">
      <c r="A3701">
        <v>496986</v>
      </c>
      <c r="B3701" t="str">
        <f t="shared" si="114"/>
        <v>SEVROLL 05805 GM 18 listwa łącząca H18 3m jasny brąz</v>
      </c>
      <c r="C3701" s="185">
        <f t="shared" si="115"/>
        <v>55.253399999999999</v>
      </c>
      <c r="D3701" s="407" t="s">
        <v>3534</v>
      </c>
      <c r="E3701" s="407" t="s">
        <v>6487</v>
      </c>
      <c r="F3701" s="407" t="s">
        <v>6488</v>
      </c>
      <c r="G3701" s="407" t="s">
        <v>6489</v>
      </c>
      <c r="H3701" s="460">
        <v>421.94506000000001</v>
      </c>
      <c r="I3701" s="460">
        <v>15.17118</v>
      </c>
      <c r="J3701" s="460">
        <v>55.253399999999999</v>
      </c>
      <c r="K3701" s="460">
        <v>5839.16842</v>
      </c>
      <c r="L3701" s="459" t="s">
        <v>539</v>
      </c>
      <c r="O3701">
        <v>13.045999999999999</v>
      </c>
      <c r="P3701" t="s">
        <v>10411</v>
      </c>
    </row>
    <row r="3702" spans="1:16" ht="14.4" x14ac:dyDescent="0.3">
      <c r="A3702">
        <v>496987</v>
      </c>
      <c r="B3702" t="str">
        <f t="shared" si="114"/>
        <v>SEVROLL 05924 GM 18 listwa łącząca H18 3m czarny mat</v>
      </c>
      <c r="C3702" s="185">
        <f t="shared" si="115"/>
        <v>62.454599999999999</v>
      </c>
      <c r="D3702" s="407" t="s">
        <v>3535</v>
      </c>
      <c r="E3702" s="407" t="s">
        <v>6490</v>
      </c>
      <c r="F3702" s="407" t="s">
        <v>6491</v>
      </c>
      <c r="G3702" s="407" t="s">
        <v>6492</v>
      </c>
      <c r="H3702" s="460">
        <v>488.5299</v>
      </c>
      <c r="I3702" s="460">
        <v>17.565259999999999</v>
      </c>
      <c r="J3702" s="460">
        <v>62.454599999999999</v>
      </c>
      <c r="K3702" s="460">
        <v>6760.6153400000003</v>
      </c>
      <c r="L3702" s="459" t="s">
        <v>539</v>
      </c>
      <c r="O3702">
        <v>13.266</v>
      </c>
      <c r="P3702" t="s">
        <v>10412</v>
      </c>
    </row>
    <row r="3703" spans="1:16" ht="14.4" x14ac:dyDescent="0.3">
      <c r="A3703">
        <v>496942</v>
      </c>
      <c r="B3703" t="str">
        <f t="shared" si="114"/>
        <v>SEVROLL 05804 GM 18 listwa łącząca H18 3m, srebrna</v>
      </c>
      <c r="C3703" s="185">
        <f t="shared" si="115"/>
        <v>48.042000000000002</v>
      </c>
      <c r="D3703" s="407" t="s">
        <v>3536</v>
      </c>
      <c r="E3703" s="407" t="s">
        <v>6493</v>
      </c>
      <c r="F3703" s="407" t="s">
        <v>6494</v>
      </c>
      <c r="G3703" s="407" t="s">
        <v>6495</v>
      </c>
      <c r="H3703" s="460">
        <v>351.01778000000002</v>
      </c>
      <c r="I3703" s="460">
        <v>12.62096</v>
      </c>
      <c r="J3703" s="460">
        <v>48.042000000000002</v>
      </c>
      <c r="K3703" s="460">
        <v>4857.6273199999996</v>
      </c>
      <c r="L3703" s="459" t="s">
        <v>538</v>
      </c>
      <c r="O3703">
        <v>10.757999999999999</v>
      </c>
      <c r="P3703" t="s">
        <v>10413</v>
      </c>
    </row>
    <row r="3704" spans="1:16" ht="14.4" x14ac:dyDescent="0.3">
      <c r="A3704">
        <v>496990</v>
      </c>
      <c r="B3704" t="str">
        <f t="shared" si="114"/>
        <v>SEVROLL 05807 GM 18 listwa łącząca H25 3m jasny brąz</v>
      </c>
      <c r="C3704" s="185">
        <f t="shared" si="115"/>
        <v>97.628270000000001</v>
      </c>
      <c r="D3704" s="407" t="s">
        <v>3537</v>
      </c>
      <c r="E3704" s="407" t="s">
        <v>6496</v>
      </c>
      <c r="F3704" s="407" t="s">
        <v>6497</v>
      </c>
      <c r="G3704" s="407" t="s">
        <v>6498</v>
      </c>
      <c r="H3704" s="460">
        <v>789.60904000000005</v>
      </c>
      <c r="I3704" s="460">
        <v>28.39066</v>
      </c>
      <c r="J3704" s="460">
        <v>97.628270000000001</v>
      </c>
      <c r="K3704" s="460">
        <v>10927.157359999999</v>
      </c>
      <c r="L3704" s="459" t="s">
        <v>539</v>
      </c>
      <c r="O3704">
        <v>24.001999999999999</v>
      </c>
      <c r="P3704" t="s">
        <v>10414</v>
      </c>
    </row>
    <row r="3705" spans="1:16" ht="14.4" x14ac:dyDescent="0.3">
      <c r="A3705">
        <v>496996</v>
      </c>
      <c r="B3705" t="str">
        <f t="shared" si="114"/>
        <v>SEVROLL 05926 GM 18 listwa łącząca H25 3m czarny mat</v>
      </c>
      <c r="C3705" s="185">
        <f t="shared" si="115"/>
        <v>101.0412</v>
      </c>
      <c r="D3705" s="407" t="s">
        <v>3538</v>
      </c>
      <c r="E3705" s="407" t="s">
        <v>6499</v>
      </c>
      <c r="F3705" s="407" t="s">
        <v>6500</v>
      </c>
      <c r="G3705" s="407" t="s">
        <v>6501</v>
      </c>
      <c r="H3705" s="460">
        <v>802.63651000000004</v>
      </c>
      <c r="I3705" s="460">
        <v>28.859059999999999</v>
      </c>
      <c r="J3705" s="460">
        <v>101.0412</v>
      </c>
      <c r="K3705" s="460">
        <v>11107.440759999999</v>
      </c>
      <c r="L3705" s="459" t="s">
        <v>539</v>
      </c>
      <c r="O3705">
        <v>24.398</v>
      </c>
      <c r="P3705" t="s">
        <v>10415</v>
      </c>
    </row>
    <row r="3706" spans="1:16" ht="14.4" x14ac:dyDescent="0.3">
      <c r="A3706">
        <v>496924</v>
      </c>
      <c r="B3706" t="str">
        <f t="shared" si="114"/>
        <v>SEVROLL 05806 GM 18 listwa łącząca H25 3m, srebrna</v>
      </c>
      <c r="C3706" s="185">
        <f t="shared" si="115"/>
        <v>80.626099999999994</v>
      </c>
      <c r="D3706" s="407" t="s">
        <v>3539</v>
      </c>
      <c r="E3706" s="407" t="s">
        <v>6502</v>
      </c>
      <c r="F3706" s="407" t="s">
        <v>6503</v>
      </c>
      <c r="G3706" s="407" t="s">
        <v>6504</v>
      </c>
      <c r="H3706" s="460">
        <v>652.09693000000004</v>
      </c>
      <c r="I3706" s="460">
        <v>23.446359999999999</v>
      </c>
      <c r="J3706" s="460">
        <v>80.626099999999994</v>
      </c>
      <c r="K3706" s="460">
        <v>9024.1693500000001</v>
      </c>
      <c r="L3706" s="459" t="s">
        <v>538</v>
      </c>
      <c r="O3706">
        <v>19.821999999999999</v>
      </c>
      <c r="P3706" t="s">
        <v>10416</v>
      </c>
    </row>
    <row r="3707" spans="1:16" ht="14.4" x14ac:dyDescent="0.3">
      <c r="A3707">
        <v>496944</v>
      </c>
      <c r="B3707" t="str">
        <f t="shared" si="114"/>
        <v>SEVROLL 05689 GM 18 wózek górny 18mm - 2 szt.</v>
      </c>
      <c r="C3707" s="185">
        <f t="shared" si="115"/>
        <v>16.1568</v>
      </c>
      <c r="D3707" s="407" t="s">
        <v>3540</v>
      </c>
      <c r="E3707" s="407" t="s">
        <v>6505</v>
      </c>
      <c r="F3707" s="407" t="s">
        <v>6506</v>
      </c>
      <c r="G3707" s="407" t="s">
        <v>6507</v>
      </c>
      <c r="H3707" s="460">
        <v>142.08112</v>
      </c>
      <c r="I3707" s="460">
        <v>4.8141800000000003</v>
      </c>
      <c r="J3707" s="460">
        <v>16.1568</v>
      </c>
      <c r="K3707" s="460">
        <v>1896.5072500000001</v>
      </c>
      <c r="L3707" s="459" t="s">
        <v>538</v>
      </c>
      <c r="O3707">
        <v>6.4459999999999997</v>
      </c>
      <c r="P3707" t="s">
        <v>10417</v>
      </c>
    </row>
    <row r="3708" spans="1:16" ht="14.4" x14ac:dyDescent="0.3">
      <c r="A3708">
        <v>496997</v>
      </c>
      <c r="B3708" t="str">
        <f t="shared" si="114"/>
        <v>SEVROLL 05689 GM 18 wózek górny 18mm - 2 szt.</v>
      </c>
      <c r="C3708" s="185">
        <f t="shared" si="115"/>
        <v>16.1568</v>
      </c>
      <c r="D3708" s="407" t="s">
        <v>3541</v>
      </c>
      <c r="E3708" s="407" t="s">
        <v>6508</v>
      </c>
      <c r="F3708" s="407" t="s">
        <v>6509</v>
      </c>
      <c r="G3708" s="407" t="s">
        <v>6507</v>
      </c>
      <c r="H3708" s="460">
        <v>142.08112</v>
      </c>
      <c r="I3708" s="460">
        <v>4.8141800000000003</v>
      </c>
      <c r="J3708" s="460">
        <v>16.1568</v>
      </c>
      <c r="K3708" s="460">
        <v>1896.5072500000001</v>
      </c>
      <c r="L3708" s="459" t="s">
        <v>538</v>
      </c>
      <c r="O3708">
        <v>6.4459999999999997</v>
      </c>
      <c r="P3708" t="s">
        <v>10418</v>
      </c>
    </row>
    <row r="3709" spans="1:16" ht="14.4" x14ac:dyDescent="0.3">
      <c r="A3709">
        <v>496998</v>
      </c>
      <c r="B3709" t="str">
        <f t="shared" si="114"/>
        <v>SEVROLL 05689 GM 18 wózek górny 18mm - 2 szt.</v>
      </c>
      <c r="C3709" s="185">
        <f t="shared" si="115"/>
        <v>23.174399999999999</v>
      </c>
      <c r="D3709" s="407" t="s">
        <v>3542</v>
      </c>
      <c r="E3709" s="407" t="s">
        <v>6510</v>
      </c>
      <c r="F3709" s="407" t="s">
        <v>6511</v>
      </c>
      <c r="G3709" s="407" t="s">
        <v>6507</v>
      </c>
      <c r="H3709" s="460">
        <v>169.72931</v>
      </c>
      <c r="I3709" s="460">
        <v>5.7509899999999998</v>
      </c>
      <c r="J3709" s="460">
        <v>23.174399999999999</v>
      </c>
      <c r="K3709" s="460">
        <v>2265.5571500000001</v>
      </c>
      <c r="L3709" s="459" t="s">
        <v>538</v>
      </c>
      <c r="O3709">
        <v>6.4459999999999997</v>
      </c>
      <c r="P3709" t="s">
        <v>10419</v>
      </c>
    </row>
    <row r="3710" spans="1:16" ht="14.4" x14ac:dyDescent="0.3">
      <c r="A3710">
        <v>494207</v>
      </c>
      <c r="B3710" t="str">
        <f t="shared" si="114"/>
        <v>SEVROLL wzornik rączek 2023</v>
      </c>
      <c r="C3710" s="185">
        <f t="shared" si="115"/>
        <v>107.15752000000001</v>
      </c>
      <c r="D3710" s="407" t="s">
        <v>6528</v>
      </c>
      <c r="E3710" s="407" t="s">
        <v>6530</v>
      </c>
      <c r="F3710" s="407" t="s">
        <v>6529</v>
      </c>
      <c r="G3710" s="407" t="s">
        <v>6531</v>
      </c>
      <c r="H3710" s="460">
        <v>599</v>
      </c>
      <c r="I3710" s="460">
        <v>25.640499999999999</v>
      </c>
      <c r="J3710" s="460">
        <v>107.15752000000001</v>
      </c>
      <c r="K3710" s="460">
        <v>9660.4210899999998</v>
      </c>
      <c r="L3710" s="459" t="s">
        <v>541</v>
      </c>
      <c r="O3710">
        <v>47.277209999999997</v>
      </c>
      <c r="P3710" t="s">
        <v>10420</v>
      </c>
    </row>
    <row r="3711" spans="1:16" ht="14.4" x14ac:dyDescent="0.3">
      <c r="A3711">
        <v>497670</v>
      </c>
      <c r="B3711" t="str">
        <f t="shared" si="114"/>
        <v>SEVROLL 05942 listwa pozioma górna 1,7m biały mat</v>
      </c>
      <c r="C3711" s="185">
        <f t="shared" si="115"/>
        <v>59.986199999999997</v>
      </c>
      <c r="D3711" s="407" t="s">
        <v>3557</v>
      </c>
      <c r="E3711" s="407" t="s">
        <v>6512</v>
      </c>
      <c r="F3711" s="407" t="s">
        <v>6513</v>
      </c>
      <c r="G3711" s="407" t="s">
        <v>6514</v>
      </c>
      <c r="H3711" s="460">
        <v>291.67043000000001</v>
      </c>
      <c r="I3711" s="460">
        <v>10.487109999999999</v>
      </c>
      <c r="J3711" s="460">
        <v>59.986199999999997</v>
      </c>
      <c r="K3711" s="460">
        <v>4036.3376800000001</v>
      </c>
      <c r="L3711" s="459" t="s">
        <v>539</v>
      </c>
      <c r="O3711">
        <v>10.208</v>
      </c>
      <c r="P3711" t="s">
        <v>10421</v>
      </c>
    </row>
    <row r="3712" spans="1:16" ht="14.4" x14ac:dyDescent="0.3">
      <c r="A3712">
        <v>497672</v>
      </c>
      <c r="B3712" t="str">
        <f t="shared" si="114"/>
        <v>SEVROLL 05943 listwa pozioma górna 2,35m biały mat</v>
      </c>
      <c r="C3712" s="185">
        <f t="shared" si="115"/>
        <v>82.936199999999999</v>
      </c>
      <c r="D3712" s="407" t="s">
        <v>3558</v>
      </c>
      <c r="E3712" s="407" t="s">
        <v>6515</v>
      </c>
      <c r="F3712" s="407" t="s">
        <v>6516</v>
      </c>
      <c r="G3712" s="407" t="s">
        <v>6517</v>
      </c>
      <c r="H3712" s="460">
        <v>403.85138000000001</v>
      </c>
      <c r="I3712" s="460">
        <v>14.52061</v>
      </c>
      <c r="J3712" s="460">
        <v>82.936199999999999</v>
      </c>
      <c r="K3712" s="460">
        <v>5588.7752499999997</v>
      </c>
      <c r="L3712" s="459" t="s">
        <v>539</v>
      </c>
      <c r="O3712">
        <v>14.08</v>
      </c>
      <c r="P3712" t="s">
        <v>10422</v>
      </c>
    </row>
    <row r="3713" spans="1:16" ht="14.4" x14ac:dyDescent="0.3">
      <c r="A3713">
        <v>497673</v>
      </c>
      <c r="B3713" t="str">
        <f t="shared" si="114"/>
        <v>SEVROLL listwa pozioma górna 3m biały mat</v>
      </c>
      <c r="C3713" s="185">
        <f t="shared" si="115"/>
        <v>105.8454</v>
      </c>
      <c r="D3713" s="407" t="s">
        <v>3559</v>
      </c>
      <c r="E3713" s="407" t="s">
        <v>6518</v>
      </c>
      <c r="F3713" s="407" t="s">
        <v>6519</v>
      </c>
      <c r="G3713" s="407" t="s">
        <v>6520</v>
      </c>
      <c r="H3713" s="460">
        <v>515.30856000000006</v>
      </c>
      <c r="I3713" s="460">
        <v>18.528089999999999</v>
      </c>
      <c r="J3713" s="460">
        <v>105.8454</v>
      </c>
      <c r="K3713" s="460">
        <v>7131.1972999999998</v>
      </c>
      <c r="L3713" s="459" t="s">
        <v>538</v>
      </c>
      <c r="O3713">
        <v>17.93</v>
      </c>
      <c r="P3713" t="s">
        <v>10423</v>
      </c>
    </row>
    <row r="3714" spans="1:16" ht="14.4" x14ac:dyDescent="0.3">
      <c r="A3714">
        <v>497666</v>
      </c>
      <c r="B3714" t="str">
        <f t="shared" si="114"/>
        <v>SEVROLL 05939 Gemini 10 dolna maskownica 1,7 m 10 mm, biały mat</v>
      </c>
      <c r="C3714" s="185">
        <f t="shared" si="115"/>
        <v>70.369799999999998</v>
      </c>
      <c r="D3714" s="407" t="s">
        <v>3561</v>
      </c>
      <c r="E3714" s="407" t="s">
        <v>3562</v>
      </c>
      <c r="F3714" s="407" t="s">
        <v>3564</v>
      </c>
      <c r="G3714" s="407" t="s">
        <v>3563</v>
      </c>
      <c r="H3714" s="460">
        <v>529.78351999999995</v>
      </c>
      <c r="I3714" s="460">
        <v>19.048539999999999</v>
      </c>
      <c r="J3714" s="460">
        <v>70.369799999999998</v>
      </c>
      <c r="K3714" s="460">
        <v>7331.51181</v>
      </c>
      <c r="L3714" s="459" t="s">
        <v>539</v>
      </c>
      <c r="O3714">
        <v>16.456</v>
      </c>
      <c r="P3714" t="s">
        <v>10424</v>
      </c>
    </row>
    <row r="3715" spans="1:16" ht="14.4" x14ac:dyDescent="0.3">
      <c r="A3715">
        <v>497668</v>
      </c>
      <c r="B3715" t="str">
        <f t="shared" si="114"/>
        <v>SEVROLL 05940 Gemini 10 dolna maskownica 2,35 m 10 mm, biały mat</v>
      </c>
      <c r="C3715" s="185">
        <f t="shared" si="115"/>
        <v>97.287599999999998</v>
      </c>
      <c r="D3715" s="407" t="s">
        <v>3565</v>
      </c>
      <c r="E3715" s="407" t="s">
        <v>3566</v>
      </c>
      <c r="F3715" s="407" t="s">
        <v>3568</v>
      </c>
      <c r="G3715" s="407" t="s">
        <v>3567</v>
      </c>
      <c r="H3715" s="460">
        <v>731.70920999999998</v>
      </c>
      <c r="I3715" s="460">
        <v>26.30885</v>
      </c>
      <c r="J3715" s="460">
        <v>97.287599999999998</v>
      </c>
      <c r="K3715" s="460">
        <v>10125.899240000001</v>
      </c>
      <c r="L3715" s="459" t="s">
        <v>539</v>
      </c>
      <c r="O3715">
        <v>22.77</v>
      </c>
      <c r="P3715" t="s">
        <v>10425</v>
      </c>
    </row>
    <row r="3716" spans="1:16" ht="14.4" x14ac:dyDescent="0.3">
      <c r="A3716">
        <v>497669</v>
      </c>
      <c r="B3716" t="str">
        <f t="shared" ref="B3716:B3779" si="116">IF($A$2=1,D3716,IF($A$2=2,F3716,IF($A$2=3,G3716,IF($A$2=4,E3716,IF($A$2&gt;4,P3716,"zadat jazyk")))))</f>
        <v>SEVROLL 05941 listwa pozioma dolna 3 m 10 mm, biały mat</v>
      </c>
      <c r="C3716" s="185">
        <f t="shared" ref="C3716:C3779" si="117">IF($A$2=1,H3716,IF($A$2=2,I3716,IF($A$2=3,J3716,IF($A$2=4,K3716,IF($A$2&gt;4,O3716,"zadat jazyk")))))</f>
        <v>124.22580000000001</v>
      </c>
      <c r="D3716" s="407" t="s">
        <v>3569</v>
      </c>
      <c r="E3716" s="407" t="s">
        <v>3570</v>
      </c>
      <c r="F3716" s="407" t="s">
        <v>3572</v>
      </c>
      <c r="G3716" s="407" t="s">
        <v>3571</v>
      </c>
      <c r="H3716" s="460">
        <v>936.52988000000005</v>
      </c>
      <c r="I3716" s="460">
        <v>33.67324</v>
      </c>
      <c r="J3716" s="460">
        <v>124.22580000000001</v>
      </c>
      <c r="K3716" s="460">
        <v>12960.35014</v>
      </c>
      <c r="L3716" s="459" t="s">
        <v>538</v>
      </c>
      <c r="O3716">
        <v>28.885999999999999</v>
      </c>
      <c r="P3716" t="s">
        <v>10426</v>
      </c>
    </row>
    <row r="3717" spans="1:16" ht="14.4" x14ac:dyDescent="0.3">
      <c r="A3717">
        <v>497953</v>
      </c>
      <c r="B3717" t="str">
        <f t="shared" si="116"/>
        <v>SEVROLL 05181 listwa łącząca H10 3m biały mat</v>
      </c>
      <c r="C3717" s="185">
        <f t="shared" si="117"/>
        <v>67.289400000000001</v>
      </c>
      <c r="D3717" s="407" t="s">
        <v>3573</v>
      </c>
      <c r="E3717" s="407" t="s">
        <v>6521</v>
      </c>
      <c r="F3717" s="407" t="s">
        <v>6522</v>
      </c>
      <c r="G3717" s="407" t="s">
        <v>6523</v>
      </c>
      <c r="H3717" s="460">
        <v>440.03877999999997</v>
      </c>
      <c r="I3717" s="460">
        <v>15.82174</v>
      </c>
      <c r="J3717" s="460">
        <v>67.289400000000001</v>
      </c>
      <c r="K3717" s="460">
        <v>6089.5615900000003</v>
      </c>
      <c r="L3717" s="459" t="s">
        <v>539</v>
      </c>
      <c r="O3717">
        <v>16.257999999999999</v>
      </c>
      <c r="P3717" t="s">
        <v>10427</v>
      </c>
    </row>
    <row r="3718" spans="1:16" ht="14.4" x14ac:dyDescent="0.3">
      <c r="A3718">
        <v>524826</v>
      </c>
      <c r="B3718" t="str">
        <f t="shared" si="116"/>
        <v>SEVROLL 06126 Fox II rączka 2,7m czarny lakier strukturalny</v>
      </c>
      <c r="C3718" s="185">
        <f t="shared" si="117"/>
        <v>74.272649999999999</v>
      </c>
      <c r="D3718" s="407" t="s">
        <v>6587</v>
      </c>
      <c r="E3718" t="s">
        <v>6616</v>
      </c>
      <c r="F3718" t="s">
        <v>6617</v>
      </c>
      <c r="G3718" t="s">
        <v>6618</v>
      </c>
      <c r="H3718" s="460">
        <v>600.71082000000001</v>
      </c>
      <c r="I3718" s="460">
        <v>21.598759999999999</v>
      </c>
      <c r="J3718" s="460">
        <v>74.272649999999999</v>
      </c>
      <c r="K3718" s="460">
        <v>8313.0529399999996</v>
      </c>
      <c r="L3718" s="459" t="s">
        <v>539</v>
      </c>
      <c r="O3718">
        <v>20.05114</v>
      </c>
      <c r="P3718" t="s">
        <v>10428</v>
      </c>
    </row>
    <row r="3719" spans="1:16" ht="14.4" x14ac:dyDescent="0.3">
      <c r="A3719">
        <v>526476</v>
      </c>
      <c r="B3719" t="str">
        <f t="shared" si="116"/>
        <v>SEVROLL 06439 listwa pozioma dolna 1,7m 10mm czarny lakier strukturalny</v>
      </c>
      <c r="C3719" s="185">
        <f t="shared" si="117"/>
        <v>65.503110000000007</v>
      </c>
      <c r="D3719" t="s">
        <v>6588</v>
      </c>
      <c r="E3719" t="s">
        <v>6619</v>
      </c>
      <c r="F3719" t="s">
        <v>6620</v>
      </c>
      <c r="G3719" t="s">
        <v>6621</v>
      </c>
      <c r="H3719" s="460">
        <v>529.78351999999995</v>
      </c>
      <c r="I3719" s="460">
        <v>19.048539999999999</v>
      </c>
      <c r="J3719" s="460">
        <v>65.503110000000007</v>
      </c>
      <c r="K3719" s="460">
        <v>7331.51181</v>
      </c>
      <c r="L3719" s="459" t="s">
        <v>539</v>
      </c>
      <c r="O3719">
        <v>17.68366</v>
      </c>
      <c r="P3719" t="s">
        <v>10429</v>
      </c>
    </row>
    <row r="3720" spans="1:16" ht="14.4" x14ac:dyDescent="0.3">
      <c r="A3720">
        <v>526477</v>
      </c>
      <c r="B3720" t="str">
        <f t="shared" si="116"/>
        <v>SEVROLL 06440 listwa pozioma dolna 2,35m 10mm czarny lakier strukturalny</v>
      </c>
      <c r="C3720" s="185">
        <f t="shared" si="117"/>
        <v>90.469449999999995</v>
      </c>
      <c r="D3720" t="s">
        <v>6589</v>
      </c>
      <c r="E3720" t="s">
        <v>6622</v>
      </c>
      <c r="F3720" t="s">
        <v>6623</v>
      </c>
      <c r="G3720" t="s">
        <v>6624</v>
      </c>
      <c r="H3720" s="460">
        <v>731.70920999999998</v>
      </c>
      <c r="I3720" s="460">
        <v>26.30885</v>
      </c>
      <c r="J3720" s="460">
        <v>90.469449999999995</v>
      </c>
      <c r="K3720" s="460">
        <v>10125.899240000001</v>
      </c>
      <c r="L3720" s="459" t="s">
        <v>539</v>
      </c>
      <c r="O3720">
        <v>24.423739999999999</v>
      </c>
      <c r="P3720" t="s">
        <v>10430</v>
      </c>
    </row>
    <row r="3721" spans="1:16" ht="14.4" x14ac:dyDescent="0.3">
      <c r="A3721">
        <v>526478</v>
      </c>
      <c r="B3721" t="str">
        <f t="shared" si="116"/>
        <v>SEVROLL 06123 listaw pozioma dolna 3m 10mm czarny lakier strukturalny</v>
      </c>
      <c r="C3721" s="185">
        <f t="shared" si="117"/>
        <v>115.79375</v>
      </c>
      <c r="D3721" t="s">
        <v>6590</v>
      </c>
      <c r="E3721" t="s">
        <v>6625</v>
      </c>
      <c r="F3721" t="s">
        <v>6626</v>
      </c>
      <c r="G3721" t="s">
        <v>6627</v>
      </c>
      <c r="H3721" s="460">
        <v>936.52988000000005</v>
      </c>
      <c r="I3721" s="460">
        <v>33.67324</v>
      </c>
      <c r="J3721" s="460">
        <v>115.79375</v>
      </c>
      <c r="K3721" s="460">
        <v>12960.35014</v>
      </c>
      <c r="L3721" s="459" t="s">
        <v>539</v>
      </c>
      <c r="O3721">
        <v>31.260449999999999</v>
      </c>
      <c r="P3721" t="s">
        <v>10431</v>
      </c>
    </row>
    <row r="3722" spans="1:16" ht="14.4" x14ac:dyDescent="0.3">
      <c r="A3722">
        <v>526496</v>
      </c>
      <c r="B3722" t="str">
        <f t="shared" si="116"/>
        <v>SEVROLL 06441 listwa pozioma górna 1,7m czarny lakier strukturalny</v>
      </c>
      <c r="C3722" s="185">
        <f t="shared" si="117"/>
        <v>36.062510000000003</v>
      </c>
      <c r="D3722" t="s">
        <v>6591</v>
      </c>
      <c r="E3722" t="s">
        <v>6628</v>
      </c>
      <c r="F3722" t="s">
        <v>6629</v>
      </c>
      <c r="G3722" t="s">
        <v>6630</v>
      </c>
      <c r="H3722" s="460">
        <v>291.67043000000001</v>
      </c>
      <c r="I3722" s="460">
        <v>10.487109999999999</v>
      </c>
      <c r="J3722" s="460">
        <v>36.062510000000003</v>
      </c>
      <c r="K3722" s="460">
        <v>4036.3376800000001</v>
      </c>
      <c r="L3722" s="459" t="s">
        <v>539</v>
      </c>
      <c r="O3722">
        <v>9.7356700000000007</v>
      </c>
      <c r="P3722" t="s">
        <v>10432</v>
      </c>
    </row>
    <row r="3723" spans="1:16" ht="14.4" x14ac:dyDescent="0.3">
      <c r="A3723">
        <v>526497</v>
      </c>
      <c r="B3723" t="str">
        <f t="shared" si="116"/>
        <v>SEVROLL 06442 listwa pozioma górna 2,35m czarny lakier strukturalny</v>
      </c>
      <c r="C3723" s="185">
        <f t="shared" si="117"/>
        <v>49.932699999999997</v>
      </c>
      <c r="D3723" t="s">
        <v>6592</v>
      </c>
      <c r="E3723" t="s">
        <v>6631</v>
      </c>
      <c r="F3723" t="s">
        <v>6632</v>
      </c>
      <c r="G3723" t="s">
        <v>6633</v>
      </c>
      <c r="H3723" s="460">
        <v>403.85138000000001</v>
      </c>
      <c r="I3723" s="460">
        <v>14.52061</v>
      </c>
      <c r="J3723" s="460">
        <v>49.932699999999997</v>
      </c>
      <c r="K3723" s="460">
        <v>5588.7752499999997</v>
      </c>
      <c r="L3723" s="459" t="s">
        <v>539</v>
      </c>
      <c r="O3723">
        <v>13.48016</v>
      </c>
      <c r="P3723" t="s">
        <v>10433</v>
      </c>
    </row>
    <row r="3724" spans="1:16" ht="14.4" x14ac:dyDescent="0.3">
      <c r="A3724">
        <v>526500</v>
      </c>
      <c r="B3724" t="str">
        <f t="shared" si="116"/>
        <v>SEVROLL 06124 listwa pozioma górna 3m czarny lakier strukturalny</v>
      </c>
      <c r="C3724" s="185">
        <f t="shared" si="117"/>
        <v>63.7134</v>
      </c>
      <c r="D3724" t="s">
        <v>6593</v>
      </c>
      <c r="E3724" t="s">
        <v>6634</v>
      </c>
      <c r="F3724" t="s">
        <v>6635</v>
      </c>
      <c r="G3724" t="s">
        <v>6636</v>
      </c>
      <c r="H3724" s="460">
        <v>515.30856000000006</v>
      </c>
      <c r="I3724" s="460">
        <v>18.528089999999999</v>
      </c>
      <c r="J3724" s="460">
        <v>63.7134</v>
      </c>
      <c r="K3724" s="460">
        <v>7131.1972999999998</v>
      </c>
      <c r="L3724" s="459" t="s">
        <v>539</v>
      </c>
      <c r="O3724">
        <v>17.200500000000002</v>
      </c>
      <c r="P3724" t="s">
        <v>10434</v>
      </c>
    </row>
    <row r="3725" spans="1:16" ht="14.4" x14ac:dyDescent="0.3">
      <c r="A3725">
        <v>526501</v>
      </c>
      <c r="B3725" t="str">
        <f t="shared" si="116"/>
        <v>SEVROLL 06125 listwa łącząca H10 3m czarny lakier strukturalny</v>
      </c>
      <c r="C3725" s="185">
        <f t="shared" si="117"/>
        <v>54.406959999999998</v>
      </c>
      <c r="D3725" t="s">
        <v>6594</v>
      </c>
      <c r="E3725" t="s">
        <v>6637</v>
      </c>
      <c r="F3725" t="s">
        <v>6638</v>
      </c>
      <c r="G3725" t="s">
        <v>6639</v>
      </c>
      <c r="H3725" s="460">
        <v>440.03877999999997</v>
      </c>
      <c r="I3725" s="460">
        <v>15.82174</v>
      </c>
      <c r="J3725" s="460">
        <v>54.406959999999998</v>
      </c>
      <c r="K3725" s="460">
        <v>6089.5615900000003</v>
      </c>
      <c r="L3725" s="459" t="s">
        <v>539</v>
      </c>
      <c r="O3725">
        <v>14.68806</v>
      </c>
      <c r="P3725" t="s">
        <v>10435</v>
      </c>
    </row>
    <row r="3726" spans="1:16" ht="14.4" x14ac:dyDescent="0.3">
      <c r="A3726">
        <v>526506</v>
      </c>
      <c r="B3726" t="str">
        <f t="shared" si="116"/>
        <v>SEVROLL 06269 Elegant II tor dolny 1,7 m czarny lakier strukturalny</v>
      </c>
      <c r="C3726" s="185">
        <f t="shared" si="117"/>
        <v>37.315300000000001</v>
      </c>
      <c r="D3726" t="s">
        <v>6595</v>
      </c>
      <c r="E3726" t="s">
        <v>6640</v>
      </c>
      <c r="F3726" t="s">
        <v>6641</v>
      </c>
      <c r="G3726" t="s">
        <v>6642</v>
      </c>
      <c r="H3726" s="460">
        <v>301.80291999999997</v>
      </c>
      <c r="I3726" s="460">
        <v>10.851419999999999</v>
      </c>
      <c r="J3726" s="460">
        <v>37.315300000000001</v>
      </c>
      <c r="K3726" s="460">
        <v>4176.5579900000002</v>
      </c>
      <c r="L3726" s="459" t="s">
        <v>539</v>
      </c>
      <c r="O3726">
        <v>10.07389</v>
      </c>
      <c r="P3726" t="s">
        <v>10436</v>
      </c>
    </row>
    <row r="3727" spans="1:16" ht="14.4" x14ac:dyDescent="0.3">
      <c r="A3727">
        <v>526509</v>
      </c>
      <c r="B3727" t="str">
        <f t="shared" si="116"/>
        <v>SEVROLL 06270 Elegant II tor dolny 2,35 m czarny lakier strukturalny</v>
      </c>
      <c r="C3727" s="185">
        <f t="shared" si="117"/>
        <v>51.274979999999999</v>
      </c>
      <c r="D3727" t="s">
        <v>6596</v>
      </c>
      <c r="E3727" t="s">
        <v>6643</v>
      </c>
      <c r="F3727" t="s">
        <v>6644</v>
      </c>
      <c r="G3727" t="s">
        <v>6645</v>
      </c>
      <c r="H3727" s="460">
        <v>414.70758000000001</v>
      </c>
      <c r="I3727" s="460">
        <v>14.91095</v>
      </c>
      <c r="J3727" s="460">
        <v>51.274979999999999</v>
      </c>
      <c r="K3727" s="460">
        <v>5739.01116</v>
      </c>
      <c r="L3727" s="459" t="s">
        <v>539</v>
      </c>
      <c r="O3727">
        <v>13.84253</v>
      </c>
      <c r="P3727" t="s">
        <v>10437</v>
      </c>
    </row>
    <row r="3728" spans="1:16" ht="14.4" x14ac:dyDescent="0.3">
      <c r="A3728">
        <v>526510</v>
      </c>
      <c r="B3728" t="str">
        <f t="shared" si="116"/>
        <v>SEVROLL 06271 Elegant II tor dolny 3 m czarny lakier strukturalny</v>
      </c>
      <c r="C3728" s="185">
        <f t="shared" si="117"/>
        <v>65.145169999999993</v>
      </c>
      <c r="D3728" t="s">
        <v>6597</v>
      </c>
      <c r="E3728" t="s">
        <v>6646</v>
      </c>
      <c r="F3728" t="s">
        <v>6647</v>
      </c>
      <c r="G3728" t="s">
        <v>6648</v>
      </c>
      <c r="H3728" s="460">
        <v>526.88854000000003</v>
      </c>
      <c r="I3728" s="460">
        <v>18.94445</v>
      </c>
      <c r="J3728" s="460">
        <v>65.145169999999993</v>
      </c>
      <c r="K3728" s="460">
        <v>7291.4487600000002</v>
      </c>
      <c r="L3728" s="459" t="s">
        <v>539</v>
      </c>
      <c r="O3728">
        <v>17.587019999999999</v>
      </c>
      <c r="P3728" t="s">
        <v>10438</v>
      </c>
    </row>
    <row r="3729" spans="1:16" ht="14.4" x14ac:dyDescent="0.3">
      <c r="A3729">
        <v>526511</v>
      </c>
      <c r="B3729" t="str">
        <f t="shared" si="116"/>
        <v>SEVROLL 06272 Elegant II tor dolny 4,05 m czarny lakier strukturalny</v>
      </c>
      <c r="C3729" s="185">
        <f t="shared" si="117"/>
        <v>88.232330000000005</v>
      </c>
      <c r="D3729" t="s">
        <v>6598</v>
      </c>
      <c r="E3729" t="s">
        <v>6649</v>
      </c>
      <c r="F3729" t="s">
        <v>6650</v>
      </c>
      <c r="G3729" t="s">
        <v>6651</v>
      </c>
      <c r="H3729" s="460">
        <v>713.61551999999995</v>
      </c>
      <c r="I3729" s="460">
        <v>25.658280000000001</v>
      </c>
      <c r="J3729" s="460">
        <v>88.232330000000005</v>
      </c>
      <c r="K3729" s="460">
        <v>9875.5060699999995</v>
      </c>
      <c r="L3729" s="459" t="s">
        <v>539</v>
      </c>
      <c r="O3729">
        <v>23.819790000000001</v>
      </c>
      <c r="P3729" t="s">
        <v>10439</v>
      </c>
    </row>
    <row r="3730" spans="1:16" ht="14.4" x14ac:dyDescent="0.3">
      <c r="A3730">
        <v>526512</v>
      </c>
      <c r="B3730" t="str">
        <f t="shared" si="116"/>
        <v>SEVROLL 06128 Elegant II tor dolny 6m czarny lakier strukturalny</v>
      </c>
      <c r="C3730" s="185">
        <f t="shared" si="117"/>
        <v>0</v>
      </c>
      <c r="D3730" t="s">
        <v>6599</v>
      </c>
      <c r="E3730" t="s">
        <v>6652</v>
      </c>
      <c r="F3730" t="s">
        <v>6653</v>
      </c>
      <c r="G3730" t="s">
        <v>6654</v>
      </c>
      <c r="H3730" s="460">
        <v>1054.50082</v>
      </c>
      <c r="I3730" s="460">
        <v>37.914929999999998</v>
      </c>
      <c r="J3730" s="460">
        <v>0</v>
      </c>
      <c r="K3730" s="460">
        <v>14592.91346</v>
      </c>
      <c r="L3730" s="459" t="s">
        <v>539</v>
      </c>
      <c r="O3730">
        <v>35.198210000000003</v>
      </c>
      <c r="P3730" t="s">
        <v>10440</v>
      </c>
    </row>
    <row r="3731" spans="1:16" ht="14.4" x14ac:dyDescent="0.3">
      <c r="A3731">
        <v>526516</v>
      </c>
      <c r="B3731" t="str">
        <f t="shared" si="116"/>
        <v>SEVROLL 06285 Gemini tor górny 1,7 m czarny lakier strukturalny</v>
      </c>
      <c r="C3731" s="185">
        <f t="shared" si="117"/>
        <v>63.265970000000003</v>
      </c>
      <c r="D3731" t="s">
        <v>6600</v>
      </c>
      <c r="E3731" t="s">
        <v>6655</v>
      </c>
      <c r="F3731" t="s">
        <v>6656</v>
      </c>
      <c r="G3731" t="s">
        <v>6657</v>
      </c>
      <c r="H3731" s="460">
        <v>511.68982999999997</v>
      </c>
      <c r="I3731" s="460">
        <v>18.39798</v>
      </c>
      <c r="J3731" s="460">
        <v>63.265970000000003</v>
      </c>
      <c r="K3731" s="460">
        <v>7081.1186600000001</v>
      </c>
      <c r="L3731" s="459" t="s">
        <v>539</v>
      </c>
      <c r="O3731">
        <v>17.079709999999999</v>
      </c>
      <c r="P3731" t="s">
        <v>10441</v>
      </c>
    </row>
    <row r="3732" spans="1:16" ht="14.4" x14ac:dyDescent="0.3">
      <c r="A3732">
        <v>526519</v>
      </c>
      <c r="B3732" t="str">
        <f t="shared" si="116"/>
        <v>SEVROLL 06286 Gemini tor górny 2,35 m czarny lakier strukturalny</v>
      </c>
      <c r="C3732" s="185">
        <f t="shared" si="117"/>
        <v>87.516450000000006</v>
      </c>
      <c r="D3732" t="s">
        <v>6601</v>
      </c>
      <c r="E3732" t="s">
        <v>6658</v>
      </c>
      <c r="F3732" t="s">
        <v>6659</v>
      </c>
      <c r="G3732" t="s">
        <v>6660</v>
      </c>
      <c r="H3732" s="460">
        <v>707.82552999999996</v>
      </c>
      <c r="I3732" s="460">
        <v>25.450099999999999</v>
      </c>
      <c r="J3732" s="460">
        <v>87.516450000000006</v>
      </c>
      <c r="K3732" s="460">
        <v>9795.3803599999992</v>
      </c>
      <c r="L3732" s="459" t="s">
        <v>539</v>
      </c>
      <c r="O3732">
        <v>23.626519999999999</v>
      </c>
      <c r="P3732" t="s">
        <v>10442</v>
      </c>
    </row>
    <row r="3733" spans="1:16" ht="14.4" x14ac:dyDescent="0.3">
      <c r="A3733">
        <v>526520</v>
      </c>
      <c r="B3733" t="str">
        <f t="shared" si="116"/>
        <v>SEVROLL 06287 Gemini tor górny 3 m czarny lakier strukturalny</v>
      </c>
      <c r="C3733" s="185">
        <f t="shared" si="117"/>
        <v>111.67742</v>
      </c>
      <c r="D3733" t="s">
        <v>6602</v>
      </c>
      <c r="E3733" t="s">
        <v>6661</v>
      </c>
      <c r="F3733" t="s">
        <v>6662</v>
      </c>
      <c r="G3733" t="s">
        <v>6663</v>
      </c>
      <c r="H3733" s="460">
        <v>903.23748000000001</v>
      </c>
      <c r="I3733" s="460">
        <v>32.476199999999999</v>
      </c>
      <c r="J3733" s="460">
        <v>111.67742</v>
      </c>
      <c r="K3733" s="460">
        <v>12499.626490000001</v>
      </c>
      <c r="L3733" s="459" t="s">
        <v>539</v>
      </c>
      <c r="O3733">
        <v>30.149180000000001</v>
      </c>
      <c r="P3733" t="s">
        <v>10443</v>
      </c>
    </row>
    <row r="3734" spans="1:16" ht="14.4" x14ac:dyDescent="0.3">
      <c r="A3734">
        <v>526521</v>
      </c>
      <c r="B3734" t="str">
        <f t="shared" si="116"/>
        <v>SEVROLL 06288 Gemini tor górny 4,05 m czarny lakier strukturalny</v>
      </c>
      <c r="C3734" s="185">
        <f t="shared" si="117"/>
        <v>150.78242</v>
      </c>
      <c r="D3734" t="s">
        <v>6603</v>
      </c>
      <c r="E3734" t="s">
        <v>6664</v>
      </c>
      <c r="F3734" t="s">
        <v>6665</v>
      </c>
      <c r="G3734" t="s">
        <v>6666</v>
      </c>
      <c r="H3734" s="460">
        <v>1219.5153600000001</v>
      </c>
      <c r="I3734" s="460">
        <v>43.848080000000003</v>
      </c>
      <c r="J3734" s="460">
        <v>150.78242</v>
      </c>
      <c r="K3734" s="460">
        <v>16876.499019999999</v>
      </c>
      <c r="L3734" s="459" t="s">
        <v>539</v>
      </c>
      <c r="O3734">
        <v>40.706229999999998</v>
      </c>
      <c r="P3734" t="s">
        <v>10444</v>
      </c>
    </row>
    <row r="3735" spans="1:16" ht="14.4" x14ac:dyDescent="0.3">
      <c r="A3735">
        <v>526522</v>
      </c>
      <c r="B3735" t="str">
        <f t="shared" si="116"/>
        <v>SEVROLL 06154 Gemini tor górny 6m czarny lakier strukturalny</v>
      </c>
      <c r="C3735" s="185">
        <f t="shared" si="117"/>
        <v>0</v>
      </c>
      <c r="D3735" t="s">
        <v>6604</v>
      </c>
      <c r="E3735" t="s">
        <v>6667</v>
      </c>
      <c r="F3735" t="s">
        <v>6668</v>
      </c>
      <c r="G3735" t="s">
        <v>6669</v>
      </c>
      <c r="H3735" s="460">
        <v>1806.47497</v>
      </c>
      <c r="I3735" s="460">
        <v>64.95241</v>
      </c>
      <c r="J3735" s="460">
        <v>0</v>
      </c>
      <c r="K3735" s="460">
        <v>24999.252980000001</v>
      </c>
      <c r="L3735" s="459" t="s">
        <v>539</v>
      </c>
      <c r="O3735">
        <v>60.298369999999998</v>
      </c>
      <c r="P3735" t="s">
        <v>10445</v>
      </c>
    </row>
    <row r="3736" spans="1:16" ht="14.4" x14ac:dyDescent="0.3">
      <c r="A3736">
        <v>526524</v>
      </c>
      <c r="B3736" t="str">
        <f t="shared" si="116"/>
        <v>SEVROLL 06301 zaślepka do toru Elegant II 1,7m czarny lakier strukturalny</v>
      </c>
      <c r="C3736" s="185">
        <f t="shared" si="117"/>
        <v>11.454090000000001</v>
      </c>
      <c r="D3736" t="s">
        <v>6605</v>
      </c>
      <c r="E3736" t="s">
        <v>6670</v>
      </c>
      <c r="F3736" t="s">
        <v>6671</v>
      </c>
      <c r="G3736" t="s">
        <v>6672</v>
      </c>
      <c r="H3736" s="460">
        <v>92.639750000000006</v>
      </c>
      <c r="I3736" s="460">
        <v>3.3308900000000001</v>
      </c>
      <c r="J3736" s="460">
        <v>11.454090000000001</v>
      </c>
      <c r="K3736" s="460">
        <v>1282.0129099999999</v>
      </c>
      <c r="L3736" s="459" t="s">
        <v>539</v>
      </c>
      <c r="O3736">
        <v>3.0922200000000002</v>
      </c>
      <c r="P3736" t="s">
        <v>10446</v>
      </c>
    </row>
    <row r="3737" spans="1:16" ht="14.4" x14ac:dyDescent="0.3">
      <c r="A3737">
        <v>526525</v>
      </c>
      <c r="B3737" t="str">
        <f t="shared" si="116"/>
        <v>SEVROLL 06302 zaślepka do toru Elegant II 2,35m czarny lakier strukturalny</v>
      </c>
      <c r="C3737" s="185">
        <f t="shared" si="117"/>
        <v>15.83888</v>
      </c>
      <c r="D3737" t="s">
        <v>6606</v>
      </c>
      <c r="E3737" t="s">
        <v>6673</v>
      </c>
      <c r="F3737" t="s">
        <v>6674</v>
      </c>
      <c r="G3737" t="s">
        <v>6675</v>
      </c>
      <c r="H3737" s="460">
        <v>128.10339999999999</v>
      </c>
      <c r="I3737" s="460">
        <v>4.6059999999999999</v>
      </c>
      <c r="J3737" s="460">
        <v>15.83888</v>
      </c>
      <c r="K3737" s="460">
        <v>1772.7836600000001</v>
      </c>
      <c r="L3737" s="459" t="s">
        <v>539</v>
      </c>
      <c r="O3737">
        <v>4.27597</v>
      </c>
      <c r="P3737" t="s">
        <v>10447</v>
      </c>
    </row>
    <row r="3738" spans="1:16" ht="14.4" x14ac:dyDescent="0.3">
      <c r="A3738">
        <v>526526</v>
      </c>
      <c r="B3738" t="str">
        <f t="shared" si="116"/>
        <v>SEVROLL 06303 maskownica do toru Elegant II 3m czarny lakier strukturalny</v>
      </c>
      <c r="C3738" s="185">
        <f t="shared" si="117"/>
        <v>20.22364</v>
      </c>
      <c r="D3738" t="s">
        <v>6607</v>
      </c>
      <c r="E3738" t="s">
        <v>6676</v>
      </c>
      <c r="F3738" t="s">
        <v>6677</v>
      </c>
      <c r="G3738" t="s">
        <v>6678</v>
      </c>
      <c r="H3738" s="460">
        <v>163.56704999999999</v>
      </c>
      <c r="I3738" s="460">
        <v>5.8811099999999996</v>
      </c>
      <c r="J3738" s="460">
        <v>20.22364</v>
      </c>
      <c r="K3738" s="460">
        <v>2263.5540099999998</v>
      </c>
      <c r="L3738" s="459" t="s">
        <v>539</v>
      </c>
      <c r="O3738">
        <v>5.4597100000000003</v>
      </c>
      <c r="P3738" t="s">
        <v>10448</v>
      </c>
    </row>
    <row r="3739" spans="1:16" ht="14.4" x14ac:dyDescent="0.3">
      <c r="A3739">
        <v>526527</v>
      </c>
      <c r="B3739" t="str">
        <f t="shared" si="116"/>
        <v>SEVROLL 06304 zaślepka do toru Elegant II 4,05m czarny lakier strukturalny</v>
      </c>
      <c r="C3739" s="185">
        <f t="shared" si="117"/>
        <v>27.29297</v>
      </c>
      <c r="D3739" t="s">
        <v>6608</v>
      </c>
      <c r="E3739" t="s">
        <v>6679</v>
      </c>
      <c r="F3739" t="s">
        <v>6680</v>
      </c>
      <c r="G3739" t="s">
        <v>6681</v>
      </c>
      <c r="H3739" s="460">
        <v>220.74315000000001</v>
      </c>
      <c r="I3739" s="460">
        <v>7.93689</v>
      </c>
      <c r="J3739" s="460">
        <v>27.29297</v>
      </c>
      <c r="K3739" s="460">
        <v>3054.79655</v>
      </c>
      <c r="L3739" s="459" t="s">
        <v>539</v>
      </c>
      <c r="O3739">
        <v>7.3681900000000002</v>
      </c>
      <c r="P3739" t="s">
        <v>10449</v>
      </c>
    </row>
    <row r="3740" spans="1:16" ht="14.4" x14ac:dyDescent="0.3">
      <c r="A3740">
        <v>526528</v>
      </c>
      <c r="B3740" t="str">
        <f t="shared" si="116"/>
        <v>SEVROLL 06157 maskownica do toru Elegant II 6m czarny lakier strukturalny</v>
      </c>
      <c r="C3740" s="185">
        <f t="shared" si="117"/>
        <v>0</v>
      </c>
      <c r="D3740" t="s">
        <v>6609</v>
      </c>
      <c r="E3740" t="s">
        <v>6682</v>
      </c>
      <c r="F3740" t="s">
        <v>6683</v>
      </c>
      <c r="G3740" t="s">
        <v>6684</v>
      </c>
      <c r="H3740" s="460">
        <v>327.13407999999998</v>
      </c>
      <c r="I3740" s="460">
        <v>11.762219999999999</v>
      </c>
      <c r="J3740" s="460">
        <v>0</v>
      </c>
      <c r="K3740" s="460">
        <v>4527.1084300000002</v>
      </c>
      <c r="L3740" s="459" t="s">
        <v>539</v>
      </c>
      <c r="O3740">
        <v>10.919420000000001</v>
      </c>
      <c r="P3740" t="s">
        <v>10450</v>
      </c>
    </row>
    <row r="3741" spans="1:16" ht="14.4" x14ac:dyDescent="0.3">
      <c r="A3741">
        <v>525015</v>
      </c>
      <c r="B3741" t="str">
        <f t="shared" si="116"/>
        <v>SEVROLL 06370 Gemini rączka 2,7m czarny lakier strukturalny</v>
      </c>
      <c r="C3741" s="185">
        <f t="shared" si="117"/>
        <v>84.473960000000005</v>
      </c>
      <c r="D3741" t="s">
        <v>6610</v>
      </c>
      <c r="E3741" t="s">
        <v>6685</v>
      </c>
      <c r="F3741" t="s">
        <v>6686</v>
      </c>
      <c r="G3741" t="s">
        <v>6687</v>
      </c>
      <c r="H3741" s="460">
        <v>683.21807999999999</v>
      </c>
      <c r="I3741" s="460">
        <v>24.565329999999999</v>
      </c>
      <c r="J3741" s="460">
        <v>84.473960000000005</v>
      </c>
      <c r="K3741" s="460">
        <v>9454.8458900000005</v>
      </c>
      <c r="L3741" s="459" t="s">
        <v>539</v>
      </c>
      <c r="O3741">
        <v>22.805150000000001</v>
      </c>
      <c r="P3741" t="s">
        <v>10451</v>
      </c>
    </row>
    <row r="3742" spans="1:16" ht="14.4" x14ac:dyDescent="0.3">
      <c r="A3742">
        <v>526476</v>
      </c>
      <c r="B3742" t="str">
        <f t="shared" si="116"/>
        <v>SEVROLL 06439 listwa pozioma dolna 1,7m 10mm czarny lakier strukturalny</v>
      </c>
      <c r="C3742" s="185">
        <f t="shared" si="117"/>
        <v>65.503110000000007</v>
      </c>
      <c r="D3742" t="s">
        <v>6588</v>
      </c>
      <c r="E3742" t="s">
        <v>6619</v>
      </c>
      <c r="F3742" t="s">
        <v>6620</v>
      </c>
      <c r="G3742" t="s">
        <v>6621</v>
      </c>
      <c r="H3742" s="460">
        <v>529.78351999999995</v>
      </c>
      <c r="I3742" s="460">
        <v>19.048539999999999</v>
      </c>
      <c r="J3742" s="460">
        <v>65.503110000000007</v>
      </c>
      <c r="K3742" s="460">
        <v>7331.51181</v>
      </c>
      <c r="L3742" s="459" t="s">
        <v>539</v>
      </c>
      <c r="O3742">
        <v>17.68366</v>
      </c>
      <c r="P3742" t="s">
        <v>10429</v>
      </c>
    </row>
    <row r="3743" spans="1:16" ht="14.4" x14ac:dyDescent="0.3">
      <c r="A3743">
        <v>526477</v>
      </c>
      <c r="B3743" t="str">
        <f t="shared" si="116"/>
        <v>SEVROLL 06440 listwa pozioma dolna 2,35m 10mm czarny lakier strukturalny</v>
      </c>
      <c r="C3743" s="185">
        <f t="shared" si="117"/>
        <v>90.469449999999995</v>
      </c>
      <c r="D3743" t="s">
        <v>6589</v>
      </c>
      <c r="E3743" t="s">
        <v>6622</v>
      </c>
      <c r="F3743" t="s">
        <v>6623</v>
      </c>
      <c r="G3743" t="s">
        <v>6624</v>
      </c>
      <c r="H3743" s="460">
        <v>731.70920999999998</v>
      </c>
      <c r="I3743" s="460">
        <v>26.30885</v>
      </c>
      <c r="J3743" s="460">
        <v>90.469449999999995</v>
      </c>
      <c r="K3743" s="460">
        <v>10125.899240000001</v>
      </c>
      <c r="L3743" s="459" t="s">
        <v>539</v>
      </c>
      <c r="O3743">
        <v>24.423739999999999</v>
      </c>
      <c r="P3743" t="s">
        <v>10430</v>
      </c>
    </row>
    <row r="3744" spans="1:16" ht="14.4" x14ac:dyDescent="0.3">
      <c r="A3744">
        <v>526478</v>
      </c>
      <c r="B3744" t="str">
        <f t="shared" si="116"/>
        <v>SEVROLL 06123 listaw pozioma dolna 3m 10mm czarny lakier strukturalny</v>
      </c>
      <c r="C3744" s="185">
        <f t="shared" si="117"/>
        <v>115.79375</v>
      </c>
      <c r="D3744" t="s">
        <v>6590</v>
      </c>
      <c r="E3744" t="s">
        <v>6625</v>
      </c>
      <c r="F3744" t="s">
        <v>6626</v>
      </c>
      <c r="G3744" t="s">
        <v>6627</v>
      </c>
      <c r="H3744" s="460">
        <v>936.52988000000005</v>
      </c>
      <c r="I3744" s="460">
        <v>33.67324</v>
      </c>
      <c r="J3744" s="460">
        <v>115.79375</v>
      </c>
      <c r="K3744" s="460">
        <v>12960.35014</v>
      </c>
      <c r="L3744" s="459" t="s">
        <v>539</v>
      </c>
      <c r="O3744">
        <v>31.260449999999999</v>
      </c>
      <c r="P3744" t="s">
        <v>10431</v>
      </c>
    </row>
    <row r="3745" spans="1:16" ht="14.4" x14ac:dyDescent="0.3">
      <c r="A3745">
        <v>526496</v>
      </c>
      <c r="B3745" t="str">
        <f t="shared" si="116"/>
        <v>SEVROLL 06441 listwa pozioma górna 1,7m czarny lakier strukturalny</v>
      </c>
      <c r="C3745" s="185">
        <f t="shared" si="117"/>
        <v>36.062510000000003</v>
      </c>
      <c r="D3745" t="s">
        <v>6591</v>
      </c>
      <c r="E3745" t="s">
        <v>6628</v>
      </c>
      <c r="F3745" t="s">
        <v>6629</v>
      </c>
      <c r="G3745" t="s">
        <v>6630</v>
      </c>
      <c r="H3745" s="460">
        <v>291.67043000000001</v>
      </c>
      <c r="I3745" s="460">
        <v>10.487109999999999</v>
      </c>
      <c r="J3745" s="460">
        <v>36.062510000000003</v>
      </c>
      <c r="K3745" s="460">
        <v>4036.3376800000001</v>
      </c>
      <c r="L3745" s="459" t="s">
        <v>539</v>
      </c>
      <c r="O3745">
        <v>9.7356700000000007</v>
      </c>
      <c r="P3745" t="s">
        <v>10432</v>
      </c>
    </row>
    <row r="3746" spans="1:16" ht="14.4" x14ac:dyDescent="0.3">
      <c r="A3746">
        <v>526497</v>
      </c>
      <c r="B3746" t="str">
        <f t="shared" si="116"/>
        <v>SEVROLL 06442 listwa pozioma górna 2,35m czarny lakier strukturalny</v>
      </c>
      <c r="C3746" s="185">
        <f t="shared" si="117"/>
        <v>49.932699999999997</v>
      </c>
      <c r="D3746" t="s">
        <v>6592</v>
      </c>
      <c r="E3746" t="s">
        <v>6631</v>
      </c>
      <c r="F3746" t="s">
        <v>6632</v>
      </c>
      <c r="G3746" t="s">
        <v>6633</v>
      </c>
      <c r="H3746" s="460">
        <v>403.85138000000001</v>
      </c>
      <c r="I3746" s="460">
        <v>14.52061</v>
      </c>
      <c r="J3746" s="460">
        <v>49.932699999999997</v>
      </c>
      <c r="K3746" s="460">
        <v>5588.7752499999997</v>
      </c>
      <c r="L3746" s="459" t="s">
        <v>539</v>
      </c>
      <c r="O3746">
        <v>13.48016</v>
      </c>
      <c r="P3746" t="s">
        <v>10433</v>
      </c>
    </row>
    <row r="3747" spans="1:16" ht="14.4" x14ac:dyDescent="0.3">
      <c r="A3747">
        <v>526500</v>
      </c>
      <c r="B3747" t="str">
        <f t="shared" si="116"/>
        <v>SEVROLL 06124 listwa pozioma górna 3m czarny lakier strukturalny</v>
      </c>
      <c r="C3747" s="185">
        <f t="shared" si="117"/>
        <v>63.7134</v>
      </c>
      <c r="D3747" t="s">
        <v>6593</v>
      </c>
      <c r="E3747" t="s">
        <v>6634</v>
      </c>
      <c r="F3747" t="s">
        <v>6635</v>
      </c>
      <c r="G3747" t="s">
        <v>6636</v>
      </c>
      <c r="H3747" s="460">
        <v>515.30856000000006</v>
      </c>
      <c r="I3747" s="460">
        <v>18.528089999999999</v>
      </c>
      <c r="J3747" s="460">
        <v>63.7134</v>
      </c>
      <c r="K3747" s="460">
        <v>7131.1972999999998</v>
      </c>
      <c r="L3747" s="459" t="s">
        <v>539</v>
      </c>
      <c r="O3747">
        <v>17.200500000000002</v>
      </c>
      <c r="P3747" t="s">
        <v>10434</v>
      </c>
    </row>
    <row r="3748" spans="1:16" ht="14.4" x14ac:dyDescent="0.3">
      <c r="A3748">
        <v>526501</v>
      </c>
      <c r="B3748" t="str">
        <f t="shared" si="116"/>
        <v>SEVROLL 06125 listwa łącząca H10 3m czarny lakier strukturalny</v>
      </c>
      <c r="C3748" s="185">
        <f t="shared" si="117"/>
        <v>54.406959999999998</v>
      </c>
      <c r="D3748" t="s">
        <v>6594</v>
      </c>
      <c r="E3748" t="s">
        <v>6637</v>
      </c>
      <c r="F3748" t="s">
        <v>6638</v>
      </c>
      <c r="G3748" t="s">
        <v>6639</v>
      </c>
      <c r="H3748" s="460">
        <v>440.03877999999997</v>
      </c>
      <c r="I3748" s="460">
        <v>15.82174</v>
      </c>
      <c r="J3748" s="460">
        <v>54.406959999999998</v>
      </c>
      <c r="K3748" s="460">
        <v>6089.5615900000003</v>
      </c>
      <c r="L3748" s="459" t="s">
        <v>539</v>
      </c>
      <c r="O3748">
        <v>14.68806</v>
      </c>
      <c r="P3748" t="s">
        <v>10435</v>
      </c>
    </row>
    <row r="3749" spans="1:16" ht="14.4" x14ac:dyDescent="0.3">
      <c r="A3749">
        <v>526506</v>
      </c>
      <c r="B3749" t="str">
        <f t="shared" si="116"/>
        <v>SEVROLL 06269 Elegant II tor dolny 1,7 m czarny lakier strukturalny</v>
      </c>
      <c r="C3749" s="185">
        <f t="shared" si="117"/>
        <v>37.315300000000001</v>
      </c>
      <c r="D3749" t="s">
        <v>6595</v>
      </c>
      <c r="E3749" t="s">
        <v>6640</v>
      </c>
      <c r="F3749" t="s">
        <v>6641</v>
      </c>
      <c r="G3749" t="s">
        <v>6642</v>
      </c>
      <c r="H3749" s="460">
        <v>301.80291999999997</v>
      </c>
      <c r="I3749" s="460">
        <v>10.851419999999999</v>
      </c>
      <c r="J3749" s="460">
        <v>37.315300000000001</v>
      </c>
      <c r="K3749" s="460">
        <v>4176.5579900000002</v>
      </c>
      <c r="L3749" s="459" t="s">
        <v>539</v>
      </c>
      <c r="O3749">
        <v>10.07389</v>
      </c>
      <c r="P3749" t="s">
        <v>10436</v>
      </c>
    </row>
    <row r="3750" spans="1:16" ht="14.4" x14ac:dyDescent="0.3">
      <c r="A3750">
        <v>526509</v>
      </c>
      <c r="B3750" t="str">
        <f t="shared" si="116"/>
        <v>SEVROLL 06270 Elegant II tor dolny 2,35 m czarny lakier strukturalny</v>
      </c>
      <c r="C3750" s="185">
        <f t="shared" si="117"/>
        <v>51.274979999999999</v>
      </c>
      <c r="D3750" t="s">
        <v>6596</v>
      </c>
      <c r="E3750" t="s">
        <v>6643</v>
      </c>
      <c r="F3750" t="s">
        <v>6644</v>
      </c>
      <c r="G3750" t="s">
        <v>6645</v>
      </c>
      <c r="H3750" s="460">
        <v>414.70758000000001</v>
      </c>
      <c r="I3750" s="460">
        <v>14.91095</v>
      </c>
      <c r="J3750" s="460">
        <v>51.274979999999999</v>
      </c>
      <c r="K3750" s="460">
        <v>5739.01116</v>
      </c>
      <c r="L3750" s="459" t="s">
        <v>539</v>
      </c>
      <c r="O3750">
        <v>13.84253</v>
      </c>
      <c r="P3750" t="s">
        <v>10437</v>
      </c>
    </row>
    <row r="3751" spans="1:16" ht="14.4" x14ac:dyDescent="0.3">
      <c r="A3751">
        <v>526510</v>
      </c>
      <c r="B3751" t="str">
        <f t="shared" si="116"/>
        <v>SEVROLL 06271 Elegant II tor dolny 3 m czarny lakier strukturalny</v>
      </c>
      <c r="C3751" s="185">
        <f t="shared" si="117"/>
        <v>65.145169999999993</v>
      </c>
      <c r="D3751" t="s">
        <v>6597</v>
      </c>
      <c r="E3751" t="s">
        <v>6646</v>
      </c>
      <c r="F3751" t="s">
        <v>6647</v>
      </c>
      <c r="G3751" t="s">
        <v>6648</v>
      </c>
      <c r="H3751" s="460">
        <v>526.88854000000003</v>
      </c>
      <c r="I3751" s="460">
        <v>18.94445</v>
      </c>
      <c r="J3751" s="460">
        <v>65.145169999999993</v>
      </c>
      <c r="K3751" s="460">
        <v>7291.4487600000002</v>
      </c>
      <c r="L3751" s="459" t="s">
        <v>539</v>
      </c>
      <c r="O3751">
        <v>17.587019999999999</v>
      </c>
      <c r="P3751" t="s">
        <v>10438</v>
      </c>
    </row>
    <row r="3752" spans="1:16" ht="14.4" x14ac:dyDescent="0.3">
      <c r="A3752">
        <v>526511</v>
      </c>
      <c r="B3752" t="str">
        <f t="shared" si="116"/>
        <v>SEVROLL 06272 Elegant II tor dolny 4,05 m czarny lakier strukturalny</v>
      </c>
      <c r="C3752" s="185">
        <f t="shared" si="117"/>
        <v>88.232330000000005</v>
      </c>
      <c r="D3752" t="s">
        <v>6598</v>
      </c>
      <c r="E3752" t="s">
        <v>6649</v>
      </c>
      <c r="F3752" t="s">
        <v>6650</v>
      </c>
      <c r="G3752" t="s">
        <v>6651</v>
      </c>
      <c r="H3752" s="460">
        <v>713.61551999999995</v>
      </c>
      <c r="I3752" s="460">
        <v>25.658280000000001</v>
      </c>
      <c r="J3752" s="460">
        <v>88.232330000000005</v>
      </c>
      <c r="K3752" s="460">
        <v>9875.5060699999995</v>
      </c>
      <c r="L3752" s="459" t="s">
        <v>539</v>
      </c>
      <c r="O3752">
        <v>23.819790000000001</v>
      </c>
      <c r="P3752" t="s">
        <v>10439</v>
      </c>
    </row>
    <row r="3753" spans="1:16" ht="14.4" x14ac:dyDescent="0.3">
      <c r="A3753">
        <v>526512</v>
      </c>
      <c r="B3753" t="str">
        <f t="shared" si="116"/>
        <v>SEVROLL 06128 Elegant II tor dolny 6m czarny lakier strukturalny</v>
      </c>
      <c r="C3753" s="185">
        <f t="shared" si="117"/>
        <v>0</v>
      </c>
      <c r="D3753" t="s">
        <v>6599</v>
      </c>
      <c r="E3753" t="s">
        <v>6652</v>
      </c>
      <c r="F3753" t="s">
        <v>6653</v>
      </c>
      <c r="G3753" t="s">
        <v>6654</v>
      </c>
      <c r="H3753" s="460">
        <v>1054.50082</v>
      </c>
      <c r="I3753" s="460">
        <v>37.914929999999998</v>
      </c>
      <c r="J3753" s="460">
        <v>0</v>
      </c>
      <c r="K3753" s="460">
        <v>14592.91346</v>
      </c>
      <c r="L3753" s="459" t="s">
        <v>539</v>
      </c>
      <c r="O3753">
        <v>35.198210000000003</v>
      </c>
      <c r="P3753" t="s">
        <v>10440</v>
      </c>
    </row>
    <row r="3754" spans="1:16" ht="14.4" x14ac:dyDescent="0.3">
      <c r="A3754">
        <v>526516</v>
      </c>
      <c r="B3754" t="str">
        <f t="shared" si="116"/>
        <v>SEVROLL 06285 Gemini tor górny 1,7 m czarny lakier strukturalny</v>
      </c>
      <c r="C3754" s="185">
        <f t="shared" si="117"/>
        <v>63.265970000000003</v>
      </c>
      <c r="D3754" t="s">
        <v>6600</v>
      </c>
      <c r="E3754" t="s">
        <v>6655</v>
      </c>
      <c r="F3754" t="s">
        <v>6656</v>
      </c>
      <c r="G3754" t="s">
        <v>6657</v>
      </c>
      <c r="H3754" s="460">
        <v>511.68982999999997</v>
      </c>
      <c r="I3754" s="460">
        <v>18.39798</v>
      </c>
      <c r="J3754" s="460">
        <v>63.265970000000003</v>
      </c>
      <c r="K3754" s="460">
        <v>7081.1186600000001</v>
      </c>
      <c r="L3754" s="459" t="s">
        <v>539</v>
      </c>
      <c r="O3754">
        <v>17.079709999999999</v>
      </c>
      <c r="P3754" t="s">
        <v>10441</v>
      </c>
    </row>
    <row r="3755" spans="1:16" ht="14.4" x14ac:dyDescent="0.3">
      <c r="A3755">
        <v>526519</v>
      </c>
      <c r="B3755" t="str">
        <f t="shared" si="116"/>
        <v>SEVROLL 06286 Gemini tor górny 2,35 m czarny lakier strukturalny</v>
      </c>
      <c r="C3755" s="185">
        <f t="shared" si="117"/>
        <v>87.516450000000006</v>
      </c>
      <c r="D3755" t="s">
        <v>6601</v>
      </c>
      <c r="E3755" t="s">
        <v>6658</v>
      </c>
      <c r="F3755" t="s">
        <v>6659</v>
      </c>
      <c r="G3755" t="s">
        <v>6660</v>
      </c>
      <c r="H3755" s="460">
        <v>707.82552999999996</v>
      </c>
      <c r="I3755" s="460">
        <v>25.450099999999999</v>
      </c>
      <c r="J3755" s="460">
        <v>87.516450000000006</v>
      </c>
      <c r="K3755" s="460">
        <v>9795.3803599999992</v>
      </c>
      <c r="L3755" s="459" t="s">
        <v>539</v>
      </c>
      <c r="O3755">
        <v>23.626519999999999</v>
      </c>
      <c r="P3755" t="s">
        <v>10442</v>
      </c>
    </row>
    <row r="3756" spans="1:16" ht="14.4" x14ac:dyDescent="0.3">
      <c r="A3756">
        <v>526520</v>
      </c>
      <c r="B3756" t="str">
        <f t="shared" si="116"/>
        <v>SEVROLL 06287 Gemini tor górny 3 m czarny lakier strukturalny</v>
      </c>
      <c r="C3756" s="185">
        <f t="shared" si="117"/>
        <v>111.67742</v>
      </c>
      <c r="D3756" t="s">
        <v>6602</v>
      </c>
      <c r="E3756" t="s">
        <v>6661</v>
      </c>
      <c r="F3756" t="s">
        <v>6662</v>
      </c>
      <c r="G3756" t="s">
        <v>6663</v>
      </c>
      <c r="H3756" s="460">
        <v>903.23748000000001</v>
      </c>
      <c r="I3756" s="460">
        <v>32.476199999999999</v>
      </c>
      <c r="J3756" s="460">
        <v>111.67742</v>
      </c>
      <c r="K3756" s="460">
        <v>12499.626490000001</v>
      </c>
      <c r="L3756" s="459" t="s">
        <v>539</v>
      </c>
      <c r="O3756">
        <v>30.149180000000001</v>
      </c>
      <c r="P3756" t="s">
        <v>10443</v>
      </c>
    </row>
    <row r="3757" spans="1:16" ht="14.4" x14ac:dyDescent="0.3">
      <c r="A3757">
        <v>526521</v>
      </c>
      <c r="B3757" t="str">
        <f t="shared" si="116"/>
        <v>SEVROLL 06288 Gemini tor górny 4,05 m czarny lakier strukturalny</v>
      </c>
      <c r="C3757" s="185">
        <f t="shared" si="117"/>
        <v>150.78242</v>
      </c>
      <c r="D3757" t="s">
        <v>6603</v>
      </c>
      <c r="E3757" t="s">
        <v>6664</v>
      </c>
      <c r="F3757" t="s">
        <v>6665</v>
      </c>
      <c r="G3757" t="s">
        <v>6666</v>
      </c>
      <c r="H3757" s="460">
        <v>1219.5153600000001</v>
      </c>
      <c r="I3757" s="460">
        <v>43.848080000000003</v>
      </c>
      <c r="J3757" s="460">
        <v>150.78242</v>
      </c>
      <c r="K3757" s="460">
        <v>16876.499019999999</v>
      </c>
      <c r="L3757" s="459" t="s">
        <v>539</v>
      </c>
      <c r="O3757">
        <v>40.706229999999998</v>
      </c>
      <c r="P3757" t="s">
        <v>10444</v>
      </c>
    </row>
    <row r="3758" spans="1:16" ht="14.4" x14ac:dyDescent="0.3">
      <c r="A3758">
        <v>526522</v>
      </c>
      <c r="B3758" t="str">
        <f t="shared" si="116"/>
        <v>SEVROLL 06154 Gemini tor górny 6m czarny lakier strukturalny</v>
      </c>
      <c r="C3758" s="185">
        <f t="shared" si="117"/>
        <v>0</v>
      </c>
      <c r="D3758" t="s">
        <v>6604</v>
      </c>
      <c r="E3758" t="s">
        <v>6667</v>
      </c>
      <c r="F3758" t="s">
        <v>6668</v>
      </c>
      <c r="G3758" t="s">
        <v>6669</v>
      </c>
      <c r="H3758" s="460">
        <v>1806.47497</v>
      </c>
      <c r="I3758" s="460">
        <v>64.95241</v>
      </c>
      <c r="J3758" s="460">
        <v>0</v>
      </c>
      <c r="K3758" s="460">
        <v>24999.252980000001</v>
      </c>
      <c r="L3758" s="459" t="s">
        <v>539</v>
      </c>
      <c r="O3758">
        <v>60.298369999999998</v>
      </c>
      <c r="P3758" t="s">
        <v>10445</v>
      </c>
    </row>
    <row r="3759" spans="1:16" ht="14.4" x14ac:dyDescent="0.3">
      <c r="A3759">
        <v>526524</v>
      </c>
      <c r="B3759" t="str">
        <f t="shared" si="116"/>
        <v>SEVROLL 06301 zaślepka do toru Elegant II 1,7m czarny lakier strukturalny</v>
      </c>
      <c r="C3759" s="185">
        <f t="shared" si="117"/>
        <v>11.454090000000001</v>
      </c>
      <c r="D3759" t="s">
        <v>6605</v>
      </c>
      <c r="E3759" t="s">
        <v>6670</v>
      </c>
      <c r="F3759" t="s">
        <v>6671</v>
      </c>
      <c r="G3759" t="s">
        <v>6672</v>
      </c>
      <c r="H3759" s="460">
        <v>92.639750000000006</v>
      </c>
      <c r="I3759" s="460">
        <v>3.3308900000000001</v>
      </c>
      <c r="J3759" s="460">
        <v>11.454090000000001</v>
      </c>
      <c r="K3759" s="460">
        <v>1282.0129099999999</v>
      </c>
      <c r="L3759" s="459" t="s">
        <v>539</v>
      </c>
      <c r="O3759">
        <v>3.0922200000000002</v>
      </c>
      <c r="P3759" t="s">
        <v>10446</v>
      </c>
    </row>
    <row r="3760" spans="1:16" ht="14.4" x14ac:dyDescent="0.3">
      <c r="A3760">
        <v>526525</v>
      </c>
      <c r="B3760" t="str">
        <f t="shared" si="116"/>
        <v>SEVROLL 06302 zaślepka do toru Elegant II 2,35m czarny lakier strukturalny</v>
      </c>
      <c r="C3760" s="185">
        <f t="shared" si="117"/>
        <v>15.83888</v>
      </c>
      <c r="D3760" t="s">
        <v>6606</v>
      </c>
      <c r="E3760" t="s">
        <v>6673</v>
      </c>
      <c r="F3760" t="s">
        <v>6674</v>
      </c>
      <c r="G3760" t="s">
        <v>6675</v>
      </c>
      <c r="H3760" s="460">
        <v>128.10339999999999</v>
      </c>
      <c r="I3760" s="460">
        <v>4.6059999999999999</v>
      </c>
      <c r="J3760" s="460">
        <v>15.83888</v>
      </c>
      <c r="K3760" s="460">
        <v>1772.7836600000001</v>
      </c>
      <c r="L3760" s="459" t="s">
        <v>539</v>
      </c>
      <c r="O3760">
        <v>4.27597</v>
      </c>
      <c r="P3760" t="s">
        <v>10447</v>
      </c>
    </row>
    <row r="3761" spans="1:16" ht="14.4" x14ac:dyDescent="0.3">
      <c r="A3761">
        <v>526526</v>
      </c>
      <c r="B3761" t="str">
        <f t="shared" si="116"/>
        <v>SEVROLL 06303 maskownica do toru Elegant II 3m czarny lakier strukturalny</v>
      </c>
      <c r="C3761" s="185">
        <f t="shared" si="117"/>
        <v>20.22364</v>
      </c>
      <c r="D3761" t="s">
        <v>6607</v>
      </c>
      <c r="E3761" t="s">
        <v>6676</v>
      </c>
      <c r="F3761" t="s">
        <v>6677</v>
      </c>
      <c r="G3761" t="s">
        <v>6678</v>
      </c>
      <c r="H3761" s="460">
        <v>163.56704999999999</v>
      </c>
      <c r="I3761" s="460">
        <v>5.8811099999999996</v>
      </c>
      <c r="J3761" s="460">
        <v>20.22364</v>
      </c>
      <c r="K3761" s="460">
        <v>2263.5540099999998</v>
      </c>
      <c r="L3761" s="459" t="s">
        <v>539</v>
      </c>
      <c r="O3761">
        <v>5.4597100000000003</v>
      </c>
      <c r="P3761" t="s">
        <v>10448</v>
      </c>
    </row>
    <row r="3762" spans="1:16" ht="14.4" x14ac:dyDescent="0.3">
      <c r="A3762">
        <v>526527</v>
      </c>
      <c r="B3762" t="str">
        <f t="shared" si="116"/>
        <v>SEVROLL 06304 zaślepka do toru Elegant II 4,05m czarny lakier strukturalny</v>
      </c>
      <c r="C3762" s="185">
        <f t="shared" si="117"/>
        <v>27.29297</v>
      </c>
      <c r="D3762" t="s">
        <v>6608</v>
      </c>
      <c r="E3762" t="s">
        <v>6679</v>
      </c>
      <c r="F3762" t="s">
        <v>6680</v>
      </c>
      <c r="G3762" t="s">
        <v>6681</v>
      </c>
      <c r="H3762" s="460">
        <v>220.74315000000001</v>
      </c>
      <c r="I3762" s="460">
        <v>7.93689</v>
      </c>
      <c r="J3762" s="460">
        <v>27.29297</v>
      </c>
      <c r="K3762" s="460">
        <v>3054.79655</v>
      </c>
      <c r="L3762" s="459" t="s">
        <v>539</v>
      </c>
      <c r="O3762">
        <v>7.3681900000000002</v>
      </c>
      <c r="P3762" t="s">
        <v>10449</v>
      </c>
    </row>
    <row r="3763" spans="1:16" ht="14.4" x14ac:dyDescent="0.3">
      <c r="A3763">
        <v>526528</v>
      </c>
      <c r="B3763" t="str">
        <f t="shared" si="116"/>
        <v>SEVROLL 06157 maskownica do toru Elegant II 6m czarny lakier strukturalny</v>
      </c>
      <c r="C3763" s="185">
        <f t="shared" si="117"/>
        <v>0</v>
      </c>
      <c r="D3763" t="s">
        <v>6609</v>
      </c>
      <c r="E3763" t="s">
        <v>6682</v>
      </c>
      <c r="F3763" t="s">
        <v>6683</v>
      </c>
      <c r="G3763" t="s">
        <v>6684</v>
      </c>
      <c r="H3763" s="460">
        <v>327.13407999999998</v>
      </c>
      <c r="I3763" s="460">
        <v>11.762219999999999</v>
      </c>
      <c r="J3763" s="460">
        <v>0</v>
      </c>
      <c r="K3763" s="460">
        <v>4527.1084300000002</v>
      </c>
      <c r="L3763" s="459" t="s">
        <v>539</v>
      </c>
      <c r="O3763">
        <v>10.919420000000001</v>
      </c>
      <c r="P3763" t="s">
        <v>10450</v>
      </c>
    </row>
    <row r="3764" spans="1:16" ht="14.4" x14ac:dyDescent="0.3">
      <c r="A3764">
        <v>524825</v>
      </c>
      <c r="B3764" t="str">
        <f t="shared" si="116"/>
        <v>SEVROLL 06438 Alfa II rączka 16/18mm 2,7m czarny lakier strukturalny</v>
      </c>
      <c r="C3764" s="185">
        <f t="shared" si="117"/>
        <v>56.554600000000001</v>
      </c>
      <c r="D3764" t="s">
        <v>6611</v>
      </c>
      <c r="E3764" t="s">
        <v>6688</v>
      </c>
      <c r="F3764" t="s">
        <v>6689</v>
      </c>
      <c r="G3764" t="s">
        <v>6690</v>
      </c>
      <c r="H3764" s="460">
        <v>457.40872000000002</v>
      </c>
      <c r="I3764" s="460">
        <v>16.446280000000002</v>
      </c>
      <c r="J3764" s="460">
        <v>56.554600000000001</v>
      </c>
      <c r="K3764" s="460">
        <v>6329.9391800000003</v>
      </c>
      <c r="L3764" s="459" t="s">
        <v>539</v>
      </c>
      <c r="O3764">
        <v>15.267860000000001</v>
      </c>
      <c r="P3764" t="s">
        <v>10452</v>
      </c>
    </row>
    <row r="3765" spans="1:16" ht="14.4" x14ac:dyDescent="0.3">
      <c r="A3765">
        <v>526502</v>
      </c>
      <c r="B3765" t="str">
        <f t="shared" si="116"/>
        <v>SEVROLL 06434 kątownik Mini 17x11mm, 1,7 m czarny lakier strukturalny</v>
      </c>
      <c r="C3765" s="185">
        <f t="shared" si="117"/>
        <v>10.91719</v>
      </c>
      <c r="D3765" t="s">
        <v>6612</v>
      </c>
      <c r="E3765" t="s">
        <v>6691</v>
      </c>
      <c r="F3765" t="s">
        <v>6692</v>
      </c>
      <c r="G3765" t="s">
        <v>6693</v>
      </c>
      <c r="H3765" s="460">
        <v>88.297250000000005</v>
      </c>
      <c r="I3765" s="460">
        <v>3.17476</v>
      </c>
      <c r="J3765" s="460">
        <v>10.91719</v>
      </c>
      <c r="K3765" s="460">
        <v>1221.9187199999999</v>
      </c>
      <c r="L3765" s="459" t="s">
        <v>539</v>
      </c>
      <c r="O3765">
        <v>2.9472800000000001</v>
      </c>
      <c r="P3765" t="s">
        <v>10453</v>
      </c>
    </row>
    <row r="3766" spans="1:16" ht="14.4" x14ac:dyDescent="0.3">
      <c r="A3766">
        <v>526503</v>
      </c>
      <c r="B3766" t="str">
        <f t="shared" si="116"/>
        <v>SEVROLL 06435 kątownik Mini 17x11mm 2,35m czarny lakier strukturalny</v>
      </c>
      <c r="C3766" s="185">
        <f t="shared" si="117"/>
        <v>15.12299</v>
      </c>
      <c r="D3766" t="s">
        <v>6613</v>
      </c>
      <c r="E3766" t="s">
        <v>6694</v>
      </c>
      <c r="F3766" t="s">
        <v>6695</v>
      </c>
      <c r="G3766" t="s">
        <v>6696</v>
      </c>
      <c r="H3766" s="460">
        <v>122.31341</v>
      </c>
      <c r="I3766" s="460">
        <v>4.3978200000000003</v>
      </c>
      <c r="J3766" s="460">
        <v>15.12299</v>
      </c>
      <c r="K3766" s="460">
        <v>1692.6579200000001</v>
      </c>
      <c r="L3766" s="459" t="s">
        <v>539</v>
      </c>
      <c r="O3766">
        <v>4.0827</v>
      </c>
      <c r="P3766" t="s">
        <v>10454</v>
      </c>
    </row>
    <row r="3767" spans="1:16" ht="14.4" x14ac:dyDescent="0.3">
      <c r="A3767">
        <v>526504</v>
      </c>
      <c r="B3767" t="str">
        <f t="shared" si="116"/>
        <v>SEVROLL 06436 kątownik Mini 17x11 mm 3m czarny lakier strukturalny</v>
      </c>
      <c r="C3767" s="185">
        <f t="shared" si="117"/>
        <v>19.328800000000001</v>
      </c>
      <c r="D3767" t="s">
        <v>6614</v>
      </c>
      <c r="E3767" t="s">
        <v>6697</v>
      </c>
      <c r="F3767" t="s">
        <v>6698</v>
      </c>
      <c r="G3767" t="s">
        <v>6699</v>
      </c>
      <c r="H3767" s="460">
        <v>156.32956999999999</v>
      </c>
      <c r="I3767" s="460">
        <v>5.6208799999999997</v>
      </c>
      <c r="J3767" s="460">
        <v>19.328800000000001</v>
      </c>
      <c r="K3767" s="460">
        <v>2163.3967400000001</v>
      </c>
      <c r="L3767" s="459" t="s">
        <v>539</v>
      </c>
      <c r="O3767">
        <v>5.2181300000000004</v>
      </c>
      <c r="P3767" t="s">
        <v>10455</v>
      </c>
    </row>
    <row r="3768" spans="1:16" ht="14.4" x14ac:dyDescent="0.3">
      <c r="A3768">
        <v>526505</v>
      </c>
      <c r="B3768" t="str">
        <f t="shared" si="116"/>
        <v>SEVROLL 06437 listwa łącząca H18 3m czarny lakier strukturalny</v>
      </c>
      <c r="C3768" s="185">
        <f t="shared" si="117"/>
        <v>53.601579999999998</v>
      </c>
      <c r="D3768" t="s">
        <v>6615</v>
      </c>
      <c r="E3768" t="s">
        <v>6700</v>
      </c>
      <c r="F3768" t="s">
        <v>6701</v>
      </c>
      <c r="G3768" t="s">
        <v>6702</v>
      </c>
      <c r="H3768" s="460">
        <v>433.52503999999999</v>
      </c>
      <c r="I3768" s="460">
        <v>15.587540000000001</v>
      </c>
      <c r="J3768" s="460">
        <v>53.601579999999998</v>
      </c>
      <c r="K3768" s="460">
        <v>5999.42029</v>
      </c>
      <c r="L3768" s="459" t="s">
        <v>539</v>
      </c>
      <c r="O3768">
        <v>14.47064</v>
      </c>
      <c r="P3768" t="s">
        <v>10456</v>
      </c>
    </row>
    <row r="3769" spans="1:16" ht="14.4" x14ac:dyDescent="0.3">
      <c r="A3769">
        <v>526506</v>
      </c>
      <c r="B3769" t="str">
        <f t="shared" si="116"/>
        <v>SEVROLL 06269 Elegant II tor dolny 1,7 m czarny lakier strukturalny</v>
      </c>
      <c r="C3769" s="185">
        <f t="shared" si="117"/>
        <v>37.315300000000001</v>
      </c>
      <c r="D3769" t="s">
        <v>6595</v>
      </c>
      <c r="E3769" t="s">
        <v>6640</v>
      </c>
      <c r="F3769" t="s">
        <v>6641</v>
      </c>
      <c r="G3769" t="s">
        <v>6642</v>
      </c>
      <c r="H3769" s="460">
        <v>301.80291999999997</v>
      </c>
      <c r="I3769" s="460">
        <v>10.851419999999999</v>
      </c>
      <c r="J3769" s="460">
        <v>37.315300000000001</v>
      </c>
      <c r="K3769" s="460">
        <v>4176.5579900000002</v>
      </c>
      <c r="L3769" s="459" t="s">
        <v>539</v>
      </c>
      <c r="O3769">
        <v>10.07389</v>
      </c>
      <c r="P3769" t="s">
        <v>10436</v>
      </c>
    </row>
    <row r="3770" spans="1:16" ht="14.4" x14ac:dyDescent="0.3">
      <c r="A3770">
        <v>526509</v>
      </c>
      <c r="B3770" t="str">
        <f t="shared" si="116"/>
        <v>SEVROLL 06270 Elegant II tor dolny 2,35 m czarny lakier strukturalny</v>
      </c>
      <c r="C3770" s="185">
        <f t="shared" si="117"/>
        <v>51.274979999999999</v>
      </c>
      <c r="D3770" t="s">
        <v>6596</v>
      </c>
      <c r="E3770" t="s">
        <v>6643</v>
      </c>
      <c r="F3770" t="s">
        <v>6644</v>
      </c>
      <c r="G3770" t="s">
        <v>6645</v>
      </c>
      <c r="H3770" s="460">
        <v>414.70758000000001</v>
      </c>
      <c r="I3770" s="460">
        <v>14.91095</v>
      </c>
      <c r="J3770" s="460">
        <v>51.274979999999999</v>
      </c>
      <c r="K3770" s="460">
        <v>5739.01116</v>
      </c>
      <c r="L3770" s="459" t="s">
        <v>539</v>
      </c>
      <c r="O3770">
        <v>13.84253</v>
      </c>
      <c r="P3770" t="s">
        <v>10437</v>
      </c>
    </row>
    <row r="3771" spans="1:16" ht="14.4" x14ac:dyDescent="0.3">
      <c r="A3771">
        <v>526510</v>
      </c>
      <c r="B3771" t="str">
        <f t="shared" si="116"/>
        <v>SEVROLL 06271 Elegant II tor dolny 3 m czarny lakier strukturalny</v>
      </c>
      <c r="C3771" s="185">
        <f t="shared" si="117"/>
        <v>65.145169999999993</v>
      </c>
      <c r="D3771" t="s">
        <v>6597</v>
      </c>
      <c r="E3771" t="s">
        <v>6646</v>
      </c>
      <c r="F3771" t="s">
        <v>6647</v>
      </c>
      <c r="G3771" t="s">
        <v>6648</v>
      </c>
      <c r="H3771" s="460">
        <v>526.88854000000003</v>
      </c>
      <c r="I3771" s="460">
        <v>18.94445</v>
      </c>
      <c r="J3771" s="460">
        <v>65.145169999999993</v>
      </c>
      <c r="K3771" s="460">
        <v>7291.4487600000002</v>
      </c>
      <c r="L3771" s="459" t="s">
        <v>539</v>
      </c>
      <c r="O3771">
        <v>17.587019999999999</v>
      </c>
      <c r="P3771" t="s">
        <v>10438</v>
      </c>
    </row>
    <row r="3772" spans="1:16" ht="14.4" x14ac:dyDescent="0.3">
      <c r="A3772">
        <v>526511</v>
      </c>
      <c r="B3772" t="str">
        <f t="shared" si="116"/>
        <v>SEVROLL 06272 Elegant II tor dolny 4,05 m czarny lakier strukturalny</v>
      </c>
      <c r="C3772" s="185">
        <f t="shared" si="117"/>
        <v>88.232330000000005</v>
      </c>
      <c r="D3772" t="s">
        <v>6598</v>
      </c>
      <c r="E3772" t="s">
        <v>6649</v>
      </c>
      <c r="F3772" t="s">
        <v>6650</v>
      </c>
      <c r="G3772" t="s">
        <v>6651</v>
      </c>
      <c r="H3772" s="460">
        <v>713.61551999999995</v>
      </c>
      <c r="I3772" s="460">
        <v>25.658280000000001</v>
      </c>
      <c r="J3772" s="460">
        <v>88.232330000000005</v>
      </c>
      <c r="K3772" s="460">
        <v>9875.5060699999995</v>
      </c>
      <c r="L3772" s="459" t="s">
        <v>539</v>
      </c>
      <c r="O3772">
        <v>23.819790000000001</v>
      </c>
      <c r="P3772" t="s">
        <v>10439</v>
      </c>
    </row>
    <row r="3773" spans="1:16" ht="14.4" x14ac:dyDescent="0.3">
      <c r="A3773">
        <v>526512</v>
      </c>
      <c r="B3773" t="str">
        <f t="shared" si="116"/>
        <v>SEVROLL 06128 Elegant II tor dolny 6m czarny lakier strukturalny</v>
      </c>
      <c r="C3773" s="185">
        <f t="shared" si="117"/>
        <v>0</v>
      </c>
      <c r="D3773" t="s">
        <v>6599</v>
      </c>
      <c r="E3773" t="s">
        <v>6652</v>
      </c>
      <c r="F3773" t="s">
        <v>6653</v>
      </c>
      <c r="G3773" t="s">
        <v>6654</v>
      </c>
      <c r="H3773" s="460">
        <v>1054.50082</v>
      </c>
      <c r="I3773" s="460">
        <v>37.914929999999998</v>
      </c>
      <c r="J3773" s="460">
        <v>0</v>
      </c>
      <c r="K3773" s="460">
        <v>14592.91346</v>
      </c>
      <c r="L3773" s="459" t="s">
        <v>539</v>
      </c>
      <c r="O3773">
        <v>35.198210000000003</v>
      </c>
      <c r="P3773" t="s">
        <v>10440</v>
      </c>
    </row>
    <row r="3774" spans="1:16" ht="14.4" x14ac:dyDescent="0.3">
      <c r="A3774">
        <v>526516</v>
      </c>
      <c r="B3774" t="str">
        <f t="shared" si="116"/>
        <v>SEVROLL 06285 Gemini tor górny 1,7 m czarny lakier strukturalny</v>
      </c>
      <c r="C3774" s="185">
        <f t="shared" si="117"/>
        <v>63.265970000000003</v>
      </c>
      <c r="D3774" t="s">
        <v>6600</v>
      </c>
      <c r="E3774" t="s">
        <v>6655</v>
      </c>
      <c r="F3774" t="s">
        <v>6656</v>
      </c>
      <c r="G3774" t="s">
        <v>6657</v>
      </c>
      <c r="H3774" s="460">
        <v>511.68982999999997</v>
      </c>
      <c r="I3774" s="460">
        <v>18.39798</v>
      </c>
      <c r="J3774" s="460">
        <v>63.265970000000003</v>
      </c>
      <c r="K3774" s="460">
        <v>7081.1186600000001</v>
      </c>
      <c r="L3774" s="459" t="s">
        <v>539</v>
      </c>
      <c r="O3774">
        <v>17.079709999999999</v>
      </c>
      <c r="P3774" t="s">
        <v>10441</v>
      </c>
    </row>
    <row r="3775" spans="1:16" ht="14.4" x14ac:dyDescent="0.3">
      <c r="A3775">
        <v>526519</v>
      </c>
      <c r="B3775" t="str">
        <f t="shared" si="116"/>
        <v>SEVROLL 06286 Gemini tor górny 2,35 m czarny lakier strukturalny</v>
      </c>
      <c r="C3775" s="185">
        <f t="shared" si="117"/>
        <v>87.516450000000006</v>
      </c>
      <c r="D3775" t="s">
        <v>6601</v>
      </c>
      <c r="E3775" t="s">
        <v>6658</v>
      </c>
      <c r="F3775" t="s">
        <v>6659</v>
      </c>
      <c r="G3775" t="s">
        <v>6660</v>
      </c>
      <c r="H3775" s="460">
        <v>707.82552999999996</v>
      </c>
      <c r="I3775" s="460">
        <v>25.450099999999999</v>
      </c>
      <c r="J3775" s="460">
        <v>87.516450000000006</v>
      </c>
      <c r="K3775" s="460">
        <v>9795.3803599999992</v>
      </c>
      <c r="L3775" s="459" t="s">
        <v>539</v>
      </c>
      <c r="O3775">
        <v>23.626519999999999</v>
      </c>
      <c r="P3775" t="s">
        <v>10442</v>
      </c>
    </row>
    <row r="3776" spans="1:16" ht="14.4" x14ac:dyDescent="0.3">
      <c r="A3776">
        <v>526520</v>
      </c>
      <c r="B3776" t="str">
        <f t="shared" si="116"/>
        <v>SEVROLL 06287 Gemini tor górny 3 m czarny lakier strukturalny</v>
      </c>
      <c r="C3776" s="185">
        <f t="shared" si="117"/>
        <v>111.67742</v>
      </c>
      <c r="D3776" t="s">
        <v>6602</v>
      </c>
      <c r="E3776" t="s">
        <v>6661</v>
      </c>
      <c r="F3776" t="s">
        <v>6662</v>
      </c>
      <c r="G3776" t="s">
        <v>6663</v>
      </c>
      <c r="H3776" s="460">
        <v>903.23748000000001</v>
      </c>
      <c r="I3776" s="460">
        <v>32.476199999999999</v>
      </c>
      <c r="J3776" s="460">
        <v>111.67742</v>
      </c>
      <c r="K3776" s="460">
        <v>12499.626490000001</v>
      </c>
      <c r="L3776" s="459" t="s">
        <v>539</v>
      </c>
      <c r="O3776">
        <v>30.149180000000001</v>
      </c>
      <c r="P3776" t="s">
        <v>10443</v>
      </c>
    </row>
    <row r="3777" spans="1:16" ht="14.4" x14ac:dyDescent="0.3">
      <c r="A3777">
        <v>526521</v>
      </c>
      <c r="B3777" t="str">
        <f t="shared" si="116"/>
        <v>SEVROLL 06288 Gemini tor górny 4,05 m czarny lakier strukturalny</v>
      </c>
      <c r="C3777" s="185">
        <f t="shared" si="117"/>
        <v>150.78242</v>
      </c>
      <c r="D3777" t="s">
        <v>6603</v>
      </c>
      <c r="E3777" t="s">
        <v>6664</v>
      </c>
      <c r="F3777" t="s">
        <v>6665</v>
      </c>
      <c r="G3777" t="s">
        <v>6666</v>
      </c>
      <c r="H3777" s="460">
        <v>1219.5153600000001</v>
      </c>
      <c r="I3777" s="460">
        <v>43.848080000000003</v>
      </c>
      <c r="J3777" s="460">
        <v>150.78242</v>
      </c>
      <c r="K3777" s="460">
        <v>16876.499019999999</v>
      </c>
      <c r="L3777" s="459" t="s">
        <v>539</v>
      </c>
      <c r="O3777">
        <v>40.706229999999998</v>
      </c>
      <c r="P3777" t="s">
        <v>10444</v>
      </c>
    </row>
    <row r="3778" spans="1:16" ht="14.4" x14ac:dyDescent="0.3">
      <c r="A3778">
        <v>526522</v>
      </c>
      <c r="B3778" t="str">
        <f t="shared" si="116"/>
        <v>SEVROLL 06154 Gemini tor górny 6m czarny lakier strukturalny</v>
      </c>
      <c r="C3778" s="185">
        <f t="shared" si="117"/>
        <v>0</v>
      </c>
      <c r="D3778" t="s">
        <v>6604</v>
      </c>
      <c r="E3778" t="s">
        <v>6667</v>
      </c>
      <c r="F3778" t="s">
        <v>6668</v>
      </c>
      <c r="G3778" t="s">
        <v>6669</v>
      </c>
      <c r="H3778" s="460">
        <v>1806.47497</v>
      </c>
      <c r="I3778" s="460">
        <v>64.95241</v>
      </c>
      <c r="J3778" s="460">
        <v>0</v>
      </c>
      <c r="K3778" s="460">
        <v>24999.252980000001</v>
      </c>
      <c r="L3778" s="459" t="s">
        <v>539</v>
      </c>
      <c r="O3778">
        <v>60.298369999999998</v>
      </c>
      <c r="P3778" t="s">
        <v>10445</v>
      </c>
    </row>
    <row r="3779" spans="1:16" ht="14.4" x14ac:dyDescent="0.3">
      <c r="A3779">
        <v>526524</v>
      </c>
      <c r="B3779" t="str">
        <f t="shared" si="116"/>
        <v>SEVROLL 06301 zaślepka do toru Elegant II 1,7m czarny lakier strukturalny</v>
      </c>
      <c r="C3779" s="185">
        <f t="shared" si="117"/>
        <v>11.454090000000001</v>
      </c>
      <c r="D3779" t="s">
        <v>6605</v>
      </c>
      <c r="E3779" t="s">
        <v>6670</v>
      </c>
      <c r="F3779" t="s">
        <v>6671</v>
      </c>
      <c r="G3779" t="s">
        <v>6672</v>
      </c>
      <c r="H3779" s="460">
        <v>92.639750000000006</v>
      </c>
      <c r="I3779" s="460">
        <v>3.3308900000000001</v>
      </c>
      <c r="J3779" s="460">
        <v>11.454090000000001</v>
      </c>
      <c r="K3779" s="460">
        <v>1282.0129099999999</v>
      </c>
      <c r="L3779" s="459" t="s">
        <v>539</v>
      </c>
      <c r="O3779">
        <v>3.0922200000000002</v>
      </c>
      <c r="P3779" t="s">
        <v>10446</v>
      </c>
    </row>
    <row r="3780" spans="1:16" ht="14.4" x14ac:dyDescent="0.3">
      <c r="A3780">
        <v>526525</v>
      </c>
      <c r="B3780" t="str">
        <f>IF($A$2=1,D3780,IF($A$2=2,F3780,IF($A$2=3,G3780,IF($A$2=4,E3780,IF($A$2&gt;4,P3780,"zadat jazyk")))))</f>
        <v>SEVROLL 06302 zaślepka do toru Elegant II 2,35m czarny lakier strukturalny</v>
      </c>
      <c r="C3780" s="185">
        <f>IF($A$2=1,H3780,IF($A$2=2,I3780,IF($A$2=3,J3780,IF($A$2=4,K3780,IF($A$2&gt;4,O3780,"zadat jazyk")))))</f>
        <v>15.83888</v>
      </c>
      <c r="D3780" t="s">
        <v>6606</v>
      </c>
      <c r="E3780" t="s">
        <v>6673</v>
      </c>
      <c r="F3780" t="s">
        <v>6674</v>
      </c>
      <c r="G3780" t="s">
        <v>6675</v>
      </c>
      <c r="H3780" s="460">
        <v>128.10339999999999</v>
      </c>
      <c r="I3780" s="460">
        <v>4.6059999999999999</v>
      </c>
      <c r="J3780" s="460">
        <v>15.83888</v>
      </c>
      <c r="K3780" s="460">
        <v>1772.7836600000001</v>
      </c>
      <c r="L3780" s="459" t="s">
        <v>539</v>
      </c>
      <c r="O3780">
        <v>4.27597</v>
      </c>
      <c r="P3780" t="s">
        <v>10447</v>
      </c>
    </row>
    <row r="3781" spans="1:16" ht="14.4" x14ac:dyDescent="0.3">
      <c r="A3781">
        <v>526526</v>
      </c>
      <c r="B3781" t="str">
        <f>IF($A$2=1,D3781,IF($A$2=2,F3781,IF($A$2=3,G3781,IF($A$2=4,E3781,IF($A$2&gt;4,P3781,"zadat jazyk")))))</f>
        <v>SEVROLL 06303 maskownica do toru Elegant II 3m czarny lakier strukturalny</v>
      </c>
      <c r="C3781" s="185">
        <f>IF($A$2=1,H3781,IF($A$2=2,I3781,IF($A$2=3,J3781,IF($A$2=4,K3781,IF($A$2&gt;4,O3781,"zadat jazyk")))))</f>
        <v>20.22364</v>
      </c>
      <c r="D3781" t="s">
        <v>6607</v>
      </c>
      <c r="E3781" t="s">
        <v>6676</v>
      </c>
      <c r="F3781" t="s">
        <v>6677</v>
      </c>
      <c r="G3781" t="s">
        <v>6678</v>
      </c>
      <c r="H3781" s="460">
        <v>163.56704999999999</v>
      </c>
      <c r="I3781" s="460">
        <v>5.8811099999999996</v>
      </c>
      <c r="J3781" s="460">
        <v>20.22364</v>
      </c>
      <c r="K3781" s="460">
        <v>2263.5540099999998</v>
      </c>
      <c r="L3781" s="459" t="s">
        <v>539</v>
      </c>
      <c r="O3781">
        <v>5.4597100000000003</v>
      </c>
      <c r="P3781" t="s">
        <v>10448</v>
      </c>
    </row>
    <row r="3782" spans="1:16" ht="14.4" x14ac:dyDescent="0.3">
      <c r="A3782">
        <v>526527</v>
      </c>
      <c r="B3782" t="str">
        <f>IF($A$2=1,D3782,IF($A$2=2,F3782,IF($A$2=3,G3782,IF($A$2=4,E3782,IF($A$2&gt;4,P3782,"zadat jazyk")))))</f>
        <v>SEVROLL 06304 zaślepka do toru Elegant II 4,05m czarny lakier strukturalny</v>
      </c>
      <c r="C3782" s="185">
        <f>IF($A$2=1,H3782,IF($A$2=2,I3782,IF($A$2=3,J3782,IF($A$2=4,K3782,IF($A$2&gt;4,O3782,"zadat jazyk")))))</f>
        <v>27.29297</v>
      </c>
      <c r="D3782" t="s">
        <v>6608</v>
      </c>
      <c r="E3782" t="s">
        <v>6679</v>
      </c>
      <c r="F3782" t="s">
        <v>6680</v>
      </c>
      <c r="G3782" t="s">
        <v>6681</v>
      </c>
      <c r="H3782" s="460">
        <v>220.74315000000001</v>
      </c>
      <c r="I3782" s="460">
        <v>7.93689</v>
      </c>
      <c r="J3782" s="460">
        <v>27.29297</v>
      </c>
      <c r="K3782" s="460">
        <v>3054.79655</v>
      </c>
      <c r="L3782" s="459" t="s">
        <v>539</v>
      </c>
      <c r="O3782">
        <v>7.3681900000000002</v>
      </c>
      <c r="P3782" t="s">
        <v>10449</v>
      </c>
    </row>
    <row r="3783" spans="1:16" ht="14.4" x14ac:dyDescent="0.3">
      <c r="A3783">
        <v>526528</v>
      </c>
      <c r="B3783" t="str">
        <f>IF($A$2=1,D3783,IF($A$2=2,F3783,IF($A$2=3,G3783,IF($A$2=4,E3783,IF($A$2&gt;4,P3783,"zadat jazyk")))))</f>
        <v>SEVROLL 06157 maskownica do toru Elegant II 6m czarny lakier strukturalny</v>
      </c>
      <c r="C3783" s="185">
        <f>IF($A$2=1,H3783,IF($A$2=2,I3783,IF($A$2=3,J3783,IF($A$2=4,K3783,IF($A$2&gt;4,O3783,"zadat jazyk")))))</f>
        <v>0</v>
      </c>
      <c r="D3783" t="s">
        <v>6609</v>
      </c>
      <c r="E3783" t="s">
        <v>6682</v>
      </c>
      <c r="F3783" t="s">
        <v>6683</v>
      </c>
      <c r="G3783" t="s">
        <v>6684</v>
      </c>
      <c r="H3783" s="460">
        <v>327.13407999999998</v>
      </c>
      <c r="I3783" s="460">
        <v>11.762219999999999</v>
      </c>
      <c r="J3783" s="460">
        <v>0</v>
      </c>
      <c r="K3783" s="460">
        <v>4527.1084300000002</v>
      </c>
      <c r="L3783" s="459" t="s">
        <v>539</v>
      </c>
      <c r="O3783">
        <v>10.919420000000001</v>
      </c>
      <c r="P3783" t="s">
        <v>10450</v>
      </c>
    </row>
    <row r="3784" spans="1:16" ht="14.4" x14ac:dyDescent="0.3">
      <c r="A3784" s="196">
        <v>542633</v>
      </c>
      <c r="B3784" t="str">
        <f t="shared" ref="B3784:B3818" si="118">IF($A$2=1,D3784,IF($A$2=2,F3784,IF($A$2=3,G3784,IF($A$2=4,E3784,IF($A$2&gt;4,P3784,"zadat jazyk")))))</f>
        <v>SEVROLL 06809 Gemini tor górny 6m złoty/mosiądz</v>
      </c>
      <c r="C3784" s="185">
        <f t="shared" ref="C3784:C3818" si="119">IF($A$2=1,H3784,IF($A$2=2,I3784,IF($A$2=3,J3784,IF($A$2=4,K3784,IF($A$2&gt;4,O3784,"zadat jazyk")))))</f>
        <v>0</v>
      </c>
      <c r="D3784" t="s">
        <v>11234</v>
      </c>
      <c r="E3784" t="s">
        <v>11268</v>
      </c>
      <c r="F3784" t="s">
        <v>11269</v>
      </c>
      <c r="G3784" t="s">
        <v>11270</v>
      </c>
      <c r="H3784" s="460">
        <v>1722.66022</v>
      </c>
      <c r="I3784" s="460">
        <v>64.95241</v>
      </c>
      <c r="J3784" s="460">
        <v>0</v>
      </c>
      <c r="K3784" s="460">
        <v>24999.252980000001</v>
      </c>
      <c r="L3784" s="459" t="s">
        <v>539</v>
      </c>
      <c r="P3784" t="s">
        <v>11367</v>
      </c>
    </row>
    <row r="3785" spans="1:16" ht="14.4" x14ac:dyDescent="0.3">
      <c r="A3785" s="196">
        <v>542574</v>
      </c>
      <c r="B3785" t="str">
        <f t="shared" si="118"/>
        <v>SEVROLL 06816 Alfa II rączka 16/18 mm 2,70 m złota/mosiądz</v>
      </c>
      <c r="C3785" s="185">
        <f t="shared" si="119"/>
        <v>54.453029999999998</v>
      </c>
      <c r="D3785" t="s">
        <v>11235</v>
      </c>
      <c r="E3785" t="s">
        <v>11271</v>
      </c>
      <c r="F3785" t="s">
        <v>11272</v>
      </c>
      <c r="G3785" t="s">
        <v>11273</v>
      </c>
      <c r="H3785" s="460">
        <v>442.9332</v>
      </c>
      <c r="I3785" s="460">
        <v>15.925829999999999</v>
      </c>
      <c r="J3785" s="460">
        <v>54.453029999999998</v>
      </c>
      <c r="K3785" s="460">
        <v>6129.62464</v>
      </c>
      <c r="L3785" s="459" t="s">
        <v>538</v>
      </c>
      <c r="P3785" t="s">
        <v>11368</v>
      </c>
    </row>
    <row r="3786" spans="1:16" ht="14.4" x14ac:dyDescent="0.3">
      <c r="A3786" s="196">
        <v>542673</v>
      </c>
      <c r="B3786" t="str">
        <f t="shared" si="118"/>
        <v>SEVROLL 06817 Focus II 16 mm rączka 2,7 m, złota/mosiądz</v>
      </c>
      <c r="C3786" s="185">
        <f t="shared" si="119"/>
        <v>36.302030000000002</v>
      </c>
      <c r="D3786" t="s">
        <v>11236</v>
      </c>
      <c r="E3786" t="s">
        <v>11274</v>
      </c>
      <c r="F3786" t="s">
        <v>11275</v>
      </c>
      <c r="G3786" t="s">
        <v>11276</v>
      </c>
      <c r="H3786" s="460">
        <v>295.28881000000001</v>
      </c>
      <c r="I3786" s="460">
        <v>10.61722</v>
      </c>
      <c r="J3786" s="460">
        <v>36.302030000000002</v>
      </c>
      <c r="K3786" s="460">
        <v>4086.4163100000001</v>
      </c>
      <c r="L3786" s="459" t="s">
        <v>539</v>
      </c>
      <c r="P3786" t="s">
        <v>11369</v>
      </c>
    </row>
    <row r="3787" spans="1:16" ht="14.4" x14ac:dyDescent="0.3">
      <c r="A3787" s="196">
        <v>542589</v>
      </c>
      <c r="B3787" t="str">
        <f t="shared" si="118"/>
        <v>SEVROLL 06818 Focus II 18 mm rączka 2,7 m, złota/mosiądz</v>
      </c>
      <c r="C3787" s="185">
        <f t="shared" si="119"/>
        <v>36.302030000000002</v>
      </c>
      <c r="D3787" t="s">
        <v>11237</v>
      </c>
      <c r="E3787" t="s">
        <v>11277</v>
      </c>
      <c r="F3787" t="s">
        <v>11278</v>
      </c>
      <c r="G3787" t="s">
        <v>11279</v>
      </c>
      <c r="H3787" s="460">
        <v>295.28881000000001</v>
      </c>
      <c r="I3787" s="460">
        <v>10.61722</v>
      </c>
      <c r="J3787" s="460">
        <v>36.302030000000002</v>
      </c>
      <c r="K3787" s="460">
        <v>4086.4163100000001</v>
      </c>
      <c r="L3787" s="459" t="s">
        <v>538</v>
      </c>
      <c r="P3787" t="s">
        <v>11370</v>
      </c>
    </row>
    <row r="3788" spans="1:16" ht="14.4" x14ac:dyDescent="0.3">
      <c r="A3788" s="196">
        <v>542674</v>
      </c>
      <c r="B3788" t="str">
        <f t="shared" si="118"/>
        <v>SEVROLL 06800 zaślepka do toru Elegant II 1,7m złoty/mosiądz</v>
      </c>
      <c r="C3788" s="185">
        <f t="shared" si="119"/>
        <v>10.944000000000001</v>
      </c>
      <c r="D3788" t="s">
        <v>11238</v>
      </c>
      <c r="E3788" t="s">
        <v>11280</v>
      </c>
      <c r="F3788" t="s">
        <v>11281</v>
      </c>
      <c r="G3788" t="s">
        <v>11282</v>
      </c>
      <c r="H3788" s="460">
        <v>89.020889999999994</v>
      </c>
      <c r="I3788" s="460">
        <v>3.20078</v>
      </c>
      <c r="J3788" s="460">
        <v>10.944000000000001</v>
      </c>
      <c r="K3788" s="460">
        <v>1231.93427</v>
      </c>
      <c r="L3788" s="459" t="s">
        <v>539</v>
      </c>
      <c r="P3788" t="s">
        <v>11371</v>
      </c>
    </row>
    <row r="3789" spans="1:16" ht="14.4" x14ac:dyDescent="0.3">
      <c r="A3789" s="196">
        <v>542675</v>
      </c>
      <c r="B3789" t="str">
        <f t="shared" si="118"/>
        <v>SEVROLL 06801 zaślepka do toru Elegant II 2,35m złoty/mosiądz</v>
      </c>
      <c r="C3789" s="185">
        <f t="shared" si="119"/>
        <v>15.12584</v>
      </c>
      <c r="D3789" t="s">
        <v>11239</v>
      </c>
      <c r="E3789" t="s">
        <v>11283</v>
      </c>
      <c r="F3789" t="s">
        <v>11284</v>
      </c>
      <c r="G3789" t="s">
        <v>11285</v>
      </c>
      <c r="H3789" s="460">
        <v>123.03700000000001</v>
      </c>
      <c r="I3789" s="460">
        <v>4.4238400000000002</v>
      </c>
      <c r="J3789" s="460">
        <v>15.12584</v>
      </c>
      <c r="K3789" s="460">
        <v>1702.6734799999999</v>
      </c>
      <c r="L3789" s="459" t="s">
        <v>539</v>
      </c>
      <c r="P3789" t="s">
        <v>11372</v>
      </c>
    </row>
    <row r="3790" spans="1:16" ht="14.4" x14ac:dyDescent="0.3">
      <c r="A3790" s="196">
        <v>542584</v>
      </c>
      <c r="B3790" t="str">
        <f t="shared" si="118"/>
        <v>SEVROLL 06802 profil maskujący do toru Elegant II 3m złoty/mosiądz</v>
      </c>
      <c r="C3790" s="185">
        <f t="shared" si="119"/>
        <v>19.396660000000001</v>
      </c>
      <c r="D3790" t="s">
        <v>11240</v>
      </c>
      <c r="E3790" t="s">
        <v>11286</v>
      </c>
      <c r="F3790" t="s">
        <v>11287</v>
      </c>
      <c r="G3790" t="s">
        <v>11288</v>
      </c>
      <c r="H3790" s="460">
        <v>157.77687</v>
      </c>
      <c r="I3790" s="460">
        <v>5.67293</v>
      </c>
      <c r="J3790" s="460">
        <v>19.396660000000001</v>
      </c>
      <c r="K3790" s="460">
        <v>2183.4282699999999</v>
      </c>
      <c r="L3790" s="459" t="s">
        <v>538</v>
      </c>
      <c r="P3790" t="s">
        <v>11373</v>
      </c>
    </row>
    <row r="3791" spans="1:16" ht="14.4" x14ac:dyDescent="0.3">
      <c r="A3791" s="196">
        <v>542590</v>
      </c>
      <c r="B3791" t="str">
        <f t="shared" si="118"/>
        <v>SEVROLL 04311 profil maskujący do toru Elegant II 4,05m złoty/mosiądz</v>
      </c>
      <c r="C3791" s="185">
        <f t="shared" si="119"/>
        <v>26.158799999999999</v>
      </c>
      <c r="D3791" t="s">
        <v>11241</v>
      </c>
      <c r="E3791" t="s">
        <v>11289</v>
      </c>
      <c r="F3791" t="s">
        <v>11290</v>
      </c>
      <c r="G3791" t="s">
        <v>11291</v>
      </c>
      <c r="H3791" s="460">
        <v>212.78163000000001</v>
      </c>
      <c r="I3791" s="460">
        <v>7.6506400000000001</v>
      </c>
      <c r="J3791" s="460">
        <v>26.158799999999999</v>
      </c>
      <c r="K3791" s="460">
        <v>2944.62372</v>
      </c>
      <c r="L3791" s="459" t="s">
        <v>538</v>
      </c>
      <c r="P3791" t="s">
        <v>11374</v>
      </c>
    </row>
    <row r="3792" spans="1:16" ht="14.4" x14ac:dyDescent="0.3">
      <c r="A3792" s="196">
        <v>542676</v>
      </c>
      <c r="B3792" t="str">
        <f t="shared" si="118"/>
        <v>SEVROLL 06804 zaślepka do toru Elegant II 6m złoty/mosiądz</v>
      </c>
      <c r="C3792" s="185">
        <f t="shared" si="119"/>
        <v>0</v>
      </c>
      <c r="D3792" t="s">
        <v>11242</v>
      </c>
      <c r="E3792" t="s">
        <v>11292</v>
      </c>
      <c r="F3792" t="s">
        <v>11293</v>
      </c>
      <c r="G3792" t="s">
        <v>11294</v>
      </c>
      <c r="H3792" s="460">
        <v>314.82997</v>
      </c>
      <c r="I3792" s="460">
        <v>11.31983</v>
      </c>
      <c r="J3792" s="460">
        <v>0</v>
      </c>
      <c r="K3792" s="460">
        <v>4356.8409799999999</v>
      </c>
      <c r="L3792" s="459" t="s">
        <v>539</v>
      </c>
      <c r="P3792" t="s">
        <v>11375</v>
      </c>
    </row>
    <row r="3793" spans="1:16" ht="14.4" x14ac:dyDescent="0.3">
      <c r="A3793" s="196">
        <v>542688</v>
      </c>
      <c r="B3793" t="str">
        <f t="shared" si="118"/>
        <v>SEVROLL 06799 Elegant II tor dolny 6m złoty/mosiądz</v>
      </c>
      <c r="C3793" s="185">
        <f t="shared" si="119"/>
        <v>0</v>
      </c>
      <c r="D3793" t="s">
        <v>11243</v>
      </c>
      <c r="E3793" t="s">
        <v>11295</v>
      </c>
      <c r="F3793" t="s">
        <v>11296</v>
      </c>
      <c r="G3793" t="s">
        <v>11297</v>
      </c>
      <c r="H3793" s="460">
        <v>1020.4833599999999</v>
      </c>
      <c r="I3793" s="460">
        <v>36.691870000000002</v>
      </c>
      <c r="J3793" s="460">
        <v>0</v>
      </c>
      <c r="K3793" s="460">
        <v>14122.17425</v>
      </c>
      <c r="L3793" s="459" t="s">
        <v>539</v>
      </c>
      <c r="P3793" t="s">
        <v>11376</v>
      </c>
    </row>
    <row r="3794" spans="1:16" ht="14.4" x14ac:dyDescent="0.3">
      <c r="A3794" s="196"/>
      <c r="B3794" t="e">
        <f t="shared" si="118"/>
        <v>#N/A</v>
      </c>
      <c r="C3794" s="185" t="e">
        <f t="shared" si="119"/>
        <v>#N/A</v>
      </c>
      <c r="D3794" t="s">
        <v>11244</v>
      </c>
      <c r="E3794" t="e">
        <v>#N/A</v>
      </c>
      <c r="F3794" t="e">
        <v>#N/A</v>
      </c>
      <c r="G3794" t="e">
        <v>#N/A</v>
      </c>
      <c r="H3794" s="460" t="e">
        <v>#N/A</v>
      </c>
      <c r="I3794" s="460" t="e">
        <v>#N/A</v>
      </c>
      <c r="J3794" s="460" t="e">
        <v>#N/A</v>
      </c>
      <c r="K3794" s="460" t="e">
        <v>#N/A</v>
      </c>
      <c r="L3794" s="459" t="e">
        <v>#N/A</v>
      </c>
      <c r="P3794" t="e">
        <v>#N/A</v>
      </c>
    </row>
    <row r="3795" spans="1:16" ht="14.4" x14ac:dyDescent="0.3">
      <c r="A3795" s="196"/>
      <c r="B3795" t="e">
        <f t="shared" si="118"/>
        <v>#N/A</v>
      </c>
      <c r="C3795" s="185" t="e">
        <f t="shared" si="119"/>
        <v>#N/A</v>
      </c>
      <c r="D3795" t="s">
        <v>11244</v>
      </c>
      <c r="E3795" t="e">
        <v>#N/A</v>
      </c>
      <c r="F3795" t="e">
        <v>#N/A</v>
      </c>
      <c r="G3795" t="e">
        <v>#N/A</v>
      </c>
      <c r="H3795" s="460" t="e">
        <v>#N/A</v>
      </c>
      <c r="I3795" s="460" t="e">
        <v>#N/A</v>
      </c>
      <c r="J3795" s="460" t="e">
        <v>#N/A</v>
      </c>
      <c r="K3795" s="460" t="e">
        <v>#N/A</v>
      </c>
      <c r="L3795" s="459" t="e">
        <v>#N/A</v>
      </c>
      <c r="P3795" t="e">
        <v>#N/A</v>
      </c>
    </row>
    <row r="3796" spans="1:16" ht="14.4" x14ac:dyDescent="0.3">
      <c r="A3796" s="196">
        <v>542698</v>
      </c>
      <c r="B3796" t="str">
        <f t="shared" si="118"/>
        <v>SEVROLL 06795 Elegant II tor dolny 1,7m złoty/mosiądz</v>
      </c>
      <c r="C3796" s="185">
        <f t="shared" si="119"/>
        <v>35.590209999999999</v>
      </c>
      <c r="D3796" t="s">
        <v>11245</v>
      </c>
      <c r="E3796" t="s">
        <v>11298</v>
      </c>
      <c r="F3796" t="s">
        <v>11299</v>
      </c>
      <c r="G3796" t="s">
        <v>11300</v>
      </c>
      <c r="H3796" s="460">
        <v>289.49883</v>
      </c>
      <c r="I3796" s="460">
        <v>10.409039999999999</v>
      </c>
      <c r="J3796" s="460">
        <v>35.590209999999999</v>
      </c>
      <c r="K3796" s="460">
        <v>4006.2905700000001</v>
      </c>
      <c r="L3796" s="459" t="s">
        <v>539</v>
      </c>
      <c r="P3796" t="s">
        <v>11377</v>
      </c>
    </row>
    <row r="3797" spans="1:16" ht="14.4" x14ac:dyDescent="0.3">
      <c r="A3797" s="196">
        <v>542700</v>
      </c>
      <c r="B3797" t="str">
        <f t="shared" si="118"/>
        <v>SEVROLL 06796 Elegant II tor dolny 2,35m złoty/mosiądz</v>
      </c>
      <c r="C3797" s="185">
        <f t="shared" si="119"/>
        <v>49.114510000000003</v>
      </c>
      <c r="D3797" t="s">
        <v>11246</v>
      </c>
      <c r="E3797" t="s">
        <v>11301</v>
      </c>
      <c r="F3797" t="s">
        <v>11302</v>
      </c>
      <c r="G3797" t="s">
        <v>11303</v>
      </c>
      <c r="H3797" s="460">
        <v>399.50837000000001</v>
      </c>
      <c r="I3797" s="460">
        <v>14.36448</v>
      </c>
      <c r="J3797" s="460">
        <v>49.114510000000003</v>
      </c>
      <c r="K3797" s="460">
        <v>5528.6810599999999</v>
      </c>
      <c r="L3797" s="459" t="s">
        <v>539</v>
      </c>
      <c r="P3797" t="s">
        <v>11378</v>
      </c>
    </row>
    <row r="3798" spans="1:16" ht="14.4" x14ac:dyDescent="0.3">
      <c r="A3798" s="196">
        <v>542591</v>
      </c>
      <c r="B3798" t="str">
        <f t="shared" si="118"/>
        <v>SEVROLL 06797 Elegant II tor dolny 3m złoty/mosiądz</v>
      </c>
      <c r="C3798" s="185">
        <f t="shared" si="119"/>
        <v>62.727760000000004</v>
      </c>
      <c r="D3798" t="s">
        <v>11247</v>
      </c>
      <c r="E3798" t="s">
        <v>11304</v>
      </c>
      <c r="F3798" t="s">
        <v>11305</v>
      </c>
      <c r="G3798" t="s">
        <v>11306</v>
      </c>
      <c r="H3798" s="460">
        <v>510.24167999999997</v>
      </c>
      <c r="I3798" s="460">
        <v>18.345929999999999</v>
      </c>
      <c r="J3798" s="460">
        <v>62.727760000000004</v>
      </c>
      <c r="K3798" s="460">
        <v>7061.0871100000004</v>
      </c>
      <c r="L3798" s="459" t="s">
        <v>538</v>
      </c>
      <c r="P3798" t="s">
        <v>11379</v>
      </c>
    </row>
    <row r="3799" spans="1:16" ht="14.4" x14ac:dyDescent="0.3">
      <c r="A3799" s="196">
        <v>542576</v>
      </c>
      <c r="B3799" t="str">
        <f t="shared" si="118"/>
        <v>SEVROLL 06798 Elegant II tor dolny 4,05m złoty/mosiądz</v>
      </c>
      <c r="C3799" s="185">
        <f t="shared" si="119"/>
        <v>84.704719999999995</v>
      </c>
      <c r="D3799" t="s">
        <v>11248</v>
      </c>
      <c r="E3799" t="s">
        <v>11307</v>
      </c>
      <c r="F3799" t="s">
        <v>11308</v>
      </c>
      <c r="G3799" t="s">
        <v>11309</v>
      </c>
      <c r="H3799" s="460">
        <v>689.00720000000001</v>
      </c>
      <c r="I3799" s="460">
        <v>24.773520000000001</v>
      </c>
      <c r="J3799" s="460">
        <v>84.704719999999995</v>
      </c>
      <c r="K3799" s="460">
        <v>9534.97163</v>
      </c>
      <c r="L3799" s="459" t="s">
        <v>538</v>
      </c>
      <c r="P3799" t="s">
        <v>11380</v>
      </c>
    </row>
    <row r="3800" spans="1:16" ht="14.4" x14ac:dyDescent="0.3">
      <c r="A3800" s="196">
        <v>542588</v>
      </c>
      <c r="B3800" t="str">
        <f t="shared" si="118"/>
        <v>SEVROLL 06794 spojovací lišta H18 3m zlatá/mosiądz</v>
      </c>
      <c r="C3800" s="185">
        <f t="shared" si="119"/>
        <v>51.249920000000003</v>
      </c>
      <c r="D3800" t="s">
        <v>11249</v>
      </c>
      <c r="E3800" t="s">
        <v>11310</v>
      </c>
      <c r="F3800" t="s">
        <v>11311</v>
      </c>
      <c r="G3800" t="s">
        <v>11312</v>
      </c>
      <c r="H3800" s="460">
        <v>416.87831999999997</v>
      </c>
      <c r="I3800" s="460">
        <v>14.98902</v>
      </c>
      <c r="J3800" s="460">
        <v>51.249920000000003</v>
      </c>
      <c r="K3800" s="460">
        <v>5769.0582599999998</v>
      </c>
      <c r="L3800" s="459" t="s">
        <v>538</v>
      </c>
      <c r="P3800" t="s">
        <v>11381</v>
      </c>
    </row>
    <row r="3801" spans="1:16" ht="14.4" x14ac:dyDescent="0.3">
      <c r="A3801" s="196">
        <v>542704</v>
      </c>
      <c r="B3801" t="str">
        <f t="shared" si="118"/>
        <v>SEVROLL 06805 Gemini tor górny 1,7m złoty/mosiądz</v>
      </c>
      <c r="C3801" s="185">
        <f t="shared" si="119"/>
        <v>60.503369999999997</v>
      </c>
      <c r="D3801" t="s">
        <v>11250</v>
      </c>
      <c r="E3801" t="s">
        <v>11313</v>
      </c>
      <c r="F3801" t="s">
        <v>11314</v>
      </c>
      <c r="G3801" t="s">
        <v>11315</v>
      </c>
      <c r="H3801" s="460">
        <v>492.14800000000002</v>
      </c>
      <c r="I3801" s="460">
        <v>17.69537</v>
      </c>
      <c r="J3801" s="460">
        <v>60.503369999999997</v>
      </c>
      <c r="K3801" s="460">
        <v>6810.6939700000003</v>
      </c>
      <c r="L3801" s="459" t="s">
        <v>539</v>
      </c>
      <c r="P3801" t="s">
        <v>11382</v>
      </c>
    </row>
    <row r="3802" spans="1:16" ht="14.4" x14ac:dyDescent="0.3">
      <c r="A3802" s="196">
        <v>542705</v>
      </c>
      <c r="B3802" t="str">
        <f t="shared" si="118"/>
        <v>SEVROLL 06806 Gemini horní vedení 2,35m zlatá/mosiądz</v>
      </c>
      <c r="C3802" s="185">
        <f t="shared" si="119"/>
        <v>83.637010000000004</v>
      </c>
      <c r="D3802" t="s">
        <v>11251</v>
      </c>
      <c r="E3802" t="s">
        <v>11316</v>
      </c>
      <c r="F3802" t="s">
        <v>11317</v>
      </c>
      <c r="G3802" t="s">
        <v>11318</v>
      </c>
      <c r="H3802" s="460">
        <v>680.32223999999997</v>
      </c>
      <c r="I3802" s="460">
        <v>24.46124</v>
      </c>
      <c r="J3802" s="460">
        <v>83.637010000000004</v>
      </c>
      <c r="K3802" s="460">
        <v>9414.7828399999999</v>
      </c>
      <c r="L3802" s="459" t="s">
        <v>539</v>
      </c>
      <c r="P3802" t="s">
        <v>11383</v>
      </c>
    </row>
    <row r="3803" spans="1:16" ht="14.4" x14ac:dyDescent="0.3">
      <c r="A3803" s="196">
        <v>542583</v>
      </c>
      <c r="B3803" t="str">
        <f t="shared" si="118"/>
        <v>SEVROLL 06807 Gemini horní vedení 3m złoty/mosiądz</v>
      </c>
      <c r="C3803" s="185">
        <f t="shared" si="119"/>
        <v>111.28565999999999</v>
      </c>
      <c r="D3803" t="s">
        <v>11252</v>
      </c>
      <c r="E3803" t="s">
        <v>11319</v>
      </c>
      <c r="F3803" t="s">
        <v>11320</v>
      </c>
      <c r="G3803" t="s">
        <v>11321</v>
      </c>
      <c r="H3803" s="460">
        <v>861.33011999999997</v>
      </c>
      <c r="I3803" s="460">
        <v>32.476199999999999</v>
      </c>
      <c r="J3803" s="460">
        <v>111.28565999999999</v>
      </c>
      <c r="K3803" s="460">
        <v>12499.626490000001</v>
      </c>
      <c r="L3803" s="459" t="s">
        <v>538</v>
      </c>
      <c r="P3803" t="s">
        <v>11384</v>
      </c>
    </row>
    <row r="3804" spans="1:16" ht="14.4" x14ac:dyDescent="0.3">
      <c r="A3804" s="196">
        <v>542592</v>
      </c>
      <c r="B3804" t="str">
        <f t="shared" si="118"/>
        <v>SEVROLL 06808 Gemini horní vedení 4,05m zlatá/mosiądz</v>
      </c>
      <c r="C3804" s="185">
        <f t="shared" si="119"/>
        <v>144.45733999999999</v>
      </c>
      <c r="D3804" t="s">
        <v>11253</v>
      </c>
      <c r="E3804" t="s">
        <v>11322</v>
      </c>
      <c r="F3804" t="s">
        <v>11323</v>
      </c>
      <c r="G3804" t="s">
        <v>11324</v>
      </c>
      <c r="H3804" s="460">
        <v>1118.0727400000001</v>
      </c>
      <c r="I3804" s="460">
        <v>42.156610000000001</v>
      </c>
      <c r="J3804" s="460">
        <v>144.45733999999999</v>
      </c>
      <c r="K3804" s="460">
        <v>16876.499019999999</v>
      </c>
      <c r="L3804" s="459" t="s">
        <v>538</v>
      </c>
      <c r="P3804" t="s">
        <v>11385</v>
      </c>
    </row>
    <row r="3805" spans="1:16" ht="14.4" x14ac:dyDescent="0.3">
      <c r="A3805" s="196">
        <v>542706</v>
      </c>
      <c r="B3805" t="str">
        <f t="shared" si="118"/>
        <v>SEVROLL 06790 kątownik Mini 17x11mm 1,7m złoty/mosiądz</v>
      </c>
      <c r="C3805" s="185">
        <f t="shared" si="119"/>
        <v>10.49912</v>
      </c>
      <c r="D3805" t="s">
        <v>11254</v>
      </c>
      <c r="E3805" t="s">
        <v>11325</v>
      </c>
      <c r="F3805" t="s">
        <v>11326</v>
      </c>
      <c r="G3805" t="s">
        <v>11327</v>
      </c>
      <c r="H3805" s="460">
        <v>85.402159999999995</v>
      </c>
      <c r="I3805" s="460">
        <v>3.0706699999999998</v>
      </c>
      <c r="J3805" s="460">
        <v>10.49912</v>
      </c>
      <c r="K3805" s="460">
        <v>1181.85564</v>
      </c>
      <c r="L3805" s="459" t="s">
        <v>539</v>
      </c>
      <c r="P3805" t="s">
        <v>11386</v>
      </c>
    </row>
    <row r="3806" spans="1:16" ht="14.4" x14ac:dyDescent="0.3">
      <c r="A3806" s="196">
        <v>542764</v>
      </c>
      <c r="B3806" t="str">
        <f t="shared" si="118"/>
        <v>SEVROLL 06791 kątownik Mini 17x11mm 2,35m złoty/mosiądz</v>
      </c>
      <c r="C3806" s="185">
        <f t="shared" si="119"/>
        <v>14.503</v>
      </c>
      <c r="D3806" t="s">
        <v>11255</v>
      </c>
      <c r="E3806" t="s">
        <v>11328</v>
      </c>
      <c r="F3806" t="s">
        <v>11329</v>
      </c>
      <c r="G3806" t="s">
        <v>11330</v>
      </c>
      <c r="H3806" s="460">
        <v>117.97078</v>
      </c>
      <c r="I3806" s="460">
        <v>4.2416799999999997</v>
      </c>
      <c r="J3806" s="460">
        <v>14.503</v>
      </c>
      <c r="K3806" s="460">
        <v>1632.56332</v>
      </c>
      <c r="L3806" s="459" t="s">
        <v>539</v>
      </c>
      <c r="P3806" t="s">
        <v>11387</v>
      </c>
    </row>
    <row r="3807" spans="1:16" ht="14.4" x14ac:dyDescent="0.3">
      <c r="A3807" s="196">
        <v>542863</v>
      </c>
      <c r="B3807" t="str">
        <f t="shared" si="118"/>
        <v>SEVROLL 06792 kątownik Mini 17x11mm 3m złoty/mosiądz</v>
      </c>
      <c r="C3807" s="185">
        <f t="shared" si="119"/>
        <v>18.417940000000002</v>
      </c>
      <c r="D3807" t="s">
        <v>11256</v>
      </c>
      <c r="E3807" t="s">
        <v>11331</v>
      </c>
      <c r="F3807" t="s">
        <v>11332</v>
      </c>
      <c r="G3807" t="s">
        <v>11333</v>
      </c>
      <c r="H3807" s="460">
        <v>149.81564</v>
      </c>
      <c r="I3807" s="460">
        <v>5.3866800000000001</v>
      </c>
      <c r="J3807" s="460">
        <v>18.417940000000002</v>
      </c>
      <c r="K3807" s="460">
        <v>2073.2554399999999</v>
      </c>
      <c r="L3807" s="459" t="s">
        <v>539</v>
      </c>
      <c r="P3807" t="s">
        <v>11388</v>
      </c>
    </row>
    <row r="3808" spans="1:16" ht="14.4" x14ac:dyDescent="0.3">
      <c r="A3808" s="196">
        <v>542864</v>
      </c>
      <c r="B3808" t="str">
        <f t="shared" si="118"/>
        <v>SEVROLL 06813 listwa pozioma górna 1,7 m złota/mosiądz</v>
      </c>
      <c r="C3808" s="185">
        <f t="shared" si="119"/>
        <v>32.920960000000001</v>
      </c>
      <c r="D3808" t="s">
        <v>11257</v>
      </c>
      <c r="E3808" t="s">
        <v>11334</v>
      </c>
      <c r="F3808" t="s">
        <v>11335</v>
      </c>
      <c r="G3808" t="s">
        <v>11336</v>
      </c>
      <c r="H3808" s="460">
        <v>267.78640999999999</v>
      </c>
      <c r="I3808" s="460">
        <v>9.6283600000000007</v>
      </c>
      <c r="J3808" s="460">
        <v>32.920960000000001</v>
      </c>
      <c r="K3808" s="460">
        <v>3705.8187600000001</v>
      </c>
      <c r="L3808" s="459" t="s">
        <v>539</v>
      </c>
      <c r="P3808" t="s">
        <v>11389</v>
      </c>
    </row>
    <row r="3809" spans="1:16" ht="14.4" x14ac:dyDescent="0.3">
      <c r="A3809" s="196">
        <v>542865</v>
      </c>
      <c r="B3809" t="str">
        <f t="shared" si="118"/>
        <v>SEVROLL 06811 listwa pozioma górna 2,35m złoty/mosiądz</v>
      </c>
      <c r="C3809" s="185">
        <f t="shared" si="119"/>
        <v>45.644460000000002</v>
      </c>
      <c r="D3809" t="s">
        <v>11258</v>
      </c>
      <c r="E3809" t="s">
        <v>11337</v>
      </c>
      <c r="F3809" t="s">
        <v>11338</v>
      </c>
      <c r="G3809" t="s">
        <v>11339</v>
      </c>
      <c r="H3809" s="460">
        <v>371.28224999999998</v>
      </c>
      <c r="I3809" s="460">
        <v>13.349589999999999</v>
      </c>
      <c r="J3809" s="460">
        <v>45.644460000000002</v>
      </c>
      <c r="K3809" s="460">
        <v>5138.0675700000002</v>
      </c>
      <c r="L3809" s="459" t="s">
        <v>539</v>
      </c>
      <c r="P3809" t="s">
        <v>11390</v>
      </c>
    </row>
    <row r="3810" spans="1:16" ht="14.4" x14ac:dyDescent="0.3">
      <c r="A3810" s="196">
        <v>542866</v>
      </c>
      <c r="B3810" t="str">
        <f t="shared" si="118"/>
        <v>SEVROLL 06815 listwa pozioma górna 3m złoty/mosiądz</v>
      </c>
      <c r="C3810" s="185">
        <f t="shared" si="119"/>
        <v>58.27899</v>
      </c>
      <c r="D3810" t="s">
        <v>11259</v>
      </c>
      <c r="E3810" t="s">
        <v>11340</v>
      </c>
      <c r="F3810" t="s">
        <v>11341</v>
      </c>
      <c r="G3810" t="s">
        <v>11342</v>
      </c>
      <c r="H3810" s="460">
        <v>474.05432999999999</v>
      </c>
      <c r="I3810" s="460">
        <v>17.044799999999999</v>
      </c>
      <c r="J3810" s="460">
        <v>58.27899</v>
      </c>
      <c r="K3810" s="460">
        <v>6560.3008</v>
      </c>
      <c r="L3810" s="459" t="s">
        <v>539</v>
      </c>
      <c r="P3810" t="s">
        <v>11391</v>
      </c>
    </row>
    <row r="3811" spans="1:16" ht="14.4" x14ac:dyDescent="0.3">
      <c r="A3811" s="196">
        <v>542867</v>
      </c>
      <c r="B3811" t="str">
        <f t="shared" si="118"/>
        <v>SEVROLL 06810 Gemini 10 listwa pozioma dolna 1,7m 10mm złoty/mosiądz</v>
      </c>
      <c r="C3811" s="185">
        <f t="shared" si="119"/>
        <v>61.30415</v>
      </c>
      <c r="D3811" t="s">
        <v>11260</v>
      </c>
      <c r="E3811" t="s">
        <v>11343</v>
      </c>
      <c r="F3811" t="s">
        <v>11344</v>
      </c>
      <c r="G3811" t="s">
        <v>11345</v>
      </c>
      <c r="H3811" s="460">
        <v>498.66172</v>
      </c>
      <c r="I3811" s="460">
        <v>17.929569999999998</v>
      </c>
      <c r="J3811" s="460">
        <v>61.30415</v>
      </c>
      <c r="K3811" s="460">
        <v>6900.83565</v>
      </c>
      <c r="L3811" s="459" t="s">
        <v>539</v>
      </c>
      <c r="P3811" t="s">
        <v>11392</v>
      </c>
    </row>
    <row r="3812" spans="1:16" ht="14.4" x14ac:dyDescent="0.3">
      <c r="A3812" s="196">
        <v>542868</v>
      </c>
      <c r="B3812" t="str">
        <f t="shared" si="118"/>
        <v>SEVROLL 06811 Gemini 10 listwa pozioma dolna 2,35m 10mm złoty/mosiądz</v>
      </c>
      <c r="C3812" s="185">
        <f t="shared" si="119"/>
        <v>84.526759999999996</v>
      </c>
      <c r="D3812" t="s">
        <v>11261</v>
      </c>
      <c r="E3812" t="s">
        <v>11346</v>
      </c>
      <c r="F3812" t="s">
        <v>11347</v>
      </c>
      <c r="G3812" t="s">
        <v>11348</v>
      </c>
      <c r="H3812" s="460">
        <v>687.55971</v>
      </c>
      <c r="I3812" s="460">
        <v>24.72147</v>
      </c>
      <c r="J3812" s="460">
        <v>84.526759999999996</v>
      </c>
      <c r="K3812" s="460">
        <v>9514.9400999999998</v>
      </c>
      <c r="L3812" s="459" t="s">
        <v>539</v>
      </c>
      <c r="P3812" t="s">
        <v>11393</v>
      </c>
    </row>
    <row r="3813" spans="1:16" ht="14.4" x14ac:dyDescent="0.3">
      <c r="A3813" s="196">
        <v>542869</v>
      </c>
      <c r="B3813" t="str">
        <f t="shared" si="118"/>
        <v>SEVROLL 06812 Gemini 10 listwa pozioma dolna 3m 10mm złoty/mosiądz</v>
      </c>
      <c r="C3813" s="185">
        <f t="shared" si="119"/>
        <v>108.19427</v>
      </c>
      <c r="D3813" t="s">
        <v>11262</v>
      </c>
      <c r="E3813" t="s">
        <v>11349</v>
      </c>
      <c r="F3813" t="s">
        <v>11350</v>
      </c>
      <c r="G3813" t="s">
        <v>11351</v>
      </c>
      <c r="H3813" s="460">
        <v>880.07644000000005</v>
      </c>
      <c r="I3813" s="460">
        <v>31.64348</v>
      </c>
      <c r="J3813" s="460">
        <v>108.19427</v>
      </c>
      <c r="K3813" s="460">
        <v>12179.123159999999</v>
      </c>
      <c r="L3813" s="459" t="s">
        <v>539</v>
      </c>
      <c r="P3813" t="s">
        <v>11394</v>
      </c>
    </row>
    <row r="3814" spans="1:16" ht="14.4" x14ac:dyDescent="0.3">
      <c r="A3814" s="196">
        <v>542870</v>
      </c>
      <c r="B3814" t="str">
        <f t="shared" si="118"/>
        <v>SEVROLL 06793 listwa łącząca H10 3m złoty/mosiądz</v>
      </c>
      <c r="C3814" s="185">
        <f t="shared" si="119"/>
        <v>52.050690000000003</v>
      </c>
      <c r="D3814" t="s">
        <v>11263</v>
      </c>
      <c r="E3814" t="s">
        <v>11352</v>
      </c>
      <c r="F3814" t="s">
        <v>11353</v>
      </c>
      <c r="G3814" t="s">
        <v>11354</v>
      </c>
      <c r="H3814" s="460">
        <v>423.39202999999998</v>
      </c>
      <c r="I3814" s="460">
        <v>15.22322</v>
      </c>
      <c r="J3814" s="460">
        <v>52.050690000000003</v>
      </c>
      <c r="K3814" s="460">
        <v>5859.1999500000002</v>
      </c>
      <c r="L3814" s="459" t="s">
        <v>539</v>
      </c>
      <c r="P3814" t="s">
        <v>11395</v>
      </c>
    </row>
    <row r="3815" spans="1:16" ht="14.4" x14ac:dyDescent="0.3">
      <c r="A3815" s="196">
        <v>542871</v>
      </c>
      <c r="B3815" t="str">
        <f t="shared" si="118"/>
        <v>SEVROLL 06789 profil "U" do płyty laminowanej 18mm 3m złoty/mosiądz</v>
      </c>
      <c r="C3815" s="185">
        <f t="shared" si="119"/>
        <v>20.375389999999999</v>
      </c>
      <c r="D3815" t="s">
        <v>11264</v>
      </c>
      <c r="E3815" t="s">
        <v>11355</v>
      </c>
      <c r="F3815" t="s">
        <v>11356</v>
      </c>
      <c r="G3815" t="s">
        <v>11357</v>
      </c>
      <c r="H3815" s="460">
        <v>165.73806999999999</v>
      </c>
      <c r="I3815" s="460">
        <v>5.9591799999999999</v>
      </c>
      <c r="J3815" s="460">
        <v>20.375389999999999</v>
      </c>
      <c r="K3815" s="460">
        <v>2293.6015000000002</v>
      </c>
      <c r="L3815" s="459" t="s">
        <v>539</v>
      </c>
      <c r="P3815" t="s">
        <v>11396</v>
      </c>
    </row>
    <row r="3816" spans="1:16" ht="14.4" x14ac:dyDescent="0.3">
      <c r="A3816" s="196">
        <v>542872</v>
      </c>
      <c r="B3816" t="str">
        <f t="shared" si="118"/>
        <v>SEVROLL 06819 Fox II rączka 2,7m złoty/mosiądz</v>
      </c>
      <c r="C3816" s="185">
        <f t="shared" si="119"/>
        <v>71.091459999999998</v>
      </c>
      <c r="D3816" t="s">
        <v>11265</v>
      </c>
      <c r="E3816" t="s">
        <v>11358</v>
      </c>
      <c r="F3816" t="s">
        <v>11359</v>
      </c>
      <c r="G3816" t="s">
        <v>11360</v>
      </c>
      <c r="H3816" s="460">
        <v>578.27389000000005</v>
      </c>
      <c r="I3816" s="460">
        <v>20.792059999999999</v>
      </c>
      <c r="J3816" s="460">
        <v>71.091459999999998</v>
      </c>
      <c r="K3816" s="460">
        <v>8002.5655800000004</v>
      </c>
      <c r="L3816" s="459" t="s">
        <v>539</v>
      </c>
      <c r="P3816" t="s">
        <v>11397</v>
      </c>
    </row>
    <row r="3817" spans="1:16" ht="14.4" x14ac:dyDescent="0.3">
      <c r="A3817" s="196">
        <v>542873</v>
      </c>
      <c r="B3817" t="str">
        <f t="shared" si="118"/>
        <v>SEVROLL 06822 Gemini rączka 2,7m złoty/mosiądz</v>
      </c>
      <c r="C3817" s="185">
        <f t="shared" si="119"/>
        <v>80.789789999999996</v>
      </c>
      <c r="D3817" t="s">
        <v>11266</v>
      </c>
      <c r="E3817" t="s">
        <v>11361</v>
      </c>
      <c r="F3817" t="s">
        <v>11362</v>
      </c>
      <c r="G3817" t="s">
        <v>11363</v>
      </c>
      <c r="H3817" s="460">
        <v>657.16233999999997</v>
      </c>
      <c r="I3817" s="460">
        <v>23.628520000000002</v>
      </c>
      <c r="J3817" s="460">
        <v>80.789789999999996</v>
      </c>
      <c r="K3817" s="460">
        <v>9094.2795100000003</v>
      </c>
      <c r="L3817" s="459" t="s">
        <v>539</v>
      </c>
      <c r="P3817" t="s">
        <v>11398</v>
      </c>
    </row>
    <row r="3818" spans="1:16" ht="14.4" x14ac:dyDescent="0.3">
      <c r="A3818" s="196">
        <v>542874</v>
      </c>
      <c r="B3818" t="str">
        <f t="shared" si="118"/>
        <v>SEVROLL 06821 System 10 II rączka 2,7m złoty/mosiądz</v>
      </c>
      <c r="C3818" s="185">
        <f t="shared" si="119"/>
        <v>80.433880000000002</v>
      </c>
      <c r="D3818" t="s">
        <v>11267</v>
      </c>
      <c r="E3818" t="s">
        <v>11364</v>
      </c>
      <c r="F3818" t="s">
        <v>11365</v>
      </c>
      <c r="G3818" t="s">
        <v>11366</v>
      </c>
      <c r="H3818" s="460">
        <v>654.26733999999999</v>
      </c>
      <c r="I3818" s="460">
        <v>23.524429999999999</v>
      </c>
      <c r="J3818" s="460">
        <v>80.433880000000002</v>
      </c>
      <c r="K3818" s="460">
        <v>9054.2168399999991</v>
      </c>
      <c r="L3818" s="459" t="s">
        <v>539</v>
      </c>
      <c r="P3818" t="s">
        <v>11399</v>
      </c>
    </row>
  </sheetData>
  <autoFilter ref="A1:T3818" xr:uid="{00000000-0009-0000-0000-000000000000}"/>
  <sortState xmlns:xlrd2="http://schemas.microsoft.com/office/spreadsheetml/2017/richdata2" ref="A3:N982">
    <sortCondition ref="N3:N982"/>
  </sortState>
  <conditionalFormatting sqref="A3819:A1048576 A1:A3816">
    <cfRule type="duplicateValues" dxfId="22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4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5.6640625" style="5" hidden="1" customWidth="1"/>
    <col min="11" max="11" width="6.6640625" style="5" hidden="1" customWidth="1"/>
    <col min="12" max="12" width="9.109375" style="4" hidden="1" customWidth="1"/>
    <col min="13" max="13" width="24.6640625" style="4" hidden="1" customWidth="1"/>
    <col min="14" max="14" width="7.44140625" style="4" hidden="1" customWidth="1"/>
    <col min="15" max="15" width="5.6640625" style="4" hidden="1" customWidth="1"/>
    <col min="16" max="16" width="16.44140625" style="4" hidden="1" customWidth="1"/>
    <col min="17" max="17" width="7.109375" style="4" hidden="1" customWidth="1"/>
    <col min="18" max="18" width="10.88671875" style="4" hidden="1" customWidth="1"/>
    <col min="19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6578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",7,".",24)</f>
        <v>Katalog Okuć meblowych 2024 str. 7.24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  <c r="S4" s="7"/>
    </row>
    <row r="5" spans="1:22" ht="18" customHeight="1" x14ac:dyDescent="0.25"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  <c r="U5" s="4" t="e">
        <f>C10*4</f>
        <v>#VALUE!</v>
      </c>
    </row>
    <row r="6" spans="1:22" ht="18" customHeight="1" x14ac:dyDescent="0.25">
      <c r="A6" s="321"/>
      <c r="B6" s="594" t="str">
        <f>IF(D4=4,texty!A227,"")</f>
        <v/>
      </c>
      <c r="C6" s="19"/>
      <c r="D6" s="338">
        <v>3</v>
      </c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texty!A72</f>
        <v>rozmiar wypełnienia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I14" s="22"/>
      <c r="J14" s="5" t="s">
        <v>11407</v>
      </c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7.25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15"/>
      <c r="E15" s="15"/>
      <c r="F15" s="15"/>
      <c r="G15" s="22"/>
      <c r="H15" s="22"/>
      <c r="I15" s="22"/>
      <c r="L15" s="5"/>
      <c r="R15" s="147"/>
    </row>
    <row r="16" spans="1:22" ht="3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33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dylatacja 4 mm</v>
      </c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Tor górny:</v>
      </c>
      <c r="B28" s="15" t="e">
        <f>+VLOOKUP(L5,data!C211:D279,2,0)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Tor dolny</v>
      </c>
      <c r="B29" s="15" t="str">
        <f>IFERROR((VLOOKUP(N5,data!C4:D108,2,0)),"N/A")</f>
        <v>N/A</v>
      </c>
      <c r="C29" s="23" t="str">
        <f>IF(B29=data!D64,texty!A239,+VLOOKUP(B29,cennik!A:G,2,FALSE))</f>
        <v> w tym kolorze i długości dany profil nie jest produkowany</v>
      </c>
      <c r="D29" s="15">
        <v>1</v>
      </c>
      <c r="E29" s="86">
        <f>IF(B29=data!D73,0,+VLOOKUP(B29,cennik!A:G,3,FALSE))</f>
        <v>0</v>
      </c>
      <c r="F29" s="86">
        <f t="shared" si="0"/>
        <v>0</v>
      </c>
      <c r="G29" s="87">
        <f>+F29*(100-F26)/100</f>
        <v>0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profil maskujący (maskownica):</v>
      </c>
      <c r="B30" s="15" t="str">
        <f>IFERROR((VLOOKUP(N5,data!C115:D209,2,0)),"N/A")</f>
        <v>N/A</v>
      </c>
      <c r="C30" s="23" t="str">
        <f>IF(B30=data!D64,texty!A239,+VLOOKUP(B30,cennik!A:G,2,FALSE))</f>
        <v> w tym kolorze i długości dany profil nie jest produkowany</v>
      </c>
      <c r="D30" s="15">
        <v>1</v>
      </c>
      <c r="E30" s="86">
        <f>IF(B30=data!D73,0,+VLOOKUP(B30,cennik!A:G,3,FALSE))</f>
        <v>0</v>
      </c>
      <c r="F30" s="86">
        <f t="shared" si="0"/>
        <v>0</v>
      </c>
      <c r="G30" s="87">
        <f>+F30*(100-G26)/100</f>
        <v>0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górne wózki</v>
      </c>
      <c r="B31" s="15">
        <v>89265</v>
      </c>
      <c r="C31" s="23" t="str">
        <f>+VLOOKUP(B31,cennik!A:G,2,FALSE)</f>
        <v>SEVROLL wózek górny 10mm asymetryczny L+P</v>
      </c>
      <c r="D31" s="15">
        <f>IF((D50+D51)&gt;D4,0,D4-(D50+D51))</f>
        <v>0</v>
      </c>
      <c r="E31" s="86">
        <f>+VLOOKUP(B31,cennik!A:G,3,FALSE)</f>
        <v>27.305399999999999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dolne wózki</v>
      </c>
      <c r="B32" s="15">
        <f>IF(F4=M68,328321,229441)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szczotka odbojowa</v>
      </c>
      <c r="B33" s="15" t="e">
        <f>+VLOOKUP(L48,data!C839:D863,2,0)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rączka</v>
      </c>
      <c r="B34" s="15" t="e">
        <f>+VLOOKUP(P7,data!C715:D726,2,0)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śruba łącząca</v>
      </c>
      <c r="B35" s="1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listwa pozioma górna</v>
      </c>
      <c r="B36" s="15" t="e">
        <f>+VLOOKUP(M29,data!C335:D381,2,0)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/>
    </row>
    <row r="37" spans="1:22" ht="12.75" customHeight="1" x14ac:dyDescent="0.25">
      <c r="A37" s="320" t="str">
        <f>+System10!A36</f>
        <v>listwa pozioma górna</v>
      </c>
      <c r="B37" s="22" t="e">
        <f>IF(M30&lt;&gt;"jiné",+VLOOKUP(M30,data!C335:D381,2,0),"")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/>
    </row>
    <row r="38" spans="1:22" ht="12.75" customHeight="1" x14ac:dyDescent="0.25">
      <c r="A38" s="320" t="str">
        <f>+System10!A38</f>
        <v>poziomy dolny profil ramy</v>
      </c>
      <c r="B38" s="15" t="e">
        <f>+VLOOKUP(M29,data!C406:D452,2,0)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/>
    </row>
    <row r="39" spans="1:22" ht="12.75" customHeight="1" x14ac:dyDescent="0.25">
      <c r="A39" s="320" t="str">
        <f>+System10!A39</f>
        <v>poziomy dolny profil ramy</v>
      </c>
      <c r="B39" s="22" t="e">
        <f>IF(M30&lt;&gt;"jiné",+VLOOKUP(M30,data!C406:D452,2,0),"")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/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22" ht="12.75" customHeight="1" x14ac:dyDescent="0.25">
      <c r="A41" s="325" t="str">
        <f>texty!A66</f>
        <v>Akcesoria:</v>
      </c>
      <c r="B41" s="15"/>
      <c r="C41" s="19"/>
      <c r="D41" s="343" t="str">
        <f>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/>
    </row>
    <row r="42" spans="1:22" ht="12.75" customHeight="1" x14ac:dyDescent="0.25">
      <c r="A42" s="320" t="str">
        <f>texty!A88</f>
        <v>pozycjoner wózka górnego</v>
      </c>
      <c r="B42" s="15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Wkręt do dolnego toru</v>
      </c>
      <c r="B49" s="15">
        <v>98019</v>
      </c>
      <c r="C49" s="23" t="str">
        <f>+VLOOKUP(B49,cennik!A:G,2,FALSE)</f>
        <v>SEVROLL wkręt 2,5x18mm</v>
      </c>
      <c r="D49" s="278"/>
      <c r="E49" s="86">
        <f>+VLOOKUP(B49,cennik!A:G,3,FALSE)</f>
        <v>0.10996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tłumienie (para)25 kg</v>
      </c>
      <c r="B50" s="22">
        <v>227185</v>
      </c>
      <c r="C50" s="23" t="str">
        <f>+VLOOKUP(B50,cennik!A:G,2,FALSE)</f>
        <v>K-SEVROLL tłumienie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tłumienie (para) 50 kg</v>
      </c>
      <c r="B51" s="22">
        <v>227187</v>
      </c>
      <c r="C51" s="23" t="str">
        <f>+VLOOKUP(B51,cennik!A:G,2,FALSE)</f>
        <v>K-SEVROLL tłumienie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zł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profil łączący H10-3metry</v>
      </c>
      <c r="B52" s="15" t="e">
        <f>+VLOOKUP(P7,data!C496:D509,2,0)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profil łączący H30-3metry</v>
      </c>
      <c r="B53" s="15" t="str">
        <f>IFERROR(VLOOKUP(P7,data!C508:D516,2,0),"N/A")</f>
        <v>N/A</v>
      </c>
      <c r="C53" s="23" t="str">
        <f>IF(B53=data!D64,texty!A239,+VLOOKUP(B53,cennik!A:G,2,FALSE))</f>
        <v> w tym kolorze i długości dany profil nie jest produkowany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śruba łącząca</v>
      </c>
      <c r="B54" s="15">
        <v>89244</v>
      </c>
      <c r="C54" s="23" t="str">
        <f>+VLOOKUP(B54,cennik!A:G,2,FALSE)</f>
        <v>SEVROLL blachowkręt 6,3x32 SEVROLL i Simple</v>
      </c>
      <c r="D54" s="354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szczotka przeciwkurzowa</v>
      </c>
      <c r="B55" s="15">
        <v>95946</v>
      </c>
      <c r="C55" s="23" t="str">
        <f>+VLOOKUP(B55,cennik!A:G,2,FALSE)</f>
        <v>SEVROLL szczotka przeciwkurzowa bez kleju 4,8x13 mm, szara</v>
      </c>
      <c r="D55" s="354"/>
      <c r="E55" s="86">
        <f>+VLOOKUP(B55,cennik!A:G,3,FALSE)</f>
        <v>0.80579999999999996</v>
      </c>
      <c r="F55" s="86">
        <f>+E55*D55</f>
        <v>0</v>
      </c>
      <c r="G55" s="87">
        <f>+F55*(100-G26)/100</f>
        <v>0</v>
      </c>
      <c r="H55" s="22" t="str">
        <f>cennik!B2</f>
        <v>zł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zamek do drzwi przesuwnych</v>
      </c>
      <c r="B56" s="15">
        <v>216363</v>
      </c>
      <c r="C56" s="23" t="str">
        <f>+VLOOKUP(B56,cennik!A:G,2,FALSE)</f>
        <v>SEVROLL zamek do drzwi przesuwnych 10/18mm</v>
      </c>
      <c r="D56" s="354"/>
      <c r="E56" s="86">
        <f>+VLOOKUP(B56,cennik!A:G,3,FALSE)</f>
        <v>66.840599999999995</v>
      </c>
      <c r="F56" s="86">
        <f>+E56*D56</f>
        <v>0</v>
      </c>
      <c r="G56" s="87">
        <f>+F56*(100-G26)/100</f>
        <v>0</v>
      </c>
      <c r="H56" s="22" t="str">
        <f>cennik!B2</f>
        <v>zł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Długość uszczelki w przypadku całkowitego zaszklenia (należy zamówić całe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(w przypadku kombinacji z profilami H należy dodać odpowiednią długość - uszczelka musi być na całym obwodzie każdego szkła)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uszczelka na szkło 4mm</v>
      </c>
      <c r="B61" s="15">
        <v>89238</v>
      </c>
      <c r="C61" s="23" t="str">
        <f>+VLOOKUP(B61,cennik!A:G,2,FALSE)</f>
        <v>SEVROLL uszczelka do szkła 10/4 mm</v>
      </c>
      <c r="D61" s="355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uszczelka na szkło 4,5mm</v>
      </c>
      <c r="B62" s="15">
        <v>135164</v>
      </c>
      <c r="C62" s="23" t="str">
        <f>+VLOOKUP(B62,cennik!A:G,2,FALSE)</f>
        <v>SEVROLL uszczelka bezbarwna 10/4,5mm</v>
      </c>
      <c r="D62" s="355"/>
      <c r="E62" s="86">
        <f>+VLOOKUP(B62,cennik!A:G,3,FALSE)</f>
        <v>2.7501000000000002</v>
      </c>
      <c r="F62" s="91">
        <f>+CEILING(D62,1)*E62</f>
        <v>0</v>
      </c>
      <c r="G62" s="87">
        <f>+F62*(100-G26)/100</f>
        <v>0</v>
      </c>
      <c r="H62" s="22" t="str">
        <f>cennik!B2</f>
        <v>zł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uszczelka na szkło 6mm</v>
      </c>
      <c r="B63" s="15">
        <v>89243</v>
      </c>
      <c r="C63" s="23" t="str">
        <f>+VLOOKUP(B63,cennik!A:G,2,FALSE)</f>
        <v>SEVROLL uszczelka bezbarwna 10/6mm</v>
      </c>
      <c r="D63" s="355"/>
      <c r="E63" s="86">
        <f>+VLOOKUP(B63,cennik!A:G,3,FALSE)</f>
        <v>2.7501000000000002</v>
      </c>
      <c r="F63" s="91">
        <f>+CEILING(D63,1)*E63</f>
        <v>0</v>
      </c>
      <c r="G63" s="87">
        <f>+F63*(100-G26)/100</f>
        <v>0</v>
      </c>
      <c r="H63" s="22" t="str">
        <f>cennik!B2</f>
        <v>zł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 xml:space="preserve">tutaj można znaleźć inne akcesoria 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rysunek techniczny tego systemu</v>
      </c>
      <c r="B65" s="471">
        <v>129677</v>
      </c>
      <c r="C65" s="472" t="str">
        <f>VLOOKUP(B65,cennik!A:C,2,0)</f>
        <v>SEVROLL element montażowy do płyty laminowanej 10mm mały</v>
      </c>
      <c r="D65" s="355"/>
      <c r="E65" s="86">
        <f>+VLOOKUP(B65,cennik!A:G,3,FALSE)</f>
        <v>51.590769999999999</v>
      </c>
      <c r="F65" s="91">
        <f>+CEILING(D65,1)*E65</f>
        <v>0</v>
      </c>
      <c r="G65" s="87">
        <f>+F65</f>
        <v>0</v>
      </c>
      <c r="H65" s="22" t="str">
        <f>cennik!B2</f>
        <v>zł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1">
        <v>128842</v>
      </c>
      <c r="C66" s="472" t="str">
        <f>VLOOKUP(B66,cennik!A:C,2,0)</f>
        <v>SEVROLL wiertło stopniowe 6,5/9,5mm</v>
      </c>
      <c r="D66" s="355"/>
      <c r="E66" s="86">
        <f>+VLOOKUP(B66,cennik!A:G,3,FALSE)</f>
        <v>116.85122</v>
      </c>
      <c r="F66" s="91">
        <f>+CEILING(D66,1)*E66</f>
        <v>0</v>
      </c>
      <c r="G66" s="87">
        <f>+F66</f>
        <v>0</v>
      </c>
      <c r="H66" s="22" t="str">
        <f>cennik!B2</f>
        <v>zł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w sumie (bez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zł</v>
      </c>
      <c r="I68" s="22"/>
      <c r="J68" s="166"/>
      <c r="K68" s="166">
        <v>68</v>
      </c>
      <c r="L68" s="4" t="str">
        <f>data!J4</f>
        <v>srebrny</v>
      </c>
      <c r="M68" s="19" t="s">
        <v>968</v>
      </c>
    </row>
    <row r="69" spans="1:14" ht="12.75" customHeight="1" x14ac:dyDescent="0.25">
      <c r="A69" s="337" t="str">
        <f>System10!A67</f>
        <v>Uwagi</v>
      </c>
      <c r="B69" s="690"/>
      <c r="C69" s="691"/>
      <c r="D69" s="691"/>
      <c r="E69" s="691"/>
      <c r="F69" s="691"/>
      <c r="G69" s="692"/>
      <c r="H69" s="22"/>
      <c r="I69" s="22"/>
      <c r="L69" s="4" t="str">
        <f>data!J5</f>
        <v>złoty/mosiądz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data!J6</f>
        <v>j.brąz</v>
      </c>
      <c r="M70" s="19"/>
    </row>
    <row r="71" spans="1:14" ht="12.75" customHeight="1" x14ac:dyDescent="0.25">
      <c r="A71" s="680" t="str">
        <f>IF(N71=1,texty!A215,IF(K71&gt;0,texty!A214,""))</f>
        <v>niektóre elementy nie są produkowane w wybranej długości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L71" s="4" t="str">
        <f>data!J7</f>
        <v>j.brąz szczotkowany</v>
      </c>
      <c r="N71" s="4">
        <f>IF(ISERROR(K71),1,0)</f>
        <v>1</v>
      </c>
    </row>
    <row r="72" spans="1:14" ht="12.75" hidden="1" customHeight="1" x14ac:dyDescent="0.25">
      <c r="L72" s="4" t="str">
        <f>data!J8</f>
        <v>szczot.oliwa ciemna</v>
      </c>
    </row>
    <row r="73" spans="1:14" ht="12.75" hidden="1" customHeight="1" x14ac:dyDescent="0.25">
      <c r="L73" s="4" t="str">
        <f>data!J9</f>
        <v>szczot.czarna</v>
      </c>
    </row>
    <row r="74" spans="1:14" ht="12.75" hidden="1" customHeight="1" x14ac:dyDescent="0.25">
      <c r="L74" s="4" t="str">
        <f>data!J15</f>
        <v> biały połysk</v>
      </c>
    </row>
    <row r="75" spans="1:14" ht="12.75" hidden="1" customHeight="1" x14ac:dyDescent="0.25">
      <c r="L75" s="4" t="str">
        <f>data!J16</f>
        <v>czarny połysk</v>
      </c>
    </row>
    <row r="76" spans="1:14" ht="12.75" hidden="1" customHeight="1" x14ac:dyDescent="0.25">
      <c r="L76" s="4" t="str">
        <f>data!J17</f>
        <v> czarny mat</v>
      </c>
    </row>
    <row r="77" spans="1:14" ht="12.75" hidden="1" customHeight="1" x14ac:dyDescent="0.25">
      <c r="L77" s="4" t="str">
        <f>data!J12</f>
        <v>grafit</v>
      </c>
    </row>
    <row r="78" spans="1:14" ht="12.75" hidden="1" customHeight="1" x14ac:dyDescent="0.25">
      <c r="L78" s="4" t="str">
        <f>data!J18</f>
        <v>biały mat</v>
      </c>
    </row>
    <row r="79" spans="1:14" ht="12.75" hidden="1" customHeight="1" x14ac:dyDescent="0.25">
      <c r="L79" s="4" t="str">
        <f>data!J22</f>
        <v>czarny lakier strukturalny</v>
      </c>
    </row>
  </sheetData>
  <sheetProtection algorithmName="SHA-512" hashValue="5Qsfqf+EwwSrhF/8BHlRZCRtQhPmUxlSHYS8738i3XzD1PxszDwtvhIflc7Tz17PTdMho4ZQTLZFdaRbxiy6fg==" saltValue="2B92j+vYq1QEbxk+CD5+Xw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A14">
    <cfRule type="expression" dxfId="221" priority="3">
      <formula>SUM($D$47:$D$48)&gt;0</formula>
    </cfRule>
  </conditionalFormatting>
  <conditionalFormatting sqref="D6">
    <cfRule type="expression" dxfId="219" priority="9">
      <formula>$D$4=4</formula>
    </cfRule>
    <cfRule type="expression" dxfId="218" priority="10">
      <formula>$D$4&lt;&gt;4</formula>
    </cfRule>
  </conditionalFormatting>
  <conditionalFormatting sqref="D54">
    <cfRule type="expression" dxfId="217" priority="11" stopIfTrue="1">
      <formula>IF($D$53&gt;0,IF($D$54=0,1,0),0)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dataValidations count="6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4" xr:uid="{00000000-0002-0000-0900-000003000000}">
      <formula1>$L$68:$L$79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IF(OR(E4=L68,E4=L70),M68:M69,M68)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3.6640625" style="4" customWidth="1"/>
    <col min="5" max="7" width="15.332031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3" width="11.664062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-8.25</v>
      </c>
    </row>
    <row r="2" spans="1:22" ht="18.75" customHeight="1" x14ac:dyDescent="0.25">
      <c r="A2" s="405" t="s">
        <v>829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22" ht="38.25" customHeight="1" thickBot="1" x14ac:dyDescent="0.3">
      <c r="A3" s="582" t="str">
        <f>CONCATENATE(texty!A243," ",7,".",24)</f>
        <v>Katalog Okuć meblowych 2024 str. 7.24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22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wypełnij 5 pól !!!!! informacje w mm</v>
      </c>
      <c r="C5" s="699"/>
      <c r="D5" s="699"/>
      <c r="E5" s="699"/>
      <c r="F5" s="699"/>
      <c r="G5" s="695"/>
      <c r="H5" s="695"/>
      <c r="I5" s="69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skrzydło drzwi:</v>
      </c>
      <c r="B7" s="53" t="str">
        <f>IF(B4&gt;0,B4-40,"")</f>
        <v/>
      </c>
      <c r="C7" s="55" t="str">
        <f>IFERROR(((C4-3+(30*(D4-1)))/D4+IF(AND(D4=4,D6=2),M1,0)),"")</f>
        <v/>
      </c>
      <c r="D7" s="7"/>
      <c r="E7" s="7"/>
      <c r="F7" s="7"/>
      <c r="G7" s="46" t="str">
        <f>texty!A39</f>
        <v>W przypadku wykorzystania szkła,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rozmiar wypełnienia 10 mm:</v>
      </c>
      <c r="B8" s="53" t="str">
        <f>IFERROR((B7-64),"")</f>
        <v/>
      </c>
      <c r="C8" s="55" t="str">
        <f>IFERROR((C7-41),"")</f>
        <v/>
      </c>
      <c r="D8" s="7"/>
      <c r="E8" s="7"/>
      <c r="F8" s="7"/>
      <c r="G8" s="46" t="str">
        <f>texty!A40</f>
        <v>należy wybrać bezpieczną szybę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ew. zabezpieczyć ją folią ochronną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długość toru i listwy maskującej skrzydła</v>
      </c>
      <c r="B10" s="53"/>
      <c r="C10" s="56" t="str">
        <f>IFERROR((C7-58),"")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F11" s="7"/>
      <c r="G11" s="3" t="str">
        <f>texty!A43</f>
        <v>Maksymalna waga skrzydła to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 xml:space="preserve">Długość uszczelki na jedno skrzydło to 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7.5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24" customHeight="1" x14ac:dyDescent="0.25">
      <c r="A20" s="6"/>
      <c r="B20" s="376" t="str">
        <f>texty!A242</f>
        <v>dylatacja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partnerska zniżka: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Kody zamówieniowe, ceny: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+'Romeo II'!B27</f>
        <v>kod</v>
      </c>
      <c r="C27" s="16" t="str">
        <f>+'Romeo II'!C27</f>
        <v>nazwa</v>
      </c>
      <c r="D27" s="17" t="str">
        <f>+'Romeo II'!D27</f>
        <v>szt.</v>
      </c>
      <c r="E27" s="17" t="str">
        <f>+'Romeo II'!E27</f>
        <v>cena/szt.</v>
      </c>
      <c r="F27" s="17" t="str">
        <f>+'Romeo II'!F27</f>
        <v>cena w sumie</v>
      </c>
      <c r="G27" s="18" t="str">
        <f>+'Romeo II'!G27</f>
        <v>w sumie netto:</v>
      </c>
      <c r="H27" s="5"/>
      <c r="I27" s="16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Tor górny: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5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Tor dolny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 t="shared" si="0"/>
        <v>#N/A</v>
      </c>
      <c r="G29" s="87" t="e">
        <f>+F29*(100-F26)/100</f>
        <v>#N/A</v>
      </c>
      <c r="H29" s="5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profil maskujący (maskownica):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górne wózki</v>
      </c>
      <c r="B31" s="15">
        <v>228009</v>
      </c>
      <c r="C31" s="23" t="str">
        <f>+VLOOKUP(B31,cennik!A:G,2,FALSE)</f>
        <v>SEVROLL wózek górny Gemini symetryczny 10mm - 2szt</v>
      </c>
      <c r="D31" s="15">
        <f>IF((D50+D51)&gt;D4,0,D4-(D50+D51))</f>
        <v>0</v>
      </c>
      <c r="E31" s="86">
        <f>+VLOOKUP(B31,cennik!A:G,3,FALSE)</f>
        <v>23.174399999999999</v>
      </c>
      <c r="F31" s="86">
        <f t="shared" si="0"/>
        <v>0</v>
      </c>
      <c r="G31" s="87">
        <f>+F31*(100-G26)/100</f>
        <v>0</v>
      </c>
      <c r="H31" s="5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dolne wózki</v>
      </c>
      <c r="B32" s="15">
        <f>IF(F4=M67,328321,229441)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5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5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rączka</v>
      </c>
      <c r="B34" s="15" t="e">
        <f>+VLOOKUP(P7,data!C538:D539,2,0)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śruba łącząca</v>
      </c>
      <c r="B35" s="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5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listwa pozioma górna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listwa pozioma górna</v>
      </c>
      <c r="B37" s="15" t="e">
        <f>IF(M30&lt;&gt;"jiné",+VLOOKUP(M30,data!C335:D366,2,0),"")</f>
        <v>#VALUE!</v>
      </c>
      <c r="C37" s="473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poziomy dolny profil ramy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poziomy dolny profil ramy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Akcesoria:</v>
      </c>
      <c r="B41" s="7"/>
      <c r="D41" s="24" t="str">
        <f>System10!D41</f>
        <v>podaj ilość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pozycjoner wózka górnego</v>
      </c>
      <c r="B42" s="7">
        <v>298035</v>
      </c>
      <c r="C42" s="23" t="str">
        <f>+VLOOKUP(B42,cennik!A:G,2,FALSE)</f>
        <v>SEVROLL Fix pozycjoner wózka górnego transparentny</v>
      </c>
      <c r="D42" s="27"/>
      <c r="E42" s="86">
        <f>+VLOOKUP(B42,cennik!A:G,3,FALSE)</f>
        <v>3.74519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5" t="str">
        <f>cennik!B2</f>
        <v>zł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320" t="str">
        <f>CONCATENATE(texty!A179,)</f>
        <v>Wkręt do dolnego toru</v>
      </c>
      <c r="B49" s="15">
        <v>98019</v>
      </c>
      <c r="C49" s="23" t="str">
        <f>+VLOOKUP(B49,cennik!A:G,2,FALSE)</f>
        <v>SEVROLL wkręt 2,5x18mm</v>
      </c>
      <c r="D49" s="278"/>
      <c r="E49" s="86">
        <f>+VLOOKUP(B49,cennik!A:G,3,FALSE)</f>
        <v>0.10996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System10!A49</f>
        <v>tłumienie (para)25 kg</v>
      </c>
      <c r="B50" s="22">
        <v>227185</v>
      </c>
      <c r="C50" s="23" t="str">
        <f>+VLOOKUP(B50,cennik!A:G,2,FALSE)</f>
        <v>K-SEVROLL tłumienie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zł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texty!A98</f>
        <v>tłumienie (para) 50 kg</v>
      </c>
      <c r="B51" s="22">
        <v>227187</v>
      </c>
      <c r="C51" s="23" t="str">
        <f>+VLOOKUP(B51,cennik!A:G,2,FALSE)</f>
        <v>K-SEVROLL tłumienie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zł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System10!A51</f>
        <v>profil łączący H10-3metry</v>
      </c>
      <c r="B52" s="15" t="e">
        <f>+VLOOKUP(P7,data!C496:D508,2,0)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zł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6" t="str">
        <f>System10!A52</f>
        <v>profil łączący H30-3metry</v>
      </c>
      <c r="B53" s="15" t="e">
        <f>+VLOOKUP(P7,data!C508:D514,2,0)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zł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320" t="str">
        <f>texty!A240</f>
        <v>zamek do drzwi przesuwnych</v>
      </c>
      <c r="B54" s="15">
        <v>363019</v>
      </c>
      <c r="C54" s="23" t="str">
        <f>+VLOOKUP(B54,cennik!A:G,2,FALSE)</f>
        <v>SEVROLL zamek do drzwi przesuwnych, do rączek Karat i Prosper</v>
      </c>
      <c r="D54" s="354"/>
      <c r="E54" s="86">
        <f>+VLOOKUP(B54,cennik!A:G,3,FALSE)</f>
        <v>134.51759999999999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>Na zamówienie</v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 t="str">
        <f>texty!A92</f>
        <v>śruba łącząca</v>
      </c>
      <c r="B55" s="14">
        <v>89244</v>
      </c>
      <c r="C55" s="23" t="str">
        <f>+VLOOKUP(B55,cennik!A:G,2,FALSE)</f>
        <v>SEVROLL blachowkręt 6,3x32 SEVROLL i Simple</v>
      </c>
      <c r="D55" s="28"/>
      <c r="E55" s="86">
        <f>+VLOOKUP(B55,cennik!A:G,3,FALSE)</f>
        <v>0.52500000000000002</v>
      </c>
      <c r="F55" s="86">
        <f>+E55*D55</f>
        <v>0</v>
      </c>
      <c r="G55" s="87">
        <f>+F55*(100-G26)/100</f>
        <v>0</v>
      </c>
      <c r="H55" s="5" t="str">
        <f>cennik!B2</f>
        <v>zł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I56" s="363" t="str">
        <f>IFERROR(IF((VLOOKUP(B56,cennik!A:L,12,0))="O",texty!A250,""),"")</f>
        <v/>
      </c>
      <c r="K56" s="174" t="str">
        <f>IF(D55&gt;0,IF(VLOOKUP(B55,cennik!A:L,12,FALSE)="O",1,""),"")</f>
        <v/>
      </c>
      <c r="L56" s="5"/>
    </row>
    <row r="57" spans="1:12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2"/>
      <c r="H57" s="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5"/>
    </row>
    <row r="58" spans="1:12" ht="12.75" customHeight="1" x14ac:dyDescent="0.25">
      <c r="C58" s="36" t="str">
        <f>texty!A10</f>
        <v>Długość uszczelki w przypadku całkowitego zaszklenia (należy zamówić całe metry)</v>
      </c>
      <c r="D58" s="35" t="str">
        <f>IFERROR((CEILING(((B9+C9)*2/1000*D4),1)),"")</f>
        <v/>
      </c>
      <c r="E58" s="89"/>
      <c r="F58" s="89"/>
      <c r="G58" s="89"/>
      <c r="H58" s="89"/>
      <c r="I58" s="363" t="str">
        <f>IFERROR(IF((VLOOKUP(B58,cennik!A:L,12,0))="O",texty!A250,""),"")</f>
        <v/>
      </c>
      <c r="J58" s="166"/>
      <c r="K58" s="174"/>
      <c r="L58" s="5"/>
    </row>
    <row r="59" spans="1:12" ht="12.75" customHeight="1" x14ac:dyDescent="0.25">
      <c r="A59" s="44" t="str">
        <f>texty!A12</f>
        <v>(w przypadku kombinacji z profilami H należy dodać odpowiednią długość - uszczelka musi być na całym obwodzie każdego szkła)</v>
      </c>
      <c r="B59" s="42"/>
      <c r="C59" s="43"/>
      <c r="D59" s="42"/>
      <c r="E59" s="94"/>
      <c r="F59" s="94"/>
      <c r="G59" s="94"/>
      <c r="H59" s="5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System10!A59</f>
        <v>uszczelka na szkło 4mm</v>
      </c>
      <c r="B60" s="15">
        <v>89238</v>
      </c>
      <c r="C60" s="23" t="str">
        <f>+VLOOKUP(B60,cennik!A:G,2,FALSE)</f>
        <v>SEVROLL uszczelka do szkła 10/4 mm</v>
      </c>
      <c r="D60" s="41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5" t="str">
        <f>cennik!B2</f>
        <v>zł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6" t="str">
        <f>texty!A103</f>
        <v>uszczelka na szkło 4,5mm</v>
      </c>
      <c r="B61" s="15">
        <v>135164</v>
      </c>
      <c r="C61" s="23" t="str">
        <f>+VLOOKUP(B61,cennik!A:G,2,FALSE)</f>
        <v>SEVROLL uszczelka bezbarwna 10/4,5mm</v>
      </c>
      <c r="D61" s="41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5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3"/>
    </row>
    <row r="62" spans="1:12" ht="12.75" customHeight="1" x14ac:dyDescent="0.25">
      <c r="A62" s="6" t="str">
        <f>System10!A61</f>
        <v>uszczelka na szkło 6mm</v>
      </c>
      <c r="B62" s="15">
        <v>89243</v>
      </c>
      <c r="C62" s="23" t="str">
        <f>+VLOOKUP(B62,cennik!A:G,2,FALSE)</f>
        <v>SEVROLL uszczelka bezbarwna 10/6mm</v>
      </c>
      <c r="D62" s="41"/>
      <c r="E62" s="86">
        <f>+VLOOKUP(B62,cennik!A:G,3,FALSE)</f>
        <v>2.7501000000000002</v>
      </c>
      <c r="F62" s="91">
        <f>+CEILING(D62,1)*E62</f>
        <v>0</v>
      </c>
      <c r="G62" s="87">
        <f>+F62*(100-G26)/100</f>
        <v>0</v>
      </c>
      <c r="H62" s="5" t="str">
        <f>cennik!B2</f>
        <v>zł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5" x14ac:dyDescent="0.25">
      <c r="A63" s="209" t="str">
        <f>texty!A190</f>
        <v xml:space="preserve">tutaj można znaleźć inne akcesoria </v>
      </c>
      <c r="E63" s="89"/>
      <c r="F63" s="89"/>
      <c r="G63" s="89"/>
      <c r="H63" s="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A64" s="209" t="str">
        <f>texty!A244</f>
        <v>rysunek techniczny tego systemu</v>
      </c>
      <c r="B64" s="443">
        <v>129677</v>
      </c>
      <c r="C64" s="474" t="str">
        <f>VLOOKUP(B64,cennik!A:C,2,0)</f>
        <v>SEVROLL element montażowy do płyty laminowanej 10mm mały</v>
      </c>
      <c r="D64" s="41"/>
      <c r="E64" s="86">
        <f>+VLOOKUP(B64,cennik!A:G,3,FALSE)</f>
        <v>51.590769999999999</v>
      </c>
      <c r="F64" s="91">
        <f>+CEILING(D64,1)*E64</f>
        <v>0</v>
      </c>
      <c r="G64" s="87">
        <f>F64</f>
        <v>0</v>
      </c>
      <c r="H64" s="5" t="str">
        <f>cennik!B2</f>
        <v>zł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B65" s="443">
        <v>128842</v>
      </c>
      <c r="C65" s="474" t="str">
        <f>VLOOKUP(B65,cennik!A:C,2,0)</f>
        <v>SEVROLL wiertło stopniowe 6,5/9,5mm</v>
      </c>
      <c r="D65" s="41"/>
      <c r="E65" s="86">
        <f>+VLOOKUP(B65,cennik!A:G,3,FALSE)</f>
        <v>116.85122</v>
      </c>
      <c r="F65" s="91">
        <f>+CEILING(D65,1)*E65</f>
        <v>0</v>
      </c>
      <c r="G65" s="87">
        <f>F65</f>
        <v>0</v>
      </c>
      <c r="H65" s="5" t="str">
        <f>cennik!B2</f>
        <v>zł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5"/>
    </row>
    <row r="66" spans="1:14" ht="12.75" customHeight="1" x14ac:dyDescent="0.25">
      <c r="A66" s="210" t="str">
        <f>IF(SUM(D50:D51)&gt;0,IF(C7&lt;(B4/3),texty!A212,""),"")</f>
        <v/>
      </c>
      <c r="B66" s="210"/>
      <c r="C66" s="210"/>
      <c r="D66" s="210"/>
      <c r="E66" s="210"/>
      <c r="F66" s="210"/>
      <c r="G66" s="210"/>
      <c r="H66" s="210"/>
      <c r="I66" s="210"/>
      <c r="J66" s="210"/>
      <c r="K66" s="126"/>
    </row>
    <row r="67" spans="1:14" ht="12.75" customHeight="1" x14ac:dyDescent="0.25">
      <c r="B67" s="7"/>
      <c r="C67" s="7"/>
      <c r="D67" s="71" t="str">
        <f>texty!A15</f>
        <v>w sumie (bez VAT)</v>
      </c>
      <c r="E67" s="94"/>
      <c r="F67" s="96" t="e">
        <f>SUM(F28:F65)</f>
        <v>#N/A</v>
      </c>
      <c r="G67" s="96" t="e">
        <f>SUM(G28:G65)</f>
        <v>#N/A</v>
      </c>
      <c r="H67" s="5" t="str">
        <f>cennik!B2</f>
        <v>zł</v>
      </c>
      <c r="J67" s="166"/>
      <c r="K67" s="166"/>
      <c r="L67" s="4" t="str">
        <f>texty!A128</f>
        <v>srebrny</v>
      </c>
      <c r="M67" s="19" t="s">
        <v>968</v>
      </c>
    </row>
    <row r="68" spans="1:14" ht="12.75" customHeight="1" x14ac:dyDescent="0.25">
      <c r="A68" s="70" t="str">
        <f>System10!A67</f>
        <v>Uwagi</v>
      </c>
      <c r="B68" s="700"/>
      <c r="C68" s="701"/>
      <c r="D68" s="701"/>
      <c r="E68" s="701"/>
      <c r="F68" s="701"/>
      <c r="G68" s="702"/>
      <c r="I68" s="4"/>
      <c r="L68" s="4" t="str">
        <f>texty!A130</f>
        <v>j.brąz</v>
      </c>
      <c r="M68" s="19" t="s">
        <v>42</v>
      </c>
    </row>
    <row r="69" spans="1:14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  <c r="H69" s="697"/>
    </row>
    <row r="70" spans="1:14" ht="12.75" customHeight="1" x14ac:dyDescent="0.25">
      <c r="A70" s="698" t="str">
        <f>IF(N70=1,texty!A215,IF(K70&gt;0,texty!A214,""))</f>
        <v>niektóre elementy nie są produkowane w wybranej długości</v>
      </c>
      <c r="B70" s="698"/>
      <c r="C70" s="698"/>
      <c r="D70" s="698"/>
      <c r="E70" s="698"/>
      <c r="F70" s="698"/>
      <c r="G70" s="698"/>
      <c r="H70" s="698"/>
      <c r="K70" s="5" t="e">
        <f>SUM(K28:K65)</f>
        <v>#N/A</v>
      </c>
      <c r="N70" s="4">
        <f>IF(ISERROR(K70),1,0)</f>
        <v>1</v>
      </c>
    </row>
  </sheetData>
  <sheetProtection algorithmName="SHA-512" hashValue="GZTbvstLHyEbBkFMnv6yAtbaZqp9Qc39kKBkznozYvDvMQhWfSC8yfCG0YfGCbwc5yv6e5QWfuwPCZ+nxFnxoQ==" saltValue="aLy4CUOzIvhJaKTfQMy+6w==" spinCount="100000" sheet="1" objects="1" scenarios="1"/>
  <mergeCells count="12">
    <mergeCell ref="A69:H69"/>
    <mergeCell ref="A70:H70"/>
    <mergeCell ref="R6:R7"/>
    <mergeCell ref="S6:S7"/>
    <mergeCell ref="B5:F5"/>
    <mergeCell ref="B68:G68"/>
    <mergeCell ref="A14:B15"/>
    <mergeCell ref="T6:T7"/>
    <mergeCell ref="U6:U7"/>
    <mergeCell ref="G4:I6"/>
    <mergeCell ref="I19:I20"/>
    <mergeCell ref="I21:I22"/>
  </mergeCells>
  <conditionalFormatting sqref="A14">
    <cfRule type="expression" dxfId="213" priority="3">
      <formula>SUM($D$47:$D$48)&gt;0</formula>
    </cfRule>
  </conditionalFormatting>
  <conditionalFormatting sqref="D6">
    <cfRule type="expression" dxfId="211" priority="7">
      <formula>$D$4=4</formula>
    </cfRule>
    <cfRule type="expression" dxfId="210" priority="8">
      <formula>$D$4&lt;&gt;4</formula>
    </cfRule>
  </conditionalFormatting>
  <conditionalFormatting sqref="D55">
    <cfRule type="expression" dxfId="209" priority="9" stopIfTrue="1">
      <formula>IF(D53&gt;0,IF(D55=0,1,0),0)</formula>
    </cfRule>
  </conditionalFormatting>
  <conditionalFormatting sqref="G4">
    <cfRule type="expression" dxfId="208" priority="6">
      <formula>$D$4=4</formula>
    </cfRule>
  </conditionalFormatting>
  <conditionalFormatting sqref="I19:I20">
    <cfRule type="expression" dxfId="207" priority="4">
      <formula>$F$4=$M$68</formula>
    </cfRule>
  </conditionalFormatting>
  <conditionalFormatting sqref="I21:I22">
    <cfRule type="expression" dxfId="206" priority="5">
      <formula>$F$4=$M$67</formula>
    </cfRule>
  </conditionalFormatting>
  <dataValidations count="7">
    <dataValidation type="decimal" allowBlank="1" showInputMessage="1" showErrorMessage="1" errorTitle="Nelze" error="Max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6.109375" style="4" customWidth="1"/>
    <col min="7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6579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22" ht="36" customHeight="1" thickBot="1" x14ac:dyDescent="0.3">
      <c r="A3" s="582" t="str">
        <f>CONCATENATE(texty!A243," ",7,".",24)</f>
        <v>Katalog Okuć meblowych 2024 str. 7.24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22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wypełnij 5 pól !!!!! informacje w mm</v>
      </c>
      <c r="C5" s="699"/>
      <c r="D5" s="699"/>
      <c r="E5" s="699"/>
      <c r="F5" s="699"/>
      <c r="G5" s="695"/>
      <c r="H5" s="695"/>
      <c r="I5" s="69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skrzydło drzwi:</v>
      </c>
      <c r="B7" s="53" t="str">
        <f>IF(B4&gt;0,B4-40,"")</f>
        <v/>
      </c>
      <c r="C7" s="55" t="str">
        <f>IFERROR(((C4-3+(22*(D4-1)))/D4+IF(AND(D4=4,D6=2),M1,0)),"")</f>
        <v/>
      </c>
      <c r="D7" s="7"/>
      <c r="E7" s="7"/>
      <c r="F7" s="7"/>
      <c r="G7" s="46" t="str">
        <f>texty!A39</f>
        <v>W przypadku wykorzystania szkła,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rozmiar wypełnienia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należy wybrać bezpieczną szybę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ew. zabezpieczyć ją folią ochronną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długość toru i listwy maskującej skrzydła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F11" s="7"/>
      <c r="G11" s="3" t="str">
        <f>texty!A43</f>
        <v>Maksymalna waga skrzydła to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7.25" customHeight="1" x14ac:dyDescent="0.25">
      <c r="A13" s="9" t="str">
        <f>texty!A77</f>
        <v xml:space="preserve">Długość uszczelki na jedno skrzydło to 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16.5" customHeight="1" x14ac:dyDescent="0.25">
      <c r="A20" s="6"/>
      <c r="B20" s="376" t="str">
        <f>texty!A242</f>
        <v>dylatacja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partnerska zniżka: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Kody zamówieniowe, ceny: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kod</v>
      </c>
      <c r="C27" s="16" t="str">
        <f>+'Romeo II'!C27</f>
        <v>nazwa</v>
      </c>
      <c r="D27" s="17" t="str">
        <f>+'Romeo II'!D27</f>
        <v>szt.</v>
      </c>
      <c r="E27" s="17" t="str">
        <f>+'Romeo II'!E27</f>
        <v>cena/szt.</v>
      </c>
      <c r="F27" s="17" t="str">
        <f>+'Romeo II'!F27</f>
        <v>cena w sumie</v>
      </c>
      <c r="G27" s="18" t="str">
        <f>+'Romeo II'!G27</f>
        <v>w sumie netto:</v>
      </c>
      <c r="H27" s="5"/>
      <c r="I27" s="16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Tor górny: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Tor dolny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profil maskujący (maskownica):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górne wózki</v>
      </c>
      <c r="B31" s="15">
        <v>228009</v>
      </c>
      <c r="C31" s="23" t="str">
        <f>+VLOOKUP(B31,cennik!A:G,2,FALSE)</f>
        <v>SEVROLL wózek górny Gemini symetryczny 10mm - 2szt</v>
      </c>
      <c r="D31" s="15">
        <f>IF((D49+D50)&gt;D4,0,D4-(D49+D50))</f>
        <v>0</v>
      </c>
      <c r="E31" s="86">
        <f>+VLOOKUP(B31,cennik!A:G,3,FALSE)</f>
        <v>23.174399999999999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dolne wózki</v>
      </c>
      <c r="B32" s="15">
        <f>IF(F4=M66,328321,229441)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5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5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rączka</v>
      </c>
      <c r="B34" s="15" t="e">
        <f>+VLOOKUP(P7,data!C535:D536,2,0)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śruba łącząca</v>
      </c>
      <c r="B35" s="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5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listwa pozioma górna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listwa pozioma górna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poziomy dolny profil ramy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poziomy dolny profil ramy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Akcesoria:</v>
      </c>
      <c r="B41" s="7"/>
      <c r="D41" s="24" t="str">
        <f>System10!D41</f>
        <v>podaj ilość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pozycjoner wózka górnego</v>
      </c>
      <c r="B42" s="7">
        <v>298035</v>
      </c>
      <c r="C42" s="23" t="str">
        <f>+VLOOKUP(B42,cennik!A:G,2,FALSE)</f>
        <v>SEVROLL Fix pozycjoner wózka górnego transparentny</v>
      </c>
      <c r="D42" s="27"/>
      <c r="E42" s="86">
        <f>+VLOOKUP(B42,cennik!A:G,3,FALSE)</f>
        <v>3.74519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5" t="str">
        <f>cennik!B2</f>
        <v>zł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5" t="str">
        <f>cennik!B2</f>
        <v>zł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5" t="str">
        <f>cennik!B2</f>
        <v>zł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5" t="str">
        <f>cennik!B2</f>
        <v>zł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5" t="str">
        <f>cennik!B2</f>
        <v>zł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5" t="str">
        <f>cennik!B2</f>
        <v>zł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System10!A49</f>
        <v>tłumienie (para)25 kg</v>
      </c>
      <c r="B49" s="22">
        <v>227185</v>
      </c>
      <c r="C49" s="23" t="str">
        <f>+VLOOKUP(B49,cennik!A:G,2,FALSE)</f>
        <v>K-SEVROLL tłumienie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zł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2" ht="12.75" customHeight="1" x14ac:dyDescent="0.25">
      <c r="A50" s="6" t="str">
        <f>texty!A98</f>
        <v>tłumienie (para) 50 kg</v>
      </c>
      <c r="B50" s="22">
        <v>227187</v>
      </c>
      <c r="C50" s="23" t="str">
        <f>+VLOOKUP(B50,cennik!A:G,2,FALSE)</f>
        <v>K-SEVROLL tłumienie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zł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6" t="str">
        <f>texty!A100</f>
        <v>profil łączący H10-3metry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zł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profil łączący H30-3metry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zł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zamek do drzwi przesuwnych</v>
      </c>
      <c r="B53" s="15">
        <v>216363</v>
      </c>
      <c r="C53" s="23" t="str">
        <f>+VLOOKUP(B53,cennik!A:G,2,FALSE)</f>
        <v>SEVROLL zamek do drzwi przesuwnych 10/18mm</v>
      </c>
      <c r="D53" s="28"/>
      <c r="E53" s="86">
        <f>+VLOOKUP(B53,cennik!A:G,3,FALSE)</f>
        <v>66.840599999999995</v>
      </c>
      <c r="F53" s="86">
        <f>+E53*D53</f>
        <v>0</v>
      </c>
      <c r="G53" s="87">
        <f>+F53*(100-G26)/100</f>
        <v>0</v>
      </c>
      <c r="H53" s="5" t="str">
        <f>cennik!B2</f>
        <v>zł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2" ht="12.75" customHeight="1" x14ac:dyDescent="0.25">
      <c r="A54" s="6" t="str">
        <f>texty!A92</f>
        <v>śruba łącząca</v>
      </c>
      <c r="B54" s="15">
        <v>89244</v>
      </c>
      <c r="C54" s="23" t="str">
        <f>+VLOOKUP(B54,cennik!A:G,2,FALSE)</f>
        <v>SEVROLL blachowkręt 6,3x32 SEVROLL i Simple</v>
      </c>
      <c r="D54" s="28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5" t="str">
        <f>cennik!B2</f>
        <v>zł</v>
      </c>
      <c r="I54" s="363" t="str">
        <f>IFERROR(IF((VLOOKUP(B54,cennik!A:L,12,0))="O",texty!A250,""),"")</f>
        <v/>
      </c>
      <c r="K54" s="174" t="str">
        <f>IF(D54&gt;0,IF(VLOOKUP(#REF!,cennik!A:L,12,FALSE)="O",1,""),"")</f>
        <v/>
      </c>
      <c r="L54" s="5"/>
    </row>
    <row r="55" spans="1:12" ht="12.75" customHeight="1" x14ac:dyDescent="0.25">
      <c r="D55" s="86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IF(D55&gt;0,IF(VLOOKUP(B54,cennik!A:L,12,FALSE)="O",1,""),"")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5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Długość uszczelki w przypadku całkowitego zaszklenia (należy zamówić całe metry)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(w przypadku kombinacji z profilami H należy dodać odpowiednią długość - uszczelka musi być na całym obwodzie każdego szkła)</v>
      </c>
      <c r="B58" s="42"/>
      <c r="C58" s="43"/>
      <c r="D58" s="42"/>
      <c r="E58" s="94"/>
      <c r="F58" s="94"/>
      <c r="G58" s="94"/>
      <c r="H58" s="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uszczelka na szkło 4mm</v>
      </c>
      <c r="B59" s="15">
        <v>89238</v>
      </c>
      <c r="C59" s="23" t="str">
        <f>+VLOOKUP(B59,cennik!A:G,2,FALSE)</f>
        <v>SEVROLL uszczelka do szkła 10/4 mm</v>
      </c>
      <c r="D59" s="41"/>
      <c r="E59" s="86">
        <f>+VLOOKUP(B59,cennik!A:G,3,FALSE)</f>
        <v>2.7501000000000002</v>
      </c>
      <c r="F59" s="91">
        <f>+CEILING(D59,1)*E59</f>
        <v>0</v>
      </c>
      <c r="G59" s="87">
        <f>+F59*(100-G26)/100</f>
        <v>0</v>
      </c>
      <c r="H59" s="5" t="str">
        <f>cennik!B2</f>
        <v>zł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uszczelka na szkło 4,5mm</v>
      </c>
      <c r="B60" s="15">
        <v>135164</v>
      </c>
      <c r="C60" s="23" t="str">
        <f>+VLOOKUP(B60,cennik!A:G,2,FALSE)</f>
        <v>SEVROLL uszczelka bezbarwna 10/4,5mm</v>
      </c>
      <c r="D60" s="41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5" t="str">
        <f>cennik!B2</f>
        <v>zł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uszczelka na szkło 6mm</v>
      </c>
      <c r="B61" s="15">
        <v>89243</v>
      </c>
      <c r="C61" s="23" t="str">
        <f>+VLOOKUP(B61,cennik!A:G,2,FALSE)</f>
        <v>SEVROLL uszczelka bezbarwna 10/6mm</v>
      </c>
      <c r="D61" s="41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5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 xml:space="preserve">tutaj można znaleźć inne akcesoria </v>
      </c>
      <c r="B62" s="3"/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rysunek techniczny tego systemu</v>
      </c>
      <c r="B63" s="15">
        <v>129677</v>
      </c>
      <c r="C63" s="474" t="str">
        <f>VLOOKUP(B63,cennik!A:C,2,0)</f>
        <v>SEVROLL element montażowy do płyty laminowanej 10mm mały</v>
      </c>
      <c r="D63" s="41"/>
      <c r="E63" s="86">
        <f>+VLOOKUP(B63,cennik!A:G,3,FALSE)</f>
        <v>51.590769999999999</v>
      </c>
      <c r="F63" s="91">
        <f>+CEILING(D63,1)*E63</f>
        <v>0</v>
      </c>
      <c r="G63" s="87">
        <f>F63</f>
        <v>0</v>
      </c>
      <c r="H63" s="5" t="str">
        <f>cennik!B2</f>
        <v>zł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5">
        <v>128842</v>
      </c>
      <c r="C64" s="474" t="str">
        <f>VLOOKUP(B64,cennik!A:C,2,0)</f>
        <v>SEVROLL wiertło stopniowe 6,5/9,5mm</v>
      </c>
      <c r="D64" s="41"/>
      <c r="E64" s="86">
        <f>+VLOOKUP(B64,cennik!A:G,3,FALSE)</f>
        <v>116.85122</v>
      </c>
      <c r="F64" s="91">
        <f>+CEILING(D64,1)*E64</f>
        <v>0</v>
      </c>
      <c r="G64" s="87">
        <f>F64</f>
        <v>0</v>
      </c>
      <c r="H64" s="5" t="str">
        <f>cennik!B2</f>
        <v>zł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IF(SUM(D48:D49)&gt;0,IF(C7&lt;(B4/3),texty!A212,""),"")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w sumie (bez VAT)</v>
      </c>
      <c r="E66" s="94"/>
      <c r="F66" s="96" t="e">
        <f>SUM(F28:F64)</f>
        <v>#N/A</v>
      </c>
      <c r="G66" s="96" t="e">
        <f>SUM(G28:G64)</f>
        <v>#N/A</v>
      </c>
      <c r="H66" s="5" t="str">
        <f>cennik!B2</f>
        <v>zł</v>
      </c>
      <c r="J66" s="166"/>
      <c r="K66" s="166"/>
      <c r="L66" s="4" t="str">
        <f>texty!A128</f>
        <v>srebrny</v>
      </c>
      <c r="M66" s="19" t="s">
        <v>968</v>
      </c>
    </row>
    <row r="67" spans="1:14" ht="12.75" customHeight="1" x14ac:dyDescent="0.25">
      <c r="A67" s="70" t="str">
        <f>System10!A67</f>
        <v>Uwagi</v>
      </c>
      <c r="B67" s="700"/>
      <c r="C67" s="701"/>
      <c r="D67" s="701"/>
      <c r="E67" s="701"/>
      <c r="F67" s="701"/>
      <c r="G67" s="702"/>
      <c r="I67" s="4"/>
      <c r="L67" s="4" t="str">
        <f>texty!A130</f>
        <v>j.brąz</v>
      </c>
      <c r="M67" s="19" t="s">
        <v>42</v>
      </c>
    </row>
    <row r="68" spans="1:14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H68" s="697"/>
    </row>
    <row r="69" spans="1:14" ht="12.75" customHeight="1" x14ac:dyDescent="0.25">
      <c r="A69" s="698" t="str">
        <f>IF(N69=1,texty!A215,IF(K69&gt;0,texty!A214,""))</f>
        <v>niektóre elementy nie są produkowane w wybranej długości</v>
      </c>
      <c r="B69" s="698"/>
      <c r="C69" s="698"/>
      <c r="D69" s="698"/>
      <c r="E69" s="698"/>
      <c r="F69" s="698"/>
      <c r="G69" s="698"/>
      <c r="H69" s="698"/>
      <c r="K69" s="5" t="e">
        <f>SUM(K28:K64)</f>
        <v>#N/A</v>
      </c>
      <c r="N69" s="4">
        <f>IF(ISERROR(K69),1,0)</f>
        <v>1</v>
      </c>
    </row>
  </sheetData>
  <sheetProtection algorithmName="SHA-512" hashValue="W+b15KsoHiB+chMMM8cMM+hvhUwK0HXOlDcas+5DDGPf6sFnZcHgKrdEPFCIBL2ud0+ZbMbsUsAhh/pysPjsBA==" saltValue="BNHVyCtkBMSJIu9ikvhVd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A14">
    <cfRule type="expression" dxfId="205" priority="4">
      <formula>SUM($D$47:$D$48)&gt;0</formula>
    </cfRule>
  </conditionalFormatting>
  <conditionalFormatting sqref="D6">
    <cfRule type="expression" dxfId="203" priority="8">
      <formula>$D$4=4</formula>
    </cfRule>
    <cfRule type="expression" dxfId="202" priority="9">
      <formula>$D$4&lt;&gt;4</formula>
    </cfRule>
  </conditionalFormatting>
  <conditionalFormatting sqref="D54">
    <cfRule type="expression" dxfId="201" priority="1">
      <formula>IF(D52&gt;0,IF(D54=0,1,0),0)</formula>
    </cfRule>
  </conditionalFormatting>
  <conditionalFormatting sqref="G4">
    <cfRule type="expression" dxfId="200" priority="7">
      <formula>$D$4=4</formula>
    </cfRule>
  </conditionalFormatting>
  <conditionalFormatting sqref="I19:I20">
    <cfRule type="expression" dxfId="199" priority="5">
      <formula>$F$4=$M$67</formula>
    </cfRule>
  </conditionalFormatting>
  <conditionalFormatting sqref="I21:I22">
    <cfRule type="expression" dxfId="198" priority="6">
      <formula>$F$4=$M$66</formula>
    </cfRule>
  </conditionalFormatting>
  <dataValidations count="7">
    <dataValidation type="list" allowBlank="1" showInputMessage="1" showErrorMessage="1" sqref="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B04C4F-EF87-479E-BF37-7CE4789A0B77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53.5546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850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22" ht="41.25" customHeight="1" thickBot="1" x14ac:dyDescent="0.3">
      <c r="A3" s="582" t="str">
        <f>CONCATENATE(texty!A243," ",7,".",23)</f>
        <v>Katalog Okuć meblowych 2024 str. 7.23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22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365"/>
      <c r="H4" s="365"/>
      <c r="I4" s="365"/>
      <c r="J4" s="36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wypełnij 5 pól !!!!! informacje w mm</v>
      </c>
      <c r="C5" s="699"/>
      <c r="D5" s="699"/>
      <c r="E5" s="699"/>
      <c r="F5" s="699"/>
      <c r="G5" s="365"/>
      <c r="H5" s="365"/>
      <c r="I5" s="365"/>
      <c r="J5" s="36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J6" s="36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skrzydło drzwi:</v>
      </c>
      <c r="B7" s="53" t="str">
        <f>IF(B4&gt;0,B4-40,"")</f>
        <v/>
      </c>
      <c r="C7" s="55" t="str">
        <f>IFERROR((((C4-3+(22*(D4-1)))/D4+IF(AND(D4=4,D6=2),M1,0))),"")</f>
        <v/>
      </c>
      <c r="D7" s="7"/>
      <c r="E7" s="7"/>
      <c r="F7" s="7"/>
      <c r="G7" s="46" t="str">
        <f>texty!A39</f>
        <v>W przypadku wykorzystania szkła,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rozmiar wypełnienia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należy wybrać bezpieczną szybę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ew. zabezpieczyć ją folią ochronną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długość toru i listwy maskującej skrzydła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F11" s="7"/>
      <c r="G11" s="3" t="str">
        <f>texty!A43</f>
        <v>Maksymalna waga skrzydła to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 xml:space="preserve">Długość uszczelki na jedno skrzydło to </v>
      </c>
      <c r="B13" s="54"/>
      <c r="C13" s="133" t="str">
        <f>IFERROR((ROUND(B9*2+C9*2,0)),"")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50.25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22.5" customHeight="1" x14ac:dyDescent="0.25">
      <c r="A19" s="320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16.5" customHeight="1" x14ac:dyDescent="0.25">
      <c r="A20" s="6"/>
      <c r="B20" s="596" t="str">
        <f>texty!A242</f>
        <v>dylatacja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partnerska zniżka: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Kody zamówieniowe, ceny:</v>
      </c>
      <c r="B26" s="7"/>
      <c r="D26" s="7"/>
      <c r="E26" s="7"/>
      <c r="F26" s="7"/>
      <c r="G26" s="279">
        <f>profil!C15</f>
        <v>0</v>
      </c>
      <c r="H26" s="26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kod</v>
      </c>
      <c r="C27" s="16" t="str">
        <f>+System10!C27</f>
        <v>nazwa</v>
      </c>
      <c r="D27" s="17" t="str">
        <f>+System10!D27</f>
        <v>szt.</v>
      </c>
      <c r="E27" s="17" t="str">
        <f>+System10!E27</f>
        <v>cena/szt.</v>
      </c>
      <c r="F27" s="17" t="str">
        <f>+System10!F27</f>
        <v>cena w sumie</v>
      </c>
      <c r="G27" s="18" t="str">
        <f>+System10!G27</f>
        <v>w sumie netto:</v>
      </c>
      <c r="H27" s="5"/>
      <c r="I27" s="16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Tor górny:</v>
      </c>
      <c r="B28" s="15" t="e">
        <f>+VLOOKUP(L5,data!C211:D255,2,0)</f>
        <v>#N/A</v>
      </c>
      <c r="C28" s="23" t="e">
        <f>+VLOOKUP(B28,cennik!A3:G701,2,FALSE)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Tor dolny</v>
      </c>
      <c r="B29" s="15" t="e">
        <f>+VLOOKUP(N5,data!C4:D83,2,0)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profil maskujący (maskownica):</v>
      </c>
      <c r="B30" s="15" t="e">
        <f>+VLOOKUP(N5,data!C115:D210,2,0)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górne wózki</v>
      </c>
      <c r="B31" s="15">
        <v>228009</v>
      </c>
      <c r="C31" s="23" t="str">
        <f>+VLOOKUP(B31,cennik!A:G,2,FALSE)</f>
        <v>SEVROLL wózek górny Gemini symetryczny 10mm - 2szt</v>
      </c>
      <c r="D31" s="15">
        <f>IF((D49+D50)&gt;D4,0,D4-(D49+D50))</f>
        <v>0</v>
      </c>
      <c r="E31" s="86">
        <f>+VLOOKUP(B31,cennik!A:G,3,FALSE)</f>
        <v>23.174399999999999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dolne wózki</v>
      </c>
      <c r="B32" s="15">
        <f>IF(F4=M66,328321,229441)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5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5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rączka</v>
      </c>
      <c r="B34" s="15" t="e">
        <f>+VLOOKUP(P7,data!C532:D533,2,0)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śruba łącząca</v>
      </c>
      <c r="B35" s="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5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listwa pozioma górna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+System10!A36</f>
        <v>listwa pozioma górna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poziomy dolny profil ramy</v>
      </c>
      <c r="B38" s="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poziomy dolny profil ramy</v>
      </c>
      <c r="B39" s="15" t="e">
        <f>IF(M30&lt;&gt;"jiné",+VLOOKUP(M30,data!C406:D437,2,0),"")</f>
        <v>#VALUE!</v>
      </c>
      <c r="C39" s="23" t="e">
        <f>IF(M30&lt;&gt;"jiné",+VLOOKUP(B39,cennik!A3:G701,2,FALSE),texty!A2)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Akcesoria:</v>
      </c>
      <c r="B41" s="7"/>
      <c r="D41" s="24" t="str">
        <f>System10!D41</f>
        <v>podaj ilość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pozycjoner wózka górnego</v>
      </c>
      <c r="B42" s="7">
        <v>298035</v>
      </c>
      <c r="C42" s="23" t="str">
        <f>+VLOOKUP(B42,cennik!A:G,2,FALSE)</f>
        <v>SEVROLL Fix pozycjoner wózka górnego transparentny</v>
      </c>
      <c r="D42" s="27"/>
      <c r="E42" s="86">
        <f>+VLOOKUP(B42,cennik!A:G,3,FALSE)</f>
        <v>3.74519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zł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22" ht="12.75" customHeight="1" x14ac:dyDescent="0.25">
      <c r="A43" s="6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5" t="str">
        <f>cennik!B2</f>
        <v>zł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5" t="str">
        <f>cennik!B2</f>
        <v>zł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5" t="str">
        <f>cennik!B2</f>
        <v>zł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5" t="str">
        <f>cennik!B2</f>
        <v>zł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5" t="str">
        <f>cennik!B2</f>
        <v>zł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5" t="str">
        <f>cennik!B2</f>
        <v>zł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texty!A97</f>
        <v>tłumienie (para)25 kg</v>
      </c>
      <c r="B49" s="22">
        <v>227185</v>
      </c>
      <c r="C49" s="23" t="str">
        <f>+VLOOKUP(B49,cennik!A:G,2,FALSE)</f>
        <v>K-SEVROLL tłumienie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zł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texty!A98</f>
        <v>tłumienie (para) 50 kg</v>
      </c>
      <c r="B50" s="22">
        <v>227187</v>
      </c>
      <c r="C50" s="23" t="str">
        <f>+VLOOKUP(B50,cennik!A:G,2,FALSE)</f>
        <v>K-SEVROLL tłumienie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zł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texty!A100</f>
        <v>profil łączący H10-3metry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zł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profil łączący H30-3metry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zł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zamek do drzwi przesuwnych</v>
      </c>
      <c r="B53" s="15">
        <v>216363</v>
      </c>
      <c r="C53" s="23" t="str">
        <f>+VLOOKUP(B53,cennik!A:G,2,FALSE)</f>
        <v>SEVROLL zamek do drzwi przesuwnych 10/18mm</v>
      </c>
      <c r="D53" s="28"/>
      <c r="E53" s="86">
        <f>+VLOOKUP(B53,cennik!A:G,3,FALSE)</f>
        <v>66.840599999999995</v>
      </c>
      <c r="F53" s="86">
        <f>+E53*D53</f>
        <v>0</v>
      </c>
      <c r="G53" s="87">
        <f>+F53*(100-G26)/100</f>
        <v>0</v>
      </c>
      <c r="H53" s="5" t="str">
        <f>cennik!B2</f>
        <v>zł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6" t="str">
        <f>texty!A92</f>
        <v>śruba łącząca</v>
      </c>
      <c r="B54" s="15">
        <v>89244</v>
      </c>
      <c r="C54" s="23" t="str">
        <f>+VLOOKUP(B54,cennik!A:G,2,FALSE)</f>
        <v>SEVROLL blachowkręt 6,3x32 SEVROLL i Simple</v>
      </c>
      <c r="D54" s="28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5" t="str">
        <f>cennik!B2</f>
        <v>zł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/>
      <c r="B55" s="14"/>
      <c r="C55" s="23"/>
      <c r="D55" s="23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93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Długość uszczelki w przypadku całkowitego zaszklenia (należy zamówić całe metry)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(w przypadku kombinacji z profilami H należy dodać odpowiednią długość - uszczelka musi być na całym obwodzie każdego szkła)</v>
      </c>
      <c r="B58" s="42"/>
      <c r="C58" s="43"/>
      <c r="D58" s="42"/>
      <c r="E58" s="94"/>
      <c r="F58" s="94"/>
      <c r="G58" s="94"/>
      <c r="H58" s="94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uszczelka na szkło 4mm</v>
      </c>
      <c r="B59" s="15">
        <v>89238</v>
      </c>
      <c r="C59" s="23" t="str">
        <f>+VLOOKUP(B59,cennik!A:G,2,FALSE)</f>
        <v>SEVROLL uszczelka do szkła 10/4 mm</v>
      </c>
      <c r="D59" s="41"/>
      <c r="E59" s="86">
        <f>+VLOOKUP(B59,cennik!A:G,3,FALSE)</f>
        <v>2.7501000000000002</v>
      </c>
      <c r="F59" s="91">
        <f>+CEILING(D59,1)*E59</f>
        <v>0</v>
      </c>
      <c r="G59" s="87">
        <f>+F59*(100-G26)/100</f>
        <v>0</v>
      </c>
      <c r="H59" s="5" t="str">
        <f>cennik!B2</f>
        <v>zł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uszczelka na szkło 4,5mm</v>
      </c>
      <c r="B60" s="15">
        <v>135164</v>
      </c>
      <c r="C60" s="23" t="str">
        <f>+VLOOKUP(B60,cennik!A:G,2,FALSE)</f>
        <v>SEVROLL uszczelka bezbarwna 10/4,5mm</v>
      </c>
      <c r="D60" s="41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5" t="str">
        <f>cennik!B2</f>
        <v>zł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uszczelka na szkło 6mm</v>
      </c>
      <c r="B61" s="15">
        <v>89243</v>
      </c>
      <c r="C61" s="23" t="str">
        <f>+VLOOKUP(B61,cennik!A:G,2,FALSE)</f>
        <v>SEVROLL uszczelka bezbarwna 10/6mm</v>
      </c>
      <c r="D61" s="41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5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 xml:space="preserve">tutaj można znaleźć inne akcesoria </v>
      </c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rysunek techniczny tego systemu</v>
      </c>
      <c r="B63" s="196">
        <v>129677</v>
      </c>
      <c r="C63" s="474" t="str">
        <f>VLOOKUP(B63,cennik!A:C,2,0)</f>
        <v>SEVROLL element montażowy do płyty laminowanej 10mm mały</v>
      </c>
      <c r="D63" s="41"/>
      <c r="E63" s="86">
        <f>+VLOOKUP(B63,cennik!A:G,3,FALSE)</f>
        <v>51.590769999999999</v>
      </c>
      <c r="F63" s="91">
        <f>+CEILING(D63,1)*E63</f>
        <v>0</v>
      </c>
      <c r="G63" s="87">
        <f>F63</f>
        <v>0</v>
      </c>
      <c r="H63" s="5" t="str">
        <f>cennik!B2</f>
        <v>zł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96">
        <v>128842</v>
      </c>
      <c r="C64" s="474" t="str">
        <f>VLOOKUP(B64,cennik!A:C,2,0)</f>
        <v>SEVROLL wiertło stopniowe 6,5/9,5mm</v>
      </c>
      <c r="D64" s="41"/>
      <c r="E64" s="86">
        <f>+VLOOKUP(B64,cennik!A:G,3,FALSE)</f>
        <v>116.85122</v>
      </c>
      <c r="F64" s="91">
        <f>+CEILING(D64,1)*E64</f>
        <v>0</v>
      </c>
      <c r="G64" s="87">
        <f>F64</f>
        <v>0</v>
      </c>
      <c r="H64" s="5" t="str">
        <f>cennik!B2</f>
        <v>zł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IF(SUM(D50:D51)&gt;0,IF(C7&lt;(B4/3),texty!A212,""),"")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w sumie (bez VAT)</v>
      </c>
      <c r="E66" s="94"/>
      <c r="F66" s="96" t="e">
        <f>SUM(F27:F64)</f>
        <v>#N/A</v>
      </c>
      <c r="G66" s="96" t="e">
        <f>SUM(G28:G64)</f>
        <v>#N/A</v>
      </c>
      <c r="H66" s="5" t="str">
        <f>cennik!B2</f>
        <v>zł</v>
      </c>
      <c r="J66" s="166"/>
      <c r="K66" s="166"/>
      <c r="L66" s="4" t="str">
        <f>texty!A128</f>
        <v>srebrny</v>
      </c>
      <c r="M66" s="19" t="s">
        <v>968</v>
      </c>
    </row>
    <row r="67" spans="1:14" ht="12.75" customHeight="1" x14ac:dyDescent="0.25">
      <c r="A67" s="70" t="str">
        <f>System10!A67</f>
        <v>Uwagi</v>
      </c>
      <c r="B67" s="700"/>
      <c r="C67" s="701"/>
      <c r="D67" s="701"/>
      <c r="E67" s="701"/>
      <c r="F67" s="701"/>
      <c r="G67" s="702"/>
      <c r="I67" s="4"/>
      <c r="L67" s="4" t="str">
        <f>texty!A130</f>
        <v>j.brąz</v>
      </c>
      <c r="M67" s="19" t="s">
        <v>42</v>
      </c>
    </row>
    <row r="68" spans="1:14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H68" s="697"/>
    </row>
    <row r="69" spans="1:14" ht="12.75" customHeight="1" x14ac:dyDescent="0.25">
      <c r="A69" s="698" t="str">
        <f>IF(N69=1,texty!A215,IF(K69&gt;0,texty!A214,""))</f>
        <v>niektóre elementy nie są produkowane w wybranej długości</v>
      </c>
      <c r="B69" s="698"/>
      <c r="C69" s="698"/>
      <c r="D69" s="698"/>
      <c r="E69" s="698"/>
      <c r="F69" s="698"/>
      <c r="G69" s="698"/>
      <c r="H69" s="698"/>
      <c r="K69" s="5" t="e">
        <f>SUM(K28:K64)</f>
        <v>#N/A</v>
      </c>
      <c r="N69" s="4">
        <f>IF(ISERROR(K69),1,0)</f>
        <v>1</v>
      </c>
    </row>
  </sheetData>
  <sheetProtection algorithmName="SHA-512" hashValue="59DRADcZs4yAz81VTDiixKt4f52z+0nUTIcz4apu9de95+RKAEM0sZnzzfLYzzBoYns4cryidmDE3gU9SpUxbA==" saltValue="3JyvR1xkRTlyZemTXhYIlw==" spinCount="100000" sheet="1" objects="1" scenarios="1"/>
  <mergeCells count="11">
    <mergeCell ref="B5:F5"/>
    <mergeCell ref="A14:B15"/>
    <mergeCell ref="A69:H69"/>
    <mergeCell ref="U6:U7"/>
    <mergeCell ref="A68:H68"/>
    <mergeCell ref="R6:R7"/>
    <mergeCell ref="S6:S7"/>
    <mergeCell ref="T6:T7"/>
    <mergeCell ref="B67:G67"/>
    <mergeCell ref="I19:I20"/>
    <mergeCell ref="I21:I22"/>
  </mergeCells>
  <phoneticPr fontId="0" type="noConversion"/>
  <conditionalFormatting sqref="A14">
    <cfRule type="expression" dxfId="197" priority="4">
      <formula>SUM($D$47:$D$48)&gt;0</formula>
    </cfRule>
  </conditionalFormatting>
  <conditionalFormatting sqref="D6">
    <cfRule type="expression" dxfId="195" priority="8">
      <formula>$D$4=4</formula>
    </cfRule>
    <cfRule type="expression" dxfId="194" priority="9">
      <formula>$D$4&lt;&gt;4</formula>
    </cfRule>
  </conditionalFormatting>
  <conditionalFormatting sqref="D54">
    <cfRule type="expression" dxfId="193" priority="1">
      <formula>IF(D52&gt;0,IF(D54=0,1,0),0)</formula>
    </cfRule>
  </conditionalFormatting>
  <conditionalFormatting sqref="G4:I6">
    <cfRule type="expression" dxfId="192" priority="7">
      <formula>$D$4=4</formula>
    </cfRule>
  </conditionalFormatting>
  <conditionalFormatting sqref="I19:I20">
    <cfRule type="expression" dxfId="191" priority="5">
      <formula>$F$4=$M$67</formula>
    </cfRule>
  </conditionalFormatting>
  <conditionalFormatting sqref="I21:I22">
    <cfRule type="expression" dxfId="190" priority="6">
      <formula>$F$4=$M$66</formula>
    </cfRule>
  </conditionalFormatting>
  <dataValidations count="6"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7EB2556-3C4F-4B4B-93B4-3E1E66BBB73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2.88671875" style="4" customWidth="1"/>
    <col min="2" max="2" width="14.6640625" style="4" customWidth="1"/>
    <col min="3" max="3" width="53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109375" style="5" customWidth="1"/>
    <col min="10" max="10" width="15" style="5" hidden="1" customWidth="1"/>
    <col min="11" max="16384" width="1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684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42.75" customHeight="1" thickBot="1" x14ac:dyDescent="0.3">
      <c r="A3" s="582" t="str">
        <f>CONCATENATE(texty!A243," ",7,".",33)</f>
        <v>Katalog Okuć meblowych 2024 str. 7.33</v>
      </c>
      <c r="B3" s="318" t="str">
        <f>CONCATENATE(texty!A34," / max.      3 040 mm /")</f>
        <v>wysokość / max.      3 040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5"/>
      <c r="G3" s="5"/>
      <c r="K3" s="5"/>
    </row>
    <row r="4" spans="1:21" ht="18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</row>
    <row r="7" spans="1:21" ht="12.75" customHeight="1" x14ac:dyDescent="0.25">
      <c r="A7" s="9" t="str">
        <f>texty!A71</f>
        <v>skrzydło drzwi:</v>
      </c>
      <c r="B7" s="53" t="str">
        <f>IF(B4&gt;0,B4-40,"")</f>
        <v/>
      </c>
      <c r="C7" s="55" t="str">
        <f>IFERROR((((C4-3+22*(D4-1))/D4+IF(AND(D4=4,D6=2),L1,0))),"")</f>
        <v/>
      </c>
      <c r="D7" s="7"/>
      <c r="E7" s="7"/>
      <c r="F7" s="46" t="str">
        <f>texty!A39</f>
        <v>W przypadku wykorzystania szkła,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rozmiar wypełnienia 10 mm:</v>
      </c>
      <c r="B8" s="53" t="str">
        <f>IFERROR((B7-64),"")</f>
        <v/>
      </c>
      <c r="C8" s="55" t="str">
        <f>IFERROR((C7-25),"")</f>
        <v/>
      </c>
      <c r="D8" s="7"/>
      <c r="E8" s="7"/>
      <c r="F8" s="46" t="str">
        <f>texty!A40</f>
        <v>należy wybrać bezpieczną szybę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ew. zabezpieczyć ją folią ochronną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długość toru i listwy maskującej skrzydła</v>
      </c>
      <c r="B10" s="53"/>
      <c r="C10" s="56" t="str">
        <f>IFERROR((C7-42),"")</f>
        <v/>
      </c>
      <c r="D10" s="7"/>
      <c r="E10" s="7"/>
      <c r="F10" s="3" t="str">
        <f>texty!A43</f>
        <v>Maksymalna waga skrzydła to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 xml:space="preserve">Długość uszczelki na jedno skrzydło to 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3" t="str">
        <f>IF(SUM(D48:D49)&gt;0,texty!A245,"")</f>
        <v/>
      </c>
      <c r="B14" s="683"/>
      <c r="C14" s="599" t="str">
        <f>texty!A78</f>
        <v>dodatkowe zmniejszenie wysokośći wyliczonych wypełnień przy wykorzystaniu profili dzielących: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21.75" customHeight="1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7" spans="1:21" ht="20.2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596" t="str">
        <f>texty!A242</f>
        <v>dylatacja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partnerska zniżka: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Kody zamówieniowe, ceny:</v>
      </c>
      <c r="B26" s="7"/>
      <c r="D26" s="7"/>
      <c r="E26" s="7"/>
      <c r="F26" s="7"/>
      <c r="G26" s="132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kod</v>
      </c>
      <c r="C27" s="16" t="str">
        <f>+System10!C27</f>
        <v>nazwa</v>
      </c>
      <c r="D27" s="17" t="str">
        <f>+System10!D27</f>
        <v>szt.</v>
      </c>
      <c r="E27" s="17" t="str">
        <f>+System10!E27</f>
        <v>cena/szt.</v>
      </c>
      <c r="F27" s="17" t="str">
        <f>+System10!F27</f>
        <v>cena w sumie</v>
      </c>
      <c r="G27" s="18" t="str">
        <f>+System10!G27</f>
        <v>w sumie netto:</v>
      </c>
      <c r="I27" s="16" t="str">
        <f>texty!A29</f>
        <v>Uwagi: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Tor górny: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zł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Tor dolny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zł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profil maskujący (maskownica):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zł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górne wózki</v>
      </c>
      <c r="B31" s="15">
        <v>229442</v>
      </c>
      <c r="C31" s="23" t="str">
        <f>+VLOOKUP(B31,cennik!A:G,2,FALSE)</f>
        <v>SEVROLL Master wózek górny 10mm - 2szt</v>
      </c>
      <c r="D31" s="15">
        <f>IF((D50+D51)&gt;D4,0,D4-(D50+D51))</f>
        <v>0</v>
      </c>
      <c r="E31" s="86">
        <f>+VLOOKUP(B31,cennik!A:G,3,FALSE)</f>
        <v>25.3689</v>
      </c>
      <c r="F31" s="86">
        <f t="shared" si="0"/>
        <v>0</v>
      </c>
      <c r="G31" s="87">
        <f>+F31*(100-G26)/100</f>
        <v>0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dolne wózki</v>
      </c>
      <c r="B32" s="15">
        <v>328321</v>
      </c>
      <c r="C32" s="23" t="str">
        <f>+VLOOKUP(B32,cennik!A:G,2,FALSE)</f>
        <v>SEVROLL wózek dolny WD10 V 2 szt. bez pozycjonera</v>
      </c>
      <c r="D32" s="15">
        <f>+D4</f>
        <v>0</v>
      </c>
      <c r="E32" s="86">
        <f>+VLOOKUP(B32,cennik!A:G,3,FALSE)</f>
        <v>26.52</v>
      </c>
      <c r="F32" s="86">
        <f t="shared" si="0"/>
        <v>0</v>
      </c>
      <c r="G32" s="87">
        <f>+F32*(100-G26)/100</f>
        <v>0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rączka</v>
      </c>
      <c r="B34" s="15" t="e">
        <f>IF(B12&gt;2700, VLOOKUP(O7,data!C550:D551,2,0),IF(B12&lt;1501, VLOOKUP(O7,data!C550:D551,2,0),IF(B12&gt;1347, VLOOKUP(O7,data!C548:D549,2,0), VLOOKUP(O7,data!C548:D549,2,0))))</f>
        <v>#N/A</v>
      </c>
      <c r="C34" s="23" t="e">
        <f>+VLOOKUP(B34,cennik!A:G,2,FALSE)</f>
        <v>#N/A</v>
      </c>
      <c r="D34" s="15">
        <f>IF(B12&lt;=1533,D4*2/2,D4*2)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śruba łącząca</v>
      </c>
      <c r="B35" s="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>+E35*D35</f>
        <v>0</v>
      </c>
      <c r="G35" s="87">
        <f>+F35*(100-G26)/100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listwa pozioma górna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zł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listwa pozioma górna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zł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poziomy dolny profil ramy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poziomy dolny profil ramy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Akcesoria:</v>
      </c>
      <c r="B41" s="7"/>
      <c r="D41" s="24" t="str">
        <f>System10!D41</f>
        <v>podaj ilość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pozycjoner wózka górnego</v>
      </c>
      <c r="B42" s="7">
        <v>298035</v>
      </c>
      <c r="C42" s="23" t="str">
        <f>+VLOOKUP(B42,cennik!A:G,2,FALSE)</f>
        <v>SEVROLL Fix pozycjoner wózka górnego transparentny</v>
      </c>
      <c r="D42" s="27"/>
      <c r="E42" s="86">
        <f>+VLOOKUP(B42,cennik!A:G,3,FALSE)</f>
        <v>3.74519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6" t="str">
        <f>+System10!A43</f>
        <v>pozycjoner</v>
      </c>
      <c r="B43" s="15">
        <v>89063</v>
      </c>
      <c r="C43" s="23" t="str">
        <f>+VLOOKUP(B43,cennik!A:G,2,FALSE)</f>
        <v>SEVROLL pozycjoner wózka dolnego HI-TEC</v>
      </c>
      <c r="D43" s="27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Wkręt do dolnego toru</v>
      </c>
      <c r="B44" s="7">
        <v>98019</v>
      </c>
      <c r="C44" s="23" t="str">
        <f>+VLOOKUP(B44,cennik!A:G,2,FALSE)</f>
        <v>SEVROLL wkręt 2,5x18mm</v>
      </c>
      <c r="D44" s="27"/>
      <c r="E44" s="86">
        <f>+VLOOKUP(B44,cennik!A:G,3,FALSE)</f>
        <v>0.10996</v>
      </c>
      <c r="F44" s="91">
        <f t="shared" si="1"/>
        <v>0</v>
      </c>
      <c r="G44" s="87">
        <f>+F44*(100-G26)/100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 Tłumienie MINI do 25 kg (para)</v>
      </c>
      <c r="B45" s="15">
        <v>318662</v>
      </c>
      <c r="C45" s="23" t="str">
        <f>+VLOOKUP(B45,cennik!A:G,2,FALSE)</f>
        <v>SEVROLL tłumienie Mini SV25 (14-25kg)</v>
      </c>
      <c r="D45" s="27"/>
      <c r="E45" s="86">
        <f>+VLOOKUP(B45,cennik!A:G,3,FALSE)</f>
        <v>96.889799999999994</v>
      </c>
      <c r="F45" s="91">
        <f>+CEILING(D45,1)*E45</f>
        <v>0</v>
      </c>
      <c r="G45" s="87">
        <f>+F45*(100-G26)/100</f>
        <v>0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 Tłumienie MINI do 40 kg (para)</v>
      </c>
      <c r="B46" s="22">
        <v>283956</v>
      </c>
      <c r="C46" s="23" t="str">
        <f>+VLOOKUP(B46,cennik!A:G,2,FALSE)</f>
        <v>SEVROLL tłumienie Mini SV40 (25 - 40kg)</v>
      </c>
      <c r="D46" s="27"/>
      <c r="E46" s="86">
        <f>+VLOOKUP(B46,cennik!A:G,3,FALSE)</f>
        <v>96.889799999999994</v>
      </c>
      <c r="F46" s="91">
        <f>+CEILING(D46,1)*E46</f>
        <v>0</v>
      </c>
      <c r="G46" s="87">
        <f>+F46*(100-G26)/100</f>
        <v>0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 Tłumienie MINI do 60 kg (para)</v>
      </c>
      <c r="B47" s="22">
        <v>351743</v>
      </c>
      <c r="C47" s="23" t="str">
        <f>+VLOOKUP(B47,cennik!A:G,2,FALSE)</f>
        <v>SEVROLL tłumienie Mini SV60 (40 - 60kg)</v>
      </c>
      <c r="D47" s="27"/>
      <c r="E47" s="86">
        <f>+VLOOKUP(B47,cennik!A:G,3,FALSE)</f>
        <v>96.889799999999994</v>
      </c>
      <c r="F47" s="91">
        <f>+CEILING(D47,1)*E47</f>
        <v>0</v>
      </c>
      <c r="G47" s="87">
        <f>+F47*(100-G26)/100</f>
        <v>0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 xml:space="preserve"> Tłumienie do skrzydła środkowego do 25 kg </v>
      </c>
      <c r="B48" s="22">
        <v>318663</v>
      </c>
      <c r="C48" s="23" t="str">
        <f>+VLOOKUP(B48,cennik!A:G,2,FALSE)</f>
        <v>SEVROLL tłumienie Central 10/18mm obustronne 25kg</v>
      </c>
      <c r="D48" s="27"/>
      <c r="E48" s="86">
        <f>+VLOOKUP(B48,cennik!A:G,3,FALSE)</f>
        <v>206.958</v>
      </c>
      <c r="F48" s="91">
        <f>+CEILING(D48,1)*E48</f>
        <v>0</v>
      </c>
      <c r="G48" s="87">
        <f>+F48*(100-G26)/100</f>
        <v>0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2.75" customHeight="1" x14ac:dyDescent="0.25">
      <c r="A49" s="320" t="str">
        <f>texty!A232</f>
        <v xml:space="preserve"> Tłumienie do skrzydła środkowego do 40 kg </v>
      </c>
      <c r="B49" s="22">
        <v>283955</v>
      </c>
      <c r="C49" s="23" t="str">
        <f>+VLOOKUP(B49,cennik!A:G,2,FALSE)</f>
        <v>SEVROLL tłumienie Central 10/18mm obustronne 25-40kg</v>
      </c>
      <c r="D49" s="27"/>
      <c r="E49" s="86">
        <f>+VLOOKUP(B49,cennik!A:G,3,FALSE)</f>
        <v>206.958</v>
      </c>
      <c r="F49" s="91">
        <f>+CEILING(D49,1)*E49</f>
        <v>0</v>
      </c>
      <c r="G49" s="87">
        <f>+F49*(100-G26)/100</f>
        <v>0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tłumienie (para)25 kg</v>
      </c>
      <c r="B50" s="22">
        <v>227185</v>
      </c>
      <c r="C50" s="23" t="str">
        <f>+VLOOKUP(B50,cennik!A:G,2,FALSE)</f>
        <v>K-SEVROLL tłumienie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tłumienie (para) 50 kg</v>
      </c>
      <c r="B51" s="22">
        <v>227187</v>
      </c>
      <c r="C51" s="23" t="str">
        <f>+VLOOKUP(B51,cennik!A:G,2,FALSE)</f>
        <v>K-SEVROLL tłumienie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profil łączący H10-3metry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profil łączący H30-3metry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zamek do drzwi przesuwnych</v>
      </c>
      <c r="B54" s="15">
        <v>216363</v>
      </c>
      <c r="C54" s="23" t="str">
        <f>+VLOOKUP(B54,cennik!A:G,2,FALSE)</f>
        <v>SEVROLL zamek do drzwi przesuwnych 10/18mm</v>
      </c>
      <c r="D54" s="28"/>
      <c r="E54" s="86">
        <f>+VLOOKUP(B54,cennik!A:G,3,FALSE)</f>
        <v>66.840599999999995</v>
      </c>
      <c r="F54" s="86">
        <f>+E54*D54</f>
        <v>0</v>
      </c>
      <c r="G54" s="87">
        <f>+F54*(100-G26)/100</f>
        <v>0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śruba łącząca</v>
      </c>
      <c r="B55" s="15">
        <v>89244</v>
      </c>
      <c r="C55" s="23" t="str">
        <f>+VLOOKUP(B55,cennik!A:G,2,FALSE)</f>
        <v>SEVROLL blachowkręt 6,3x32 SEVROLL i Simple</v>
      </c>
      <c r="D55" s="28"/>
      <c r="E55" s="86">
        <f>+VLOOKUP(B55,cennik!A:G,3,FALSE)</f>
        <v>0.52500000000000002</v>
      </c>
      <c r="F55" s="86">
        <f>+E55*D55</f>
        <v>0</v>
      </c>
      <c r="G55" s="87">
        <f>+F55*(100-G26)/100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/>
      <c r="B56" s="14"/>
      <c r="C56" s="23"/>
      <c r="D56" s="86"/>
      <c r="E56" s="86"/>
      <c r="F56" s="86"/>
      <c r="G56" s="87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3"/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C58" s="36" t="str">
        <f>texty!A10</f>
        <v>Długość uszczelki w przypadku całkowitego zaszklenia (należy zamówić całe metry)</v>
      </c>
      <c r="D58" s="35" t="str">
        <f>IFERROR((CEILING(((B9+C9)*2/1000*D4),1)),"")</f>
        <v/>
      </c>
      <c r="E58" s="89"/>
      <c r="F58" s="89"/>
      <c r="G58" s="89"/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A59" s="44" t="str">
        <f>texty!A12</f>
        <v>(w przypadku kombinacji z profilami H należy dodać odpowiednią długość - uszczelka musi być na całym obwodzie każdego szkła)</v>
      </c>
      <c r="B59" s="42"/>
      <c r="C59" s="43"/>
      <c r="D59" s="42"/>
      <c r="E59" s="94"/>
      <c r="F59" s="94"/>
      <c r="G59" s="94"/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2.75" customHeight="1" x14ac:dyDescent="0.25">
      <c r="A60" s="6" t="str">
        <f>System10!A59</f>
        <v>uszczelka na szkło 4mm</v>
      </c>
      <c r="B60" s="15">
        <v>89238</v>
      </c>
      <c r="C60" s="23" t="str">
        <f>+VLOOKUP(B60,cennik!A:G,2,FALSE)</f>
        <v>SEVROLL uszczelka do szkła 10/4 mm</v>
      </c>
      <c r="D60" s="41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5" t="str">
        <f>cennik!B2</f>
        <v>zł</v>
      </c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texty!A103</f>
        <v>uszczelka na szkło 4,5mm</v>
      </c>
      <c r="B61" s="15">
        <v>135164</v>
      </c>
      <c r="C61" s="23" t="str">
        <f>+VLOOKUP(B61,cennik!A:G,2,FALSE)</f>
        <v>SEVROLL uszczelka bezbarwna 10/4,5mm</v>
      </c>
      <c r="D61" s="41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5" t="str">
        <f>cennik!B2</f>
        <v>zł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 t="str">
        <f>System10!A61</f>
        <v>uszczelka na szkło 6mm</v>
      </c>
      <c r="B62" s="15">
        <v>89243</v>
      </c>
      <c r="C62" s="23" t="str">
        <f>+VLOOKUP(B62,cennik!A:G,2,FALSE)</f>
        <v>SEVROLL uszczelka bezbarwna 10/6mm</v>
      </c>
      <c r="D62" s="41"/>
      <c r="E62" s="86">
        <f>+VLOOKUP(B62,cennik!A:G,3,FALSE)</f>
        <v>2.7501000000000002</v>
      </c>
      <c r="F62" s="91">
        <f>+CEILING(D62,1)*E62</f>
        <v>0</v>
      </c>
      <c r="G62" s="87">
        <f>+F62*(100-G26)/100</f>
        <v>0</v>
      </c>
      <c r="H62" s="5" t="str">
        <f>cennik!B2</f>
        <v>zł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5" x14ac:dyDescent="0.25">
      <c r="A63" s="209" t="str">
        <f>texty!A190</f>
        <v xml:space="preserve">tutaj można znaleźć inne akcesoria </v>
      </c>
      <c r="E63" s="89"/>
      <c r="F63" s="89"/>
      <c r="G63" s="89"/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209" t="str">
        <f>texty!A244</f>
        <v>rysunek techniczny tego systemu</v>
      </c>
      <c r="B64" s="196">
        <v>129677</v>
      </c>
      <c r="C64" s="153" t="str">
        <f>VLOOKUP(B64,cennik!A:C,2,0)</f>
        <v>SEVROLL element montażowy do płyty laminowanej 10mm mały</v>
      </c>
      <c r="D64" s="41"/>
      <c r="E64" s="86">
        <f>+VLOOKUP(B64,cennik!A:G,3,FALSE)</f>
        <v>51.590769999999999</v>
      </c>
      <c r="F64" s="91">
        <f>+CEILING(D64,1)*E64</f>
        <v>0</v>
      </c>
      <c r="G64" s="87">
        <f>F64</f>
        <v>0</v>
      </c>
      <c r="H64" s="5" t="str">
        <f>cennik!B2</f>
        <v>zł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B65" s="196">
        <v>128842</v>
      </c>
      <c r="C65" s="153" t="str">
        <f>VLOOKUP(B65,cennik!A:C,2,0)</f>
        <v>SEVROLL wiertło stopniowe 6,5/9,5mm</v>
      </c>
      <c r="D65" s="41"/>
      <c r="E65" s="86">
        <f>+VLOOKUP(B65,cennik!A:G,3,FALSE)</f>
        <v>116.85122</v>
      </c>
      <c r="F65" s="91">
        <f>+CEILING(D65,1)*E65</f>
        <v>0</v>
      </c>
      <c r="G65" s="87">
        <f>F65</f>
        <v>0</v>
      </c>
      <c r="H65" s="5" t="str">
        <f>cennik!B2</f>
        <v>zł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A66" s="706" t="str">
        <f>IF(SUM(D50:D51)&gt;0,IF(C7&lt;(B4/3),texty!A212,""),"")</f>
        <v/>
      </c>
      <c r="B66" s="706"/>
      <c r="C66" s="706"/>
      <c r="D66" s="706"/>
      <c r="E66" s="706"/>
      <c r="F66" s="706"/>
      <c r="G66" s="706"/>
      <c r="H66" s="706"/>
      <c r="I66" s="706"/>
      <c r="J66" s="126"/>
    </row>
    <row r="67" spans="1:13" ht="12.75" customHeight="1" x14ac:dyDescent="0.25">
      <c r="B67" s="7"/>
      <c r="C67" s="7"/>
      <c r="D67" s="71" t="str">
        <f>texty!A15</f>
        <v>w sumie (bez VAT)</v>
      </c>
      <c r="E67" s="94"/>
      <c r="F67" s="96" t="e">
        <f>SUM(F28:F65)</f>
        <v>#N/A</v>
      </c>
      <c r="G67" s="96" t="e">
        <f>SUM(G27:G65)</f>
        <v>#N/A</v>
      </c>
      <c r="H67" s="5" t="str">
        <f>cennik!B2</f>
        <v>zł</v>
      </c>
      <c r="I67" s="166"/>
      <c r="J67" s="166"/>
      <c r="K67" s="4" t="str">
        <f>texty!A128</f>
        <v>srebrny</v>
      </c>
    </row>
    <row r="68" spans="1:13" ht="12.75" customHeight="1" x14ac:dyDescent="0.25">
      <c r="A68" s="70" t="str">
        <f>System10!A67</f>
        <v>Uwagi</v>
      </c>
      <c r="B68" s="703"/>
      <c r="C68" s="704"/>
      <c r="D68" s="704"/>
      <c r="E68" s="704"/>
      <c r="F68" s="704"/>
      <c r="G68" s="704"/>
      <c r="K68" s="4" t="str">
        <f>texty!A130</f>
        <v>j.brąz</v>
      </c>
    </row>
    <row r="69" spans="1:13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</row>
    <row r="70" spans="1:13" ht="12.75" customHeight="1" x14ac:dyDescent="0.25">
      <c r="A70" s="698" t="str">
        <f>IF(M70=1,texty!A215,IF(J70&gt;0,texty!A214,""))</f>
        <v>niektóre elementy nie są produkowane w wybranej długości</v>
      </c>
      <c r="B70" s="698"/>
      <c r="C70" s="698"/>
      <c r="D70" s="698"/>
      <c r="E70" s="698"/>
      <c r="F70" s="698"/>
      <c r="G70" s="698"/>
      <c r="J70" s="5" t="e">
        <f>SUM(J28:J65)</f>
        <v>#N/A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nfd7qr13Lw917ZLkQ2zvre6gDqm8ALCZHNGPxiQaSSDUElUwarPcJHo0wNVqFT1RMq0quJsndUXr0paSLioHSw==" saltValue="D58a22JBcVOsqDnDd/ZQsw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A14">
    <cfRule type="expression" dxfId="189" priority="4">
      <formula>SUM($D$48:$D$49)&gt;0</formula>
    </cfRule>
  </conditionalFormatting>
  <conditionalFormatting sqref="D6">
    <cfRule type="expression" dxfId="187" priority="6">
      <formula>$D$4=4</formula>
    </cfRule>
    <cfRule type="expression" dxfId="186" priority="7">
      <formula>$D$4&lt;&gt;4</formula>
    </cfRule>
  </conditionalFormatting>
  <conditionalFormatting sqref="D55">
    <cfRule type="expression" dxfId="185" priority="1" stopIfTrue="1">
      <formula>IF(D53&gt;0,IF(D55=0,1,0),0)</formula>
    </cfRule>
  </conditionalFormatting>
  <conditionalFormatting sqref="F4:I6">
    <cfRule type="expression" dxfId="184" priority="5">
      <formula>$D$4=4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4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5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-10</v>
      </c>
    </row>
    <row r="2" spans="1:21" ht="18.75" customHeight="1" x14ac:dyDescent="0.25">
      <c r="A2" s="405" t="s">
        <v>6586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",7,".",33)</f>
        <v>Katalog Okuć meblowych 2024 str. 7.33</v>
      </c>
      <c r="B3" s="318" t="str">
        <f>CONCATENATE(texty!A34," / max.         3 040 mm /")</f>
        <v>wysokość / max.         3 040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466" t="str">
        <f>texty!A37</f>
        <v>kolor</v>
      </c>
      <c r="F3" s="5"/>
      <c r="G3" s="5"/>
      <c r="K3" s="5"/>
    </row>
    <row r="4" spans="1:21" ht="18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</row>
    <row r="7" spans="1:21" ht="12.75" customHeight="1" x14ac:dyDescent="0.25">
      <c r="A7" s="9" t="str">
        <f>texty!A71</f>
        <v>skrzydło drzwi:</v>
      </c>
      <c r="B7" s="53" t="str">
        <f>IF(B4&gt;0,B4-40,"")</f>
        <v/>
      </c>
      <c r="C7" s="55" t="str">
        <f>IFERROR((((C4-3+37*(D4-1))/D4+IF(AND(D4=4,D6=2),L1,0))),"")</f>
        <v/>
      </c>
      <c r="D7" s="7"/>
      <c r="E7" s="7"/>
      <c r="F7" s="46" t="str">
        <f>texty!A39</f>
        <v>W przypadku wykorzystania szkła,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rozmiar wypełnienia 10 mm:</v>
      </c>
      <c r="B8" s="53" t="str">
        <f>IFERROR((B7-64),"")</f>
        <v/>
      </c>
      <c r="C8" s="55" t="str">
        <f>IFERROR((C7-51),"")</f>
        <v/>
      </c>
      <c r="D8" s="7"/>
      <c r="E8" s="7"/>
      <c r="F8" s="46" t="str">
        <f>texty!A40</f>
        <v>należy wybrać bezpieczną szybę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ew. zabezpieczyć ją folią ochronną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długość toru i listwy maskującej skrzydła</v>
      </c>
      <c r="B10" s="53"/>
      <c r="C10" s="56" t="str">
        <f>IFERROR((C7-68),"")</f>
        <v/>
      </c>
      <c r="D10" s="7"/>
      <c r="E10" s="7"/>
      <c r="F10" s="3" t="str">
        <f>texty!A43</f>
        <v>Maksymalna waga skrzydła to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 xml:space="preserve">Długość uszczelki na jedno skrzydło to 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3" t="str">
        <f>IF(SUM(D48:D49)&gt;0,texty!A245,"")</f>
        <v/>
      </c>
      <c r="B14" s="683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46.5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7"/>
      <c r="E15" s="7"/>
      <c r="F15" s="5"/>
      <c r="G15" s="5"/>
      <c r="K15" s="5"/>
      <c r="Q15" s="147"/>
    </row>
    <row r="17" spans="1:21" ht="12.7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376" t="str">
        <f>texty!A242</f>
        <v>dylatacja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partnerska zniżka: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Kody zamówieniowe, ceny:</v>
      </c>
      <c r="B26" s="7"/>
      <c r="D26" s="7"/>
      <c r="E26" s="7"/>
      <c r="F26" s="7"/>
      <c r="G26" s="279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kod</v>
      </c>
      <c r="C27" s="16" t="str">
        <f>+System10!C27</f>
        <v>nazwa</v>
      </c>
      <c r="D27" s="17" t="str">
        <f>+System10!D27</f>
        <v>szt.</v>
      </c>
      <c r="E27" s="17" t="str">
        <f>+System10!E27</f>
        <v>cena/szt.</v>
      </c>
      <c r="F27" s="17" t="str">
        <f>+System10!F27</f>
        <v>cena w sumie</v>
      </c>
      <c r="G27" s="18" t="str">
        <f>+System10!G27</f>
        <v>w sumie netto:</v>
      </c>
      <c r="I27" s="16" t="str">
        <f>texty!A29</f>
        <v>Uwagi: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Tor górny: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zł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Tor dolny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zł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profil maskujący (maskownica):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zł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górne wózki</v>
      </c>
      <c r="B31" s="15">
        <v>98048</v>
      </c>
      <c r="C31" s="23" t="str">
        <f>+VLOOKUP(B31,cennik!A:G,2,FALSE)</f>
        <v>SEVROLL Future wózek górny 10mm L+P</v>
      </c>
      <c r="D31" s="15">
        <f>IF((D50+D51)&gt;D4,0,D4-(D50+D51))</f>
        <v>0</v>
      </c>
      <c r="E31" s="86">
        <f>+VLOOKUP(B31,cennik!A:G,3,FALSE)</f>
        <v>25.245000000000001</v>
      </c>
      <c r="F31" s="86">
        <f t="shared" si="0"/>
        <v>0</v>
      </c>
      <c r="G31" s="87">
        <f>+F31*(100-G26)/100</f>
        <v>0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dolne wózki</v>
      </c>
      <c r="B32" s="15">
        <v>328321</v>
      </c>
      <c r="C32" s="23" t="str">
        <f>+VLOOKUP(B32,cennik!A:G,2,FALSE)</f>
        <v>SEVROLL wózek dolny WD10 V 2 szt. bez pozycjonera</v>
      </c>
      <c r="D32" s="15">
        <f>+D4</f>
        <v>0</v>
      </c>
      <c r="E32" s="86">
        <f>+VLOOKUP(B32,cennik!A:G,3,FALSE)</f>
        <v>26.52</v>
      </c>
      <c r="F32" s="86">
        <f t="shared" si="0"/>
        <v>0</v>
      </c>
      <c r="G32" s="87">
        <f>+F32*(100-G26)/100</f>
        <v>0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rączka</v>
      </c>
      <c r="B34" s="15" t="e">
        <f>IF(B12&gt;2700, VLOOKUP(O7,data!C545:D546,2,0),IF(B12&gt;1785, VLOOKUP(O7,data!C542:D543,2,0),IF(B12&gt;1347, VLOOKUP(O7,data!C545:D546,2,0), VLOOKUP(O7,data!C542:D543,2,0))))</f>
        <v>#N/A</v>
      </c>
      <c r="C34" s="23" t="e">
        <f>+VLOOKUP(B34,cennik!A:G,2,FALSE)</f>
        <v>#N/A</v>
      </c>
      <c r="D34" s="15">
        <f>IF(B12&lt;=1785,D4*2/2,D4*2)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śruba łącząca</v>
      </c>
      <c r="B35" s="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>+E35*D35</f>
        <v>0</v>
      </c>
      <c r="G35" s="87">
        <f>+F35*(100-G26)/100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listwa pozioma górna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zł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listwa pozioma górna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zł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poziomy dolny profil ramy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poziomy dolny profil ramy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Akcesoria:</v>
      </c>
      <c r="B41" s="7"/>
      <c r="D41" s="24" t="str">
        <f>System10!D41</f>
        <v>podaj ilość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pozycjoner wózka górnego</v>
      </c>
      <c r="B42" s="7">
        <v>298035</v>
      </c>
      <c r="C42" s="23" t="str">
        <f>+VLOOKUP(B42,cennik!A:G,2,FALSE)</f>
        <v>SEVROLL Fix pozycjoner wózka górnego transparentny</v>
      </c>
      <c r="D42" s="27"/>
      <c r="E42" s="86">
        <f>+VLOOKUP(B42,cennik!A:G,3,FALSE)</f>
        <v>3.74519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6" t="str">
        <f>+System10!A43</f>
        <v>pozycjoner</v>
      </c>
      <c r="B43" s="15">
        <v>89063</v>
      </c>
      <c r="C43" s="23" t="str">
        <f>+VLOOKUP(B43,cennik!A:G,2,FALSE)</f>
        <v>SEVROLL pozycjoner wózka dolnego HI-TEC</v>
      </c>
      <c r="D43" s="27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Wkręt do dolnego toru</v>
      </c>
      <c r="B44" s="7">
        <v>98019</v>
      </c>
      <c r="C44" s="23" t="str">
        <f>+VLOOKUP(B44,cennik!A:G,2,FALSE)</f>
        <v>SEVROLL wkręt 2,5x18mm</v>
      </c>
      <c r="D44" s="27"/>
      <c r="E44" s="86">
        <f>+VLOOKUP(B44,cennik!A:G,3,FALSE)</f>
        <v>0.10996</v>
      </c>
      <c r="F44" s="91">
        <f t="shared" si="1"/>
        <v>0</v>
      </c>
      <c r="G44" s="87">
        <f>+F44*(100-G26)/100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 Tłumienie MINI do 25 kg (para)</v>
      </c>
      <c r="B45" s="15">
        <v>318662</v>
      </c>
      <c r="C45" s="23" t="str">
        <f>+VLOOKUP(B45,cennik!A:G,2,FALSE)</f>
        <v>SEVROLL tłumienie Mini SV25 (14-25kg)</v>
      </c>
      <c r="D45" s="27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 Tłumienie MINI do 40 kg (para)</v>
      </c>
      <c r="B46" s="22">
        <v>283956</v>
      </c>
      <c r="C46" s="23" t="str">
        <f>+VLOOKUP(B46,cennik!A:G,2,FALSE)</f>
        <v>SEVROLL tłumienie Mini SV40 (25 - 40kg)</v>
      </c>
      <c r="D46" s="27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 Tłumienie MINI do 60 kg (para)</v>
      </c>
      <c r="B47" s="22">
        <v>351743</v>
      </c>
      <c r="C47" s="23" t="str">
        <f>+VLOOKUP(B47,cennik!A:G,2,FALSE)</f>
        <v>SEVROLL tłumienie Mini SV60 (40 - 60kg)</v>
      </c>
      <c r="D47" s="27"/>
      <c r="E47" s="86">
        <f>+VLOOKUP(B47,cennik!A:G,3,FALSE)</f>
        <v>96.889799999999994</v>
      </c>
      <c r="F47" s="91">
        <f t="shared" si="1"/>
        <v>0</v>
      </c>
      <c r="G47" s="87">
        <f>+F47*(100-G26)/100</f>
        <v>0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 xml:space="preserve"> Tłumienie do skrzydła środkowego do 25 kg </v>
      </c>
      <c r="B48" s="22">
        <v>318663</v>
      </c>
      <c r="C48" s="23" t="str">
        <f>+VLOOKUP(B48,cennik!A:G,2,FALSE)</f>
        <v>SEVROLL tłumienie Central 10/18mm obustronne 25kg</v>
      </c>
      <c r="D48" s="27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5.45" customHeight="1" x14ac:dyDescent="0.25">
      <c r="A49" s="320" t="str">
        <f>texty!A232</f>
        <v xml:space="preserve"> Tłumienie do skrzydła środkowego do 40 kg </v>
      </c>
      <c r="B49" s="22">
        <v>283955</v>
      </c>
      <c r="C49" s="23" t="str">
        <f>+VLOOKUP(B49,cennik!A:G,2,FALSE)</f>
        <v>SEVROLL tłumienie Central 10/18mm obustronne 25-40kg</v>
      </c>
      <c r="D49" s="27"/>
      <c r="E49" s="86">
        <f>+VLOOKUP(B49,cennik!A:G,3,FALSE)</f>
        <v>206.958</v>
      </c>
      <c r="F49" s="91">
        <f t="shared" si="1"/>
        <v>0</v>
      </c>
      <c r="G49" s="87">
        <f>+F49*(100-G26)/100</f>
        <v>0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tłumienie (para)25 kg</v>
      </c>
      <c r="B50" s="22">
        <v>227185</v>
      </c>
      <c r="C50" s="23" t="str">
        <f>+VLOOKUP(B50,cennik!A:G,2,FALSE)</f>
        <v>K-SEVROLL tłumienie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tłumienie (para) 50 kg</v>
      </c>
      <c r="B51" s="22">
        <v>227187</v>
      </c>
      <c r="C51" s="23" t="str">
        <f>+VLOOKUP(B51,cennik!A:G,2,FALSE)</f>
        <v>K-SEVROLL tłumienie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profil łączący H10-3metry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profil łączący H30-3metry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zamek do drzwi przesuwnych</v>
      </c>
      <c r="B54" s="15">
        <v>216363</v>
      </c>
      <c r="C54" s="23" t="str">
        <f>+VLOOKUP(B54,cennik!A:G,2,FALSE)</f>
        <v>SEVROLL zamek do drzwi przesuwnych 10/18mm</v>
      </c>
      <c r="D54" s="28"/>
      <c r="E54" s="86">
        <f>+VLOOKUP(B54,cennik!A:G,3,FALSE)</f>
        <v>66.840599999999995</v>
      </c>
      <c r="F54" s="86">
        <f>+E54*D54</f>
        <v>0</v>
      </c>
      <c r="G54" s="87">
        <f>+F54*(100-G26)/100</f>
        <v>0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śruba łącząca</v>
      </c>
      <c r="B55" s="15">
        <v>89244</v>
      </c>
      <c r="C55" s="23" t="str">
        <f>+VLOOKUP(B55,cennik!A:G,2,FALSE)</f>
        <v>SEVROLL blachowkręt 6,3x32 SEVROLL i Simple</v>
      </c>
      <c r="D55" s="28"/>
      <c r="E55" s="86">
        <f>+VLOOKUP(B55,cennik!A:G,3,FALSE)</f>
        <v>0.52500000000000002</v>
      </c>
      <c r="F55" s="86">
        <f>+E55*D55</f>
        <v>0</v>
      </c>
      <c r="G55" s="87">
        <f>+F55*(100-G26)/100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 t="str">
        <f>System10!A55</f>
        <v>szczotka przeciwkurzowa</v>
      </c>
      <c r="B56" s="15">
        <v>95946</v>
      </c>
      <c r="C56" s="23" t="str">
        <f>+VLOOKUP(B56,cennik!A:G,2,FALSE)</f>
        <v>SEVROLL szczotka przeciwkurzowa bez kleju 4,8x13 mm, szara</v>
      </c>
      <c r="D56" s="28"/>
      <c r="E56" s="86">
        <f>+VLOOKUP(B56,cennik!A:G,3,FALSE)</f>
        <v>0.80579999999999996</v>
      </c>
      <c r="F56" s="86">
        <f>+E56*D56</f>
        <v>0</v>
      </c>
      <c r="G56" s="87">
        <f>+F56*(100-G26)/100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/>
      <c r="B57" s="15"/>
      <c r="C57" s="23"/>
      <c r="D57" s="86"/>
      <c r="E57" s="86"/>
      <c r="F57" s="86"/>
      <c r="G57" s="87"/>
      <c r="I57" s="363" t="str">
        <f>IFERROR(IF((VLOOKUP(B57,cennik!A:L,12,0))="O",texty!A250,""),"")</f>
        <v/>
      </c>
      <c r="J57" s="174"/>
      <c r="K57" s="5"/>
    </row>
    <row r="58" spans="1:11" ht="12.75" customHeight="1" x14ac:dyDescent="0.25">
      <c r="A58" s="37" t="str">
        <f>IFERROR((CONCATENATE(texty!A6,ROUND((C13/1000),1),texty!A8)),"")</f>
        <v/>
      </c>
      <c r="B58" s="38"/>
      <c r="C58" s="39"/>
      <c r="D58" s="40"/>
      <c r="E58" s="92"/>
      <c r="F58" s="92"/>
      <c r="G58" s="93"/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5"/>
    </row>
    <row r="59" spans="1:11" ht="12.75" customHeight="1" x14ac:dyDescent="0.25">
      <c r="C59" s="36" t="str">
        <f>texty!A10</f>
        <v>Długość uszczelki w przypadku całkowitego zaszklenia (należy zamówić całe metry)</v>
      </c>
      <c r="D59" s="35" t="str">
        <f>IFERROR((CEILING(((B9+C9)*2/1000*D4),1)),"")</f>
        <v/>
      </c>
      <c r="E59" s="89"/>
      <c r="F59" s="89"/>
      <c r="G59" s="89"/>
      <c r="I59" s="363" t="str">
        <f>IFERROR(IF((VLOOKUP(B59,cennik!A:L,12,0))="O",texty!A250,""),"")</f>
        <v/>
      </c>
      <c r="J59" s="174"/>
      <c r="K59" s="5"/>
    </row>
    <row r="60" spans="1:11" ht="12.75" customHeight="1" x14ac:dyDescent="0.25">
      <c r="A60" s="44" t="str">
        <f>texty!A12</f>
        <v>(w przypadku kombinacji z profilami H należy dodać odpowiednią długość - uszczelka musi być na całym obwodzie każdego szkła)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System10!A59</f>
        <v>uszczelka na szkło 4mm</v>
      </c>
      <c r="B61" s="15">
        <v>89238</v>
      </c>
      <c r="C61" s="23" t="str">
        <f>+VLOOKUP(B61,cennik!A:G,2,FALSE)</f>
        <v>SEVROLL uszczelka do szkła 10/4 mm</v>
      </c>
      <c r="D61" s="41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5" t="str">
        <f>cennik!B2</f>
        <v>zł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2" spans="1:11" ht="12.75" customHeight="1" x14ac:dyDescent="0.25">
      <c r="A62" s="6" t="str">
        <f>texty!A103</f>
        <v>uszczelka na szkło 4,5mm</v>
      </c>
      <c r="B62" s="15">
        <v>135164</v>
      </c>
      <c r="C62" s="23" t="str">
        <f>+VLOOKUP(B62,cennik!A:G,2,FALSE)</f>
        <v>SEVROLL uszczelka bezbarwna 10/4,5mm</v>
      </c>
      <c r="D62" s="41"/>
      <c r="E62" s="86">
        <f>+VLOOKUP(B62,cennik!A:G,3,FALSE)</f>
        <v>2.7501000000000002</v>
      </c>
      <c r="F62" s="91">
        <f>+CEILING(D62,1)*E62</f>
        <v>0</v>
      </c>
      <c r="G62" s="87">
        <f>+F62*(100-G26)/100</f>
        <v>0</v>
      </c>
      <c r="H62" s="5" t="str">
        <f>cennik!B2</f>
        <v>zł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 t="str">
        <f>System10!A61</f>
        <v>uszczelka na szkło 6mm</v>
      </c>
      <c r="B63" s="15">
        <v>89243</v>
      </c>
      <c r="C63" s="23" t="str">
        <f>+VLOOKUP(B63,cennik!A:G,2,FALSE)</f>
        <v>SEVROLL uszczelka bezbarwna 10/6mm</v>
      </c>
      <c r="D63" s="41"/>
      <c r="E63" s="86">
        <f>+VLOOKUP(B63,cennik!A:G,3,FALSE)</f>
        <v>2.7501000000000002</v>
      </c>
      <c r="F63" s="91">
        <f>+CEILING(D63,1)*E63</f>
        <v>0</v>
      </c>
      <c r="G63" s="87">
        <f>+F63*(100-G26)/100</f>
        <v>0</v>
      </c>
      <c r="H63" s="5" t="str">
        <f>cennik!B2</f>
        <v>zł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5" x14ac:dyDescent="0.25">
      <c r="A64" s="209" t="str">
        <f>texty!A190</f>
        <v xml:space="preserve">tutaj można znaleźć inne akcesoria </v>
      </c>
      <c r="E64" s="89"/>
      <c r="F64" s="89"/>
      <c r="G64" s="89"/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A65" s="209" t="str">
        <f>texty!A244</f>
        <v>rysunek techniczny tego systemu</v>
      </c>
      <c r="B65" s="153">
        <v>129677</v>
      </c>
      <c r="C65" s="153" t="str">
        <f>VLOOKUP(B65,cennik!A:C,2,0)</f>
        <v>SEVROLL element montażowy do płyty laminowanej 10mm mały</v>
      </c>
      <c r="D65" s="41"/>
      <c r="E65" s="86">
        <f>+VLOOKUP(B65,cennik!A:G,3,FALSE)</f>
        <v>51.590769999999999</v>
      </c>
      <c r="F65" s="91">
        <f>+CEILING(D65,1)*E65</f>
        <v>0</v>
      </c>
      <c r="G65" s="87">
        <f>F65</f>
        <v>0</v>
      </c>
      <c r="H65" s="5" t="str">
        <f>cennik!B2</f>
        <v>zł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B66" s="153">
        <v>128842</v>
      </c>
      <c r="C66" s="153" t="str">
        <f>VLOOKUP(B66,cennik!A:C,2,0)</f>
        <v>SEVROLL wiertło stopniowe 6,5/9,5mm</v>
      </c>
      <c r="D66" s="41"/>
      <c r="E66" s="86">
        <f>+VLOOKUP(B66,cennik!A:G,3,FALSE)</f>
        <v>116.85122</v>
      </c>
      <c r="F66" s="91">
        <f>+CEILING(D66,1)*E66</f>
        <v>0</v>
      </c>
      <c r="G66" s="87">
        <f>F66</f>
        <v>0</v>
      </c>
      <c r="H66" s="5" t="str">
        <f>cennik!B2</f>
        <v>zł</v>
      </c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706" t="str">
        <f>IF(SUM(D50:D51)&gt;0,IF(C7&lt;(B4/3),texty!A212,""),"")</f>
        <v/>
      </c>
      <c r="B67" s="706"/>
      <c r="C67" s="706"/>
      <c r="D67" s="706"/>
      <c r="E67" s="706"/>
      <c r="F67" s="706"/>
      <c r="G67" s="706"/>
      <c r="H67" s="706"/>
      <c r="I67" s="706"/>
      <c r="J67" s="126"/>
    </row>
    <row r="68" spans="1:13" ht="12.75" customHeight="1" x14ac:dyDescent="0.25">
      <c r="B68" s="7"/>
      <c r="C68" s="7"/>
      <c r="D68" s="71" t="str">
        <f>texty!A15</f>
        <v>w sumie (bez VAT)</v>
      </c>
      <c r="E68" s="94"/>
      <c r="F68" s="96" t="e">
        <f>SUM(F28:F66)</f>
        <v>#N/A</v>
      </c>
      <c r="G68" s="96" t="e">
        <f>SUM(G28:G66)</f>
        <v>#N/A</v>
      </c>
      <c r="H68" s="5" t="str">
        <f>cennik!B2</f>
        <v>zł</v>
      </c>
      <c r="I68" s="166"/>
      <c r="J68" s="166"/>
      <c r="K68" s="4" t="str">
        <f>texty!A128</f>
        <v>srebrny</v>
      </c>
    </row>
    <row r="69" spans="1:13" ht="12.75" customHeight="1" x14ac:dyDescent="0.25">
      <c r="A69" s="70" t="str">
        <f>System10!A67</f>
        <v>Uwagi</v>
      </c>
      <c r="B69" s="703"/>
      <c r="C69" s="704"/>
      <c r="D69" s="704"/>
      <c r="E69" s="704"/>
      <c r="F69" s="704"/>
      <c r="G69" s="704"/>
      <c r="K69" s="4" t="str">
        <f>texty!A130</f>
        <v>j.brąz</v>
      </c>
    </row>
    <row r="70" spans="1:13" ht="12.75" customHeight="1" x14ac:dyDescent="0.25">
      <c r="A70" s="696" t="str">
        <f>profil!U15</f>
        <v/>
      </c>
      <c r="B70" s="697"/>
      <c r="C70" s="697"/>
      <c r="D70" s="697"/>
      <c r="E70" s="697"/>
      <c r="F70" s="697"/>
      <c r="G70" s="697"/>
    </row>
    <row r="71" spans="1:13" ht="12.75" customHeight="1" x14ac:dyDescent="0.25">
      <c r="A71" s="698" t="str">
        <f>IF(M71=1,texty!A215,IF(J71&gt;0,texty!A214,""))</f>
        <v>niektóre elementy nie są produkowane w wybranej długości</v>
      </c>
      <c r="B71" s="698"/>
      <c r="C71" s="698"/>
      <c r="D71" s="698"/>
      <c r="E71" s="698"/>
      <c r="F71" s="698"/>
      <c r="G71" s="698"/>
      <c r="J71" s="5" t="e">
        <f>SUM(J28:J66)</f>
        <v>#N/A</v>
      </c>
      <c r="M71" s="4">
        <f>IF(ISERROR(J71),1,0)</f>
        <v>1</v>
      </c>
    </row>
    <row r="84" spans="1:1" ht="12.75" hidden="1" customHeight="1" x14ac:dyDescent="0.25">
      <c r="A84" s="4">
        <v>3</v>
      </c>
    </row>
  </sheetData>
  <sheetProtection algorithmName="SHA-512" hashValue="U/VqHD4G9eO0wZQdcEw55jEenBSLfaLhNFA4ztF6QvqQyWLay4Pv7whex68jYiirRWud+LJUlHdcvGDavJ9EYA==" saltValue="JpqmSwoyW9t527K9/iKm1w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A14">
    <cfRule type="expression" dxfId="183" priority="4">
      <formula>SUM($D$48:$D$49)&gt;0</formula>
    </cfRule>
  </conditionalFormatting>
  <conditionalFormatting sqref="D6">
    <cfRule type="expression" dxfId="181" priority="6">
      <formula>$D$4=4</formula>
    </cfRule>
    <cfRule type="expression" dxfId="180" priority="7">
      <formula>$D$4&lt;&gt;4</formula>
    </cfRule>
  </conditionalFormatting>
  <conditionalFormatting sqref="D55">
    <cfRule type="expression" dxfId="179" priority="1" stopIfTrue="1">
      <formula>IF(D53&gt;0,IF(D55=0,1,0),0)</formula>
    </cfRule>
  </conditionalFormatting>
  <conditionalFormatting sqref="F4:I6">
    <cfRule type="expression" dxfId="178" priority="5">
      <formula>$D$4=4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0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479BDF-F43B-4AC8-9EA8-B58ABFA4D2A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79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33203125" style="4" customWidth="1"/>
    <col min="2" max="2" width="15.6640625" style="4" customWidth="1"/>
    <col min="3" max="3" width="63.6640625" style="4" bestFit="1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7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-8.25</v>
      </c>
    </row>
    <row r="2" spans="1:21" ht="18.75" customHeight="1" x14ac:dyDescent="0.25">
      <c r="A2" s="405" t="s">
        <v>977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",7,".",35)</f>
        <v>Katalog Okuć meblowych 2024 str. 7.35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5"/>
      <c r="G3" s="5"/>
      <c r="K3" s="5"/>
    </row>
    <row r="4" spans="1:21" ht="18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skrzydło drzwi: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W przypadku wykorzystania szkła,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rozmiar wypełnienia 10 mm:</v>
      </c>
      <c r="B8" s="53" t="str">
        <f>IFERROR((B7-65),"")</f>
        <v/>
      </c>
      <c r="C8" s="55" t="str">
        <f>IFERROR((C7-17),"")</f>
        <v/>
      </c>
      <c r="D8" s="7"/>
      <c r="E8" s="7"/>
      <c r="F8" s="46" t="str">
        <f>texty!A40</f>
        <v>należy wybrać bezpieczną szybę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ew. zabezpieczyć ją folią ochronną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długość toru i listwy maskującej skrzydła</v>
      </c>
      <c r="B10" s="53"/>
      <c r="C10" s="56" t="str">
        <f>IFERROR((C7-33.2),"")</f>
        <v/>
      </c>
      <c r="D10" s="7"/>
      <c r="E10" s="7"/>
      <c r="F10" s="3" t="str">
        <f>texty!A44</f>
        <v>Maksymalna waga skrzydła to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 xml:space="preserve">Długość uszczelki na jedno skrzydło to 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4" customHeight="1" x14ac:dyDescent="0.25">
      <c r="A14" s="683" t="str">
        <f>IF(SUM(D50:D51)&gt;0,texty!A247,"")</f>
        <v/>
      </c>
      <c r="B14" s="683"/>
      <c r="C14" s="382" t="str">
        <f>texty!A78</f>
        <v>dodatkowe zmniejszenie wysokośći wyliczonych wypełnień przy wykorzystaniu profili dzielących: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8" customHeight="1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597"/>
      <c r="B16" s="597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597"/>
      <c r="B17" s="597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2.75" customHeight="1" x14ac:dyDescent="0.25">
      <c r="B19" s="15"/>
      <c r="C19" s="329"/>
      <c r="D19" s="7"/>
      <c r="E19" s="7"/>
      <c r="F19" s="5"/>
      <c r="G19" s="5"/>
      <c r="K19" s="5"/>
      <c r="L19" s="4" t="e">
        <f>L14-C4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320"/>
      <c r="B20" s="15"/>
      <c r="C20" s="329"/>
      <c r="D20" s="7"/>
      <c r="E20" s="7"/>
      <c r="F20" s="5"/>
      <c r="G20" s="5"/>
      <c r="K20" s="5"/>
    </row>
    <row r="21" spans="1:21" ht="14.25" customHeight="1" x14ac:dyDescent="0.25">
      <c r="A21" s="320"/>
      <c r="C21" s="113"/>
      <c r="D21" s="7"/>
      <c r="E21" s="7"/>
      <c r="F21" s="5"/>
      <c r="G21" s="5"/>
      <c r="K21" s="5"/>
    </row>
    <row r="22" spans="1:21" ht="16.5" customHeight="1" x14ac:dyDescent="0.25">
      <c r="A22" s="135"/>
      <c r="B22" s="376" t="str">
        <f>texty!A242</f>
        <v>dylatacja 4 mm</v>
      </c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190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partnerska zniżka: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Kody zamówieniowe, ceny:</v>
      </c>
      <c r="B28" s="7"/>
      <c r="D28" s="7"/>
      <c r="E28" s="7"/>
      <c r="F28" s="7"/>
      <c r="G28" s="279"/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kod</v>
      </c>
      <c r="C29" s="16" t="str">
        <f>+System10!C27</f>
        <v>nazwa</v>
      </c>
      <c r="D29" s="17" t="str">
        <f>+System10!D27</f>
        <v>szt.</v>
      </c>
      <c r="E29" s="17" t="str">
        <f>+System10!E27</f>
        <v>cena/szt.</v>
      </c>
      <c r="F29" s="17" t="str">
        <f>+System10!F27</f>
        <v>cena w sumie</v>
      </c>
      <c r="G29" s="18" t="str">
        <f>+System10!G27</f>
        <v>w sumie netto:</v>
      </c>
      <c r="I29" s="16" t="str">
        <f>texty!A29</f>
        <v>Uwagi: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Tor górny: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zł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Tor dolny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zaślepka toru dolnego</v>
      </c>
      <c r="B32" s="15">
        <v>216362</v>
      </c>
      <c r="C32" s="23" t="str">
        <f>+VLOOKUP(B32,cennik!A:G,2,FALSE)</f>
        <v>SEVROLL zaślepka gumowa do toru Simple/Blue przeźroczysta</v>
      </c>
      <c r="D32" s="15">
        <f>CEILING(C4/1000,1)</f>
        <v>0</v>
      </c>
      <c r="E32" s="86">
        <f>+VLOOKUP(B32,cennik!A:G,3,FALSE)</f>
        <v>3.4045299999999998</v>
      </c>
      <c r="F32" s="86">
        <f>+E32*D32</f>
        <v>0</v>
      </c>
      <c r="G32" s="87">
        <f>+F32*(100-G28)/100</f>
        <v>0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górne wózki</v>
      </c>
      <c r="B33" s="15">
        <v>349942</v>
      </c>
      <c r="C33" s="23" t="str">
        <f>+VLOOKUP(B33,cennik!A:G,2,FALSE)</f>
        <v>SEVROLL wózek górny Blue 10mm asymetryczny L+P</v>
      </c>
      <c r="D33" s="15">
        <f>+D4</f>
        <v>0</v>
      </c>
      <c r="E33" s="86">
        <f>+VLOOKUP(B33,cennik!A:G,3,FALSE)</f>
        <v>15.244389999999999</v>
      </c>
      <c r="F33" s="86">
        <f>+E33*D33</f>
        <v>0</v>
      </c>
      <c r="G33" s="87">
        <f>+F33*(100-G28)/100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dolne wózki</v>
      </c>
      <c r="B34" s="15">
        <v>229446</v>
      </c>
      <c r="C34" s="23" t="str">
        <f>+VLOOKUP(B34,cennik!A:G,2,FALSE)</f>
        <v>SEVROLL wózek dolny Simple/Blue V (system ramowy) - 2szt</v>
      </c>
      <c r="D34" s="15">
        <f>+D4</f>
        <v>0</v>
      </c>
      <c r="E34" s="86">
        <f>+VLOOKUP(B34,cennik!A:G,3,FALSE)</f>
        <v>16.17259</v>
      </c>
      <c r="F34" s="86">
        <f>+E34*D34</f>
        <v>0</v>
      </c>
      <c r="G34" s="87">
        <f>+F34*(100-G28)/100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szczotka odbojowa</v>
      </c>
      <c r="B35" s="15">
        <v>98067</v>
      </c>
      <c r="C35" s="23" t="str">
        <f>+VLOOKUP(B35,cennik!A:G,2,FALSE)</f>
        <v>SEVROLL szczotka odbojowa zasuwana 14,5x4 mm</v>
      </c>
      <c r="D35" s="15">
        <f>CEILING((B4*D4*2/1000),1)</f>
        <v>0</v>
      </c>
      <c r="E35" s="86">
        <f>+VLOOKUP(B35,cennik!A:G,3,FALSE)</f>
        <v>1.224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rączka</v>
      </c>
      <c r="B36" s="15" t="e">
        <f>+VLOOKUP(O7,data!C556:D557,2,0)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śruba łącząca</v>
      </c>
      <c r="B37" s="5">
        <v>89244</v>
      </c>
      <c r="C37" s="23" t="str">
        <f>+VLOOKUP(B37,cennik!A:G,2,FALSE)</f>
        <v>SEVROLL blachowkręt 6,3x32 SEVROLL i Simple</v>
      </c>
      <c r="D37" s="15">
        <f>+D4*4</f>
        <v>0</v>
      </c>
      <c r="E37" s="86">
        <f>+VLOOKUP(B37,cennik!A:G,3,FALSE)</f>
        <v>0.52500000000000002</v>
      </c>
      <c r="F37" s="86">
        <f t="shared" si="0"/>
        <v>0</v>
      </c>
      <c r="G37" s="87">
        <f>+F37*(100-G28)/100</f>
        <v>0</v>
      </c>
      <c r="H37" s="5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listwa pozioma górna</v>
      </c>
      <c r="B38" s="15" t="e">
        <f>+VLOOKUP(L31,data!C384:D389,2,0)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listwa pozioma górna</v>
      </c>
      <c r="B39" s="5" t="e">
        <f>IF(L33&lt;&gt;"jiné",+VLOOKUP(L33,data!C384:D389,2,0),"")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A40" s="6" t="str">
        <f>+System10!A38</f>
        <v>poziomy dolny profil ramy</v>
      </c>
      <c r="B40" s="15" t="e">
        <f>+VLOOKUP(L31,data!C476:D481,2,0)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zł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 t="str">
        <f>+System10!L24</f>
        <v>1700-0</v>
      </c>
    </row>
    <row r="41" spans="1:21" ht="12.75" customHeight="1" x14ac:dyDescent="0.25">
      <c r="A41" s="6" t="str">
        <f>+System10!A39</f>
        <v>poziomy dolny profil ramy</v>
      </c>
      <c r="B41" s="5" t="e">
        <f>IF(L33&lt;&gt;"jiné",+VLOOKUP(L33,data!C476:D481,2,0),"")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zł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/>
    </row>
    <row r="42" spans="1:21" ht="12.75" customHeight="1" x14ac:dyDescent="0.25">
      <c r="A42" s="6"/>
      <c r="B42" s="5"/>
      <c r="C42" s="23"/>
      <c r="D42" s="60"/>
      <c r="E42" s="88"/>
      <c r="F42" s="86"/>
      <c r="G42" s="87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Akcesoria:</v>
      </c>
      <c r="B43" s="7"/>
      <c r="D43" s="24" t="str">
        <f>System10!D41</f>
        <v>podaj ilość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pozycjoner wózka górnego</v>
      </c>
      <c r="B44" s="7">
        <v>298035</v>
      </c>
      <c r="C44" s="23" t="str">
        <f>+VLOOKUP(B44,cennik!A:G,2,FALSE)</f>
        <v>SEVROLL Fix pozycjoner wózka górnego transparentny</v>
      </c>
      <c r="D44" s="27"/>
      <c r="E44" s="86">
        <f>+VLOOKUP(B44,cennik!A:G,3,FALSE)</f>
        <v>3.74519</v>
      </c>
      <c r="F44" s="91">
        <f>+CEILING(D44,1)*E44</f>
        <v>0</v>
      </c>
      <c r="G44" s="87">
        <f>+F44*(100-G28)/100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+System10!A43</f>
        <v>pozycjoner</v>
      </c>
      <c r="B45" s="589">
        <v>229681</v>
      </c>
      <c r="C45" s="23" t="str">
        <f>+VLOOKUP(B45,cennik!A:G,2,FALSE)</f>
        <v>SEVROLL Simple/Blue pozycjoner wózka dolnego</v>
      </c>
      <c r="D45" s="27"/>
      <c r="E45" s="86">
        <f>+VLOOKUP(B45,cennik!A:G,3,FALSE)</f>
        <v>1.2257</v>
      </c>
      <c r="F45" s="91">
        <f>+CEILING(D45,1)*E45</f>
        <v>0</v>
      </c>
      <c r="G45" s="87">
        <f>+F45*(100-G28)/100</f>
        <v>0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Wkręt do dolnego toru</v>
      </c>
      <c r="B46" s="7">
        <v>98019</v>
      </c>
      <c r="C46" s="23" t="str">
        <f>+VLOOKUP(B46,cennik!A:G,2,FALSE)</f>
        <v>SEVROLL wkręt 2,5x18mm</v>
      </c>
      <c r="D46" s="27"/>
      <c r="E46" s="86">
        <f>+VLOOKUP(B46,cennik!A:G,3,FALSE)</f>
        <v>0.10996</v>
      </c>
      <c r="F46" s="91">
        <f>+CEILING(D46,1)*E46</f>
        <v>0</v>
      </c>
      <c r="G46" s="87">
        <f>+F46*(100-G24)/100</f>
        <v>0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texty!A203</f>
        <v>profil łączący H Simple 10</v>
      </c>
      <c r="B47" s="15" t="e">
        <f>+VLOOKUP(K26,data!C384:D389,2,0)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texty!A203</f>
        <v>profil łączący H Simple 10</v>
      </c>
      <c r="B48" s="15" t="e">
        <f>+VLOOKUP(K27,data!C384:D389,2,0)</f>
        <v>#N/A</v>
      </c>
      <c r="C48" s="23" t="e">
        <f>+VLOOKUP(B48,cennik!A:G,2,FALSE)</f>
        <v>#N/A</v>
      </c>
      <c r="D48" s="28"/>
      <c r="E48" s="86" t="e">
        <f>+VLOOKUP(B48,cennik!A:G,3,FALSE)</f>
        <v>#N/A</v>
      </c>
      <c r="F48" s="86" t="e">
        <f>+E48*D48</f>
        <v>#N/A</v>
      </c>
      <c r="G48" s="87" t="e">
        <f>+F48*(100-G28)/100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profil łączący H Simple 10</v>
      </c>
      <c r="B49" s="15" t="e">
        <f>+VLOOKUP(K28,data!C384:D389,2,0)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+F49*(100-G28)/100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 Tłumienie MINI do 25 kg (para)</v>
      </c>
      <c r="B50" s="15">
        <v>350024</v>
      </c>
      <c r="C50" s="23" t="str">
        <f>+VLOOKUP(B50,cennik!A:G,2,FALSE)</f>
        <v>SEVROLL tłumienie Simple/Blue 10/18 25kg L+P</v>
      </c>
      <c r="D50" s="408"/>
      <c r="E50" s="86">
        <f>+VLOOKUP(B50,cennik!A:G,3,FALSE)</f>
        <v>109.51739999999999</v>
      </c>
      <c r="F50" s="91">
        <f>+CEILING(D50,1)*E50</f>
        <v>0</v>
      </c>
      <c r="G50" s="87">
        <f>+F50*(100-G28)/100</f>
        <v>0</v>
      </c>
      <c r="H50" s="5" t="str">
        <f>cennik!B2</f>
        <v>zł</v>
      </c>
      <c r="I50" s="363" t="str">
        <f>IFERROR(IF((VLOOKUP(B50,cennik!A:L,12,0))="O",texty!A250,""),"")</f>
        <v>Na zamówienie</v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 Tłumienie MINI do 40 kg (para)</v>
      </c>
      <c r="B51" s="22">
        <v>293776</v>
      </c>
      <c r="C51" s="23" t="str">
        <f>+VLOOKUP(B51,cennik!A:G,2,FALSE)</f>
        <v>SEVROLL tłumienie Simple/Blue 10/18, 25 - 40kg, L+P</v>
      </c>
      <c r="D51" s="27"/>
      <c r="E51" s="86">
        <f>+VLOOKUP(B51,cennik!A:G,3,FALSE)</f>
        <v>109.51739999999999</v>
      </c>
      <c r="F51" s="91">
        <f>+CEILING(D51,1)*E51</f>
        <v>0</v>
      </c>
      <c r="G51" s="87">
        <f>+F51*(100-G28)/100</f>
        <v>0</v>
      </c>
      <c r="H51" s="5" t="str">
        <f>cennik!B2</f>
        <v>zł</v>
      </c>
      <c r="I51" s="363" t="str">
        <f>IFERROR(IF((VLOOKUP(B51,cennik!A:L,12,0))="O",texty!A250,""),"")</f>
        <v>Na zamówienie</v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6" t="str">
        <f>texty!A92</f>
        <v>śruba łącząca</v>
      </c>
      <c r="B52" s="15">
        <v>89244</v>
      </c>
      <c r="C52" s="23" t="str">
        <f>+VLOOKUP(B52,cennik!A:G,2,FALSE)</f>
        <v>SEVROLL blachowkręt 6,3x32 SEVROLL i Simple</v>
      </c>
      <c r="D52" s="28"/>
      <c r="E52" s="86">
        <f>+VLOOKUP(B52,cennik!A:G,3,FALSE)</f>
        <v>0.52500000000000002</v>
      </c>
      <c r="F52" s="86">
        <f>+E52*D52</f>
        <v>0</v>
      </c>
      <c r="G52" s="87">
        <f>+F52*(100-G28)/100</f>
        <v>0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6"/>
      <c r="B53" s="14"/>
      <c r="C53" s="23"/>
      <c r="D53" s="86"/>
      <c r="E53" s="86"/>
      <c r="F53" s="86"/>
      <c r="G53" s="87"/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37" t="str">
        <f>IFERROR((CONCATENATE(texty!A6,ROUND((C13/1000),1),texty!A8)),"")</f>
        <v/>
      </c>
      <c r="B54" s="38"/>
      <c r="C54" s="39"/>
      <c r="D54" s="40"/>
      <c r="E54" s="92"/>
      <c r="F54" s="92"/>
      <c r="G54" s="93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C55" s="36" t="str">
        <f>texty!A10</f>
        <v>Długość uszczelki w przypadku całkowitego zaszklenia (należy zamówić całe metry)</v>
      </c>
      <c r="D55" s="35" t="str">
        <f>IFERROR((CEILING(((B9+C9)*2/1000*D4),1)),"")</f>
        <v/>
      </c>
      <c r="E55" s="89"/>
      <c r="F55" s="89"/>
      <c r="G55" s="89"/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A56" s="44" t="str">
        <f>texty!A12</f>
        <v>(w przypadku kombinacji z profilami H należy dodać odpowiednią długość - uszczelka musi być na całym obwodzie każdego szkła)</v>
      </c>
      <c r="B56" s="42"/>
      <c r="C56" s="43"/>
      <c r="D56" s="42"/>
      <c r="E56" s="94"/>
      <c r="F56" s="94"/>
      <c r="G56" s="9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System10!A59</f>
        <v>uszczelka na szkło 4mm</v>
      </c>
      <c r="B57" s="15">
        <v>89238</v>
      </c>
      <c r="C57" s="23" t="str">
        <f>+VLOOKUP(B57,cennik!A:G,2,FALSE)</f>
        <v>SEVROLL uszczelka do szkła 10/4 mm</v>
      </c>
      <c r="D57" s="41"/>
      <c r="E57" s="86">
        <f>+VLOOKUP(B57,cennik!A:G,3,FALSE)</f>
        <v>2.7501000000000002</v>
      </c>
      <c r="F57" s="91">
        <f>+CEILING(D57,1)*E57</f>
        <v>0</v>
      </c>
      <c r="G57" s="87">
        <f>+F57*(100-G28)/100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A58" s="6" t="str">
        <f>texty!A103</f>
        <v>uszczelka na szkło 4,5mm</v>
      </c>
      <c r="B58" s="15">
        <v>135164</v>
      </c>
      <c r="C58" s="23" t="str">
        <f>+VLOOKUP(B58,cennik!A:G,2,FALSE)</f>
        <v>SEVROLL uszczelka bezbarwna 10/4,5mm</v>
      </c>
      <c r="D58" s="41"/>
      <c r="E58" s="86">
        <f>+VLOOKUP(B58,cennik!A:G,3,FALSE)</f>
        <v>2.7501000000000002</v>
      </c>
      <c r="F58" s="91">
        <f>+CEILING(D58,1)*E58</f>
        <v>0</v>
      </c>
      <c r="G58" s="87">
        <f>+F58*(100-G28)/100</f>
        <v>0</v>
      </c>
      <c r="H58" s="5" t="str">
        <f>cennik!B2</f>
        <v>zł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3"/>
    </row>
    <row r="59" spans="1:11" ht="12.75" customHeight="1" x14ac:dyDescent="0.25">
      <c r="A59" s="6" t="str">
        <f>System10!A61</f>
        <v>uszczelka na szkło 6mm</v>
      </c>
      <c r="B59" s="15">
        <v>89243</v>
      </c>
      <c r="C59" s="23" t="str">
        <f>+VLOOKUP(B59,cennik!A:G,2,FALSE)</f>
        <v>SEVROLL uszczelka bezbarwna 10/6mm</v>
      </c>
      <c r="D59" s="41"/>
      <c r="E59" s="86">
        <f>+VLOOKUP(B59,cennik!A:G,3,FALSE)</f>
        <v>2.7501000000000002</v>
      </c>
      <c r="F59" s="91">
        <f>+CEILING(D59,1)*E59</f>
        <v>0</v>
      </c>
      <c r="G59" s="87">
        <f>+F59*(100-G28)/100</f>
        <v>0</v>
      </c>
      <c r="H59" s="5" t="str">
        <f>cennik!B2</f>
        <v>zł</v>
      </c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5" x14ac:dyDescent="0.25">
      <c r="A60" s="209" t="str">
        <f>texty!A190</f>
        <v xml:space="preserve">tutaj można znaleźć inne akcesoria </v>
      </c>
      <c r="E60" s="89"/>
      <c r="F60" s="89"/>
      <c r="G60" s="89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209" t="str">
        <f>texty!A244</f>
        <v>rysunek techniczny tego systemu</v>
      </c>
      <c r="B61" s="196">
        <v>128842</v>
      </c>
      <c r="C61" s="153" t="str">
        <f>VLOOKUP(B61,cennik!A:C,2,0)</f>
        <v>SEVROLL wiertło stopniowe 6,5/9,5mm</v>
      </c>
      <c r="D61" s="41"/>
      <c r="E61" s="86">
        <f>+VLOOKUP(B61,cennik!A:G,3,FALSE)</f>
        <v>116.85122</v>
      </c>
      <c r="F61" s="91">
        <f>+CEILING(D61,1)*E61</f>
        <v>0</v>
      </c>
      <c r="G61" s="87">
        <f>F61</f>
        <v>0</v>
      </c>
      <c r="H61" s="5" t="str">
        <f>cennik!B2</f>
        <v>zł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3" spans="1:11" ht="12.75" customHeight="1" x14ac:dyDescent="0.25">
      <c r="B63" s="7"/>
      <c r="C63" s="7"/>
      <c r="D63" s="71" t="str">
        <f>texty!A15</f>
        <v>w sumie (bez VAT)</v>
      </c>
      <c r="E63" s="94"/>
      <c r="F63" s="96" t="e">
        <f>SUM(F30:F61)</f>
        <v>#N/A</v>
      </c>
      <c r="G63" s="96" t="e">
        <f>SUM(G30:G61)</f>
        <v>#N/A</v>
      </c>
      <c r="H63" s="5" t="str">
        <f>cennik!B2</f>
        <v>zł</v>
      </c>
      <c r="I63" s="166"/>
      <c r="J63" s="166"/>
      <c r="K63" s="4" t="str">
        <f>texty!A128</f>
        <v>srebrny</v>
      </c>
    </row>
    <row r="64" spans="1:11" ht="12.75" customHeight="1" x14ac:dyDescent="0.25">
      <c r="A64" s="70" t="str">
        <f>System10!A67</f>
        <v>Uwagi</v>
      </c>
      <c r="B64" s="703"/>
      <c r="C64" s="704"/>
      <c r="D64" s="704"/>
      <c r="E64" s="704"/>
      <c r="F64" s="704"/>
      <c r="G64" s="704"/>
      <c r="K64" s="4" t="str">
        <f>texty!A130</f>
        <v>j.brąz</v>
      </c>
    </row>
    <row r="65" spans="1:13" ht="12.75" customHeight="1" x14ac:dyDescent="0.25">
      <c r="A65" s="696" t="str">
        <f>profil!U15</f>
        <v/>
      </c>
      <c r="B65" s="696"/>
      <c r="C65" s="696"/>
      <c r="D65" s="696"/>
      <c r="E65" s="696"/>
      <c r="F65" s="696"/>
      <c r="G65" s="696"/>
    </row>
    <row r="66" spans="1:13" ht="12.75" customHeight="1" x14ac:dyDescent="0.25">
      <c r="A66" s="698" t="str">
        <f>IF(M66=1,texty!A215,IF(J66&gt;0,texty!A214,""))</f>
        <v>niektóre elementy nie są produkowane w wybranej długości</v>
      </c>
      <c r="B66" s="698"/>
      <c r="C66" s="698"/>
      <c r="D66" s="698"/>
      <c r="E66" s="698"/>
      <c r="F66" s="698"/>
      <c r="G66" s="698"/>
      <c r="J66" s="5" t="e">
        <f>SUM(J30:J61)</f>
        <v>#N/A</v>
      </c>
      <c r="M66" s="4">
        <f>IF(ISERROR(J66),1,0)</f>
        <v>1</v>
      </c>
    </row>
    <row r="79" spans="1:13" ht="12.75" hidden="1" customHeight="1" x14ac:dyDescent="0.25">
      <c r="A79" s="4">
        <v>3</v>
      </c>
    </row>
  </sheetData>
  <sheetProtection algorithmName="SHA-512" hashValue="zf60tuBQhqTWwgrW3PguG5CLYY88uAa4Q5elQXD3b5aa7sb+c7sHXKYcLKXMCXT9qlXuZlmbGu17+OO8Y88+rA==" saltValue="hK4WR6Wctl2eIiu8z7TmLQ==" spinCount="100000" sheet="1" objects="1" scenarios="1"/>
  <mergeCells count="10">
    <mergeCell ref="A66:G66"/>
    <mergeCell ref="A65:G65"/>
    <mergeCell ref="T6:T7"/>
    <mergeCell ref="B64:G64"/>
    <mergeCell ref="F4:I6"/>
    <mergeCell ref="Q6:Q7"/>
    <mergeCell ref="R6:R7"/>
    <mergeCell ref="S6:S7"/>
    <mergeCell ref="B5:E5"/>
    <mergeCell ref="A14:B15"/>
  </mergeCells>
  <conditionalFormatting sqref="A14">
    <cfRule type="expression" dxfId="177" priority="43">
      <formula>SUM($D$50:$D$51)&gt;0</formula>
    </cfRule>
  </conditionalFormatting>
  <conditionalFormatting sqref="A16">
    <cfRule type="expression" dxfId="176" priority="410">
      <formula>SUM(#REF!)&gt;0</formula>
    </cfRule>
  </conditionalFormatting>
  <conditionalFormatting sqref="D6">
    <cfRule type="expression" dxfId="174" priority="6">
      <formula>$D$4=4</formula>
    </cfRule>
    <cfRule type="expression" dxfId="173" priority="7">
      <formula>$D$4&lt;&gt;4</formula>
    </cfRule>
  </conditionalFormatting>
  <conditionalFormatting sqref="D52">
    <cfRule type="expression" dxfId="172" priority="8" stopIfTrue="1">
      <formula>IF(OR($D$47&gt;0,$D$48&gt;0,$D$49&gt;0),IF($D$52=0,1,0),0)</formula>
    </cfRule>
  </conditionalFormatting>
  <conditionalFormatting sqref="F4:I6">
    <cfRule type="expression" dxfId="171" priority="5">
      <formula>$D$4=4</formula>
    </cfRule>
  </conditionalFormatting>
  <dataValidations count="6">
    <dataValidation type="list" allowBlank="1" showInputMessage="1" showErrorMessage="1" sqref="E4" xr:uid="{00000000-0002-0000-0F00-000000000000}">
      <formula1>$K$63:$K$64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0" location="'Blue 10 mm'!A56" display="'Blue 10 mm'!A56" xr:uid="{00000000-0004-0000-0F00-000001000000}"/>
    <hyperlink ref="A61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6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987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",7,".",35)</f>
        <v>Katalog Okuć meblowych 2024 str. 7.35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5"/>
      <c r="G3" s="5"/>
      <c r="K3" s="5"/>
    </row>
    <row r="4" spans="1:21" ht="18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skrzydło drzwi:</v>
      </c>
      <c r="B7" s="53" t="str">
        <f>IF(B4&gt;0,B4-35,"")</f>
        <v/>
      </c>
      <c r="C7" s="55" t="str">
        <f>IFERROR((((C4-3+18*(D4-1))/D4+IF(AND(D4=4,D6=2),L1,0))),"")</f>
        <v/>
      </c>
      <c r="D7" s="7"/>
      <c r="E7" s="7"/>
      <c r="F7" s="46" t="str">
        <f>texty!A39</f>
        <v>W przypadku wykorzystania szkła,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rozmiar wypełnienia 10 mm:</v>
      </c>
      <c r="B8" s="53" t="str">
        <f>IFERROR((B7-65),"")</f>
        <v/>
      </c>
      <c r="C8" s="55" t="str">
        <f>IFERROR((C7-18),"")</f>
        <v/>
      </c>
      <c r="D8" s="7"/>
      <c r="E8" s="7"/>
      <c r="F8" s="46" t="str">
        <f>texty!A40</f>
        <v>należy wybrać bezpieczną szybę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ew. zabezpieczyć ją folią ochronną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(1500-C10)*R20</f>
        <v>#VALUE!</v>
      </c>
      <c r="S9" s="4" t="e">
        <f>(2000-C10)*S20</f>
        <v>#VALUE!</v>
      </c>
      <c r="T9" s="4" t="e">
        <f>(3000-C10)*T20</f>
        <v>#VALUE!</v>
      </c>
      <c r="U9" s="4" t="s">
        <v>547</v>
      </c>
    </row>
    <row r="10" spans="1:21" ht="12.75" customHeight="1" x14ac:dyDescent="0.25">
      <c r="A10" s="9" t="str">
        <f>texty!A74</f>
        <v>długość toru i listwy maskującej skrzydła</v>
      </c>
      <c r="B10" s="53"/>
      <c r="C10" s="56" t="str">
        <f>IFERROR((C7-34.2),"")</f>
        <v/>
      </c>
      <c r="D10" s="7"/>
      <c r="E10" s="7"/>
      <c r="F10" s="45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F11" s="3" t="str">
        <f>texty!A44</f>
        <v>Maksymalna waga skrzydła to 35 kg</v>
      </c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 xml:space="preserve">Długość uszczelki na jedno skrzydło to </v>
      </c>
      <c r="B13" s="54"/>
      <c r="C13" s="133" t="str">
        <f>IFERROR((ROUND((B8*2+C9*2),0)),"")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5.5" customHeight="1" x14ac:dyDescent="0.25">
      <c r="A14" s="683" t="str">
        <f>IF(SUM(D52:D53)&gt;0,texty!A247,"")</f>
        <v/>
      </c>
      <c r="B14" s="683"/>
      <c r="C14" s="382" t="str">
        <f>texty!A78</f>
        <v>dodatkowe zmniejszenie wysokośći wyliczonych wypełnień przy wykorzystaniu profili dzielących: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3.2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683"/>
      <c r="B16" s="683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683"/>
      <c r="B17" s="683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3.2" x14ac:dyDescent="0.25">
      <c r="A19" s="320"/>
      <c r="B19" s="15"/>
      <c r="C19" s="382"/>
      <c r="D19" s="7"/>
      <c r="E19" s="7"/>
      <c r="F19" s="5"/>
      <c r="G19" s="5"/>
      <c r="K19" s="5"/>
      <c r="Q19" s="147"/>
    </row>
    <row r="20" spans="1:21" ht="12.75" customHeight="1" x14ac:dyDescent="0.25">
      <c r="B20" s="15"/>
      <c r="C20" s="329"/>
      <c r="D20" s="7"/>
      <c r="E20" s="7"/>
      <c r="F20" s="5"/>
      <c r="G20" s="5"/>
      <c r="K20" s="5"/>
      <c r="L20" s="4" t="e">
        <f>L14-C4</f>
        <v>#VALUE!</v>
      </c>
      <c r="P20" s="4" t="s">
        <v>546</v>
      </c>
      <c r="R20" s="4" t="e">
        <f>FLOOR(D4/R8,1)</f>
        <v>#VALUE!</v>
      </c>
      <c r="S20" s="4" t="e">
        <f>FLOOR(D4/S8,1)</f>
        <v>#VALUE!</v>
      </c>
      <c r="T20" s="4" t="e">
        <f>FLOOR(D4/T8,1)</f>
        <v>#VALUE!</v>
      </c>
    </row>
    <row r="21" spans="1:21" ht="12.75" customHeight="1" x14ac:dyDescent="0.25">
      <c r="A21" s="320"/>
      <c r="B21" s="15"/>
      <c r="C21" s="329"/>
      <c r="D21" s="7"/>
      <c r="E21" s="7"/>
      <c r="F21" s="5"/>
      <c r="G21" s="5"/>
      <c r="K21" s="5"/>
    </row>
    <row r="22" spans="1:21" ht="14.25" customHeight="1" x14ac:dyDescent="0.25">
      <c r="A22" s="320"/>
      <c r="B22" s="598" t="str">
        <f>texty!A242</f>
        <v>dylatacja 4 mm</v>
      </c>
      <c r="C22" s="113"/>
      <c r="D22" s="7"/>
      <c r="E22" s="7"/>
      <c r="F22" s="5"/>
      <c r="G22" s="5"/>
      <c r="K22" s="5"/>
    </row>
    <row r="23" spans="1:21" ht="16.5" customHeight="1" x14ac:dyDescent="0.25">
      <c r="A23" s="6"/>
      <c r="B23" s="7"/>
      <c r="C23" s="7"/>
      <c r="E23" s="7"/>
      <c r="F23" s="5"/>
      <c r="G23" s="5"/>
      <c r="K23" s="5"/>
      <c r="L23" s="5"/>
      <c r="Q23" s="4" t="s">
        <v>566</v>
      </c>
      <c r="R23" s="4" t="s">
        <v>565</v>
      </c>
      <c r="S23" s="4">
        <v>1500</v>
      </c>
      <c r="T23" s="4">
        <v>2000</v>
      </c>
      <c r="U23" s="4">
        <v>3000</v>
      </c>
    </row>
    <row r="24" spans="1:21" ht="16.5" customHeight="1" x14ac:dyDescent="0.25">
      <c r="A24" s="135"/>
      <c r="B24" s="7"/>
      <c r="C24" s="7"/>
      <c r="D24" s="11"/>
      <c r="E24" s="7"/>
      <c r="F24" s="5"/>
      <c r="G24" s="5"/>
      <c r="K24" s="5"/>
      <c r="P24" s="4">
        <v>1</v>
      </c>
      <c r="Q24" s="4" t="e">
        <f>R8</f>
        <v>#VALUE!</v>
      </c>
      <c r="R24" s="4" t="e">
        <f>IF(Q24&gt;=D4,1,"")</f>
        <v>#VALUE!</v>
      </c>
      <c r="S24" s="150" t="e">
        <f>IF(R24=1,1,"")</f>
        <v>#VALUE!</v>
      </c>
      <c r="T24" s="150"/>
      <c r="U24" s="150"/>
    </row>
    <row r="25" spans="1:21" ht="12.75" customHeight="1" x14ac:dyDescent="0.25">
      <c r="A25" s="190"/>
      <c r="B25" s="7"/>
      <c r="C25" s="7"/>
      <c r="D25" s="7"/>
      <c r="E25" s="7"/>
      <c r="F25" s="5"/>
      <c r="G25" s="5"/>
      <c r="K25" s="3"/>
      <c r="P25" s="4">
        <v>2</v>
      </c>
      <c r="Q25" s="4" t="e">
        <f>S8</f>
        <v>#VALUE!</v>
      </c>
      <c r="R25" s="4" t="e">
        <f>IF(Q25&gt;=D4,IF(R24=1,"",1),"")</f>
        <v>#VALUE!</v>
      </c>
      <c r="S25" s="150"/>
      <c r="T25" s="150" t="e">
        <f>IF(R25=1,1,"")</f>
        <v>#VALUE!</v>
      </c>
      <c r="U25" s="150"/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P26" s="4">
        <v>3</v>
      </c>
      <c r="Q26" s="4" t="e">
        <f>T8</f>
        <v>#VALUE!</v>
      </c>
      <c r="R26" s="4" t="e">
        <f>IF(Q26&gt;=D4,IF(Q25&gt;=D4,"",1),"")</f>
        <v>#VALUE!</v>
      </c>
      <c r="U26" s="150" t="e">
        <f>IF(R26=1,1,"")</f>
        <v>#VALUE!</v>
      </c>
    </row>
    <row r="27" spans="1:21" ht="12.75" customHeight="1" x14ac:dyDescent="0.25">
      <c r="A27" s="6"/>
      <c r="B27" s="7"/>
      <c r="C27" s="7"/>
      <c r="D27" s="7"/>
      <c r="E27" s="7"/>
      <c r="F27" s="5"/>
      <c r="G27" s="5"/>
      <c r="K27" s="4" t="str">
        <f>CONCATENATE(M27,"-",O7)</f>
        <v>1500-0</v>
      </c>
      <c r="L27" s="5" t="e">
        <f>SUM(S24:S36)</f>
        <v>#VALUE!</v>
      </c>
      <c r="M27" s="4">
        <v>1500</v>
      </c>
      <c r="O27" s="4" t="s">
        <v>548</v>
      </c>
      <c r="P27" s="149" t="s">
        <v>549</v>
      </c>
      <c r="Q27" s="4" t="e">
        <f>R8+S8</f>
        <v>#VALUE!</v>
      </c>
      <c r="R27" s="4" t="e">
        <f>IF(Q27&gt;=D4,IF(SUM(R24:R26)&gt;0,"",1),"")</f>
        <v>#VALUE!</v>
      </c>
      <c r="S27" s="150" t="e">
        <f>IF(R27=1,1,"")</f>
        <v>#VALUE!</v>
      </c>
      <c r="T27" s="150" t="e">
        <f>IF(R27=1,1,"")</f>
        <v>#VALUE!</v>
      </c>
    </row>
    <row r="28" spans="1:21" ht="12.75" customHeight="1" x14ac:dyDescent="0.25">
      <c r="A28" s="6"/>
      <c r="B28" s="7"/>
      <c r="D28" s="7"/>
      <c r="E28" s="7"/>
      <c r="F28" s="7"/>
      <c r="G28" s="122" t="str">
        <f>+System10!G25</f>
        <v>partnerska zniżka:</v>
      </c>
      <c r="K28" s="4" t="str">
        <f>CONCATENATE(M28,"-",O7)</f>
        <v>2000-0</v>
      </c>
      <c r="L28" s="5" t="e">
        <f>SUM(T24:T36)</f>
        <v>#VALUE!</v>
      </c>
      <c r="M28" s="4">
        <v>2000</v>
      </c>
      <c r="P28" s="4" t="s">
        <v>561</v>
      </c>
      <c r="Q28" s="4" t="e">
        <f>S8+S8</f>
        <v>#VALUE!</v>
      </c>
      <c r="R28" s="4" t="e">
        <f>IF(Q28&gt;=D4,IF(SUM(R24:R27)&gt;0,"",1),"")</f>
        <v>#VALUE!</v>
      </c>
      <c r="T28" s="150" t="e">
        <f>IF(R28=1,2,"")</f>
        <v>#VALUE!</v>
      </c>
    </row>
    <row r="29" spans="1:21" ht="12.75" customHeight="1" x14ac:dyDescent="0.25">
      <c r="A29" s="12" t="str">
        <f>texty!A80</f>
        <v>Kody zamówieniowe, ceny:</v>
      </c>
      <c r="B29" s="7"/>
      <c r="D29" s="7"/>
      <c r="E29" s="7"/>
      <c r="F29" s="7"/>
      <c r="G29" s="279"/>
      <c r="H29" s="26"/>
      <c r="K29" s="4" t="str">
        <f>CONCATENATE(M29,"-",O7)</f>
        <v>3000-0</v>
      </c>
      <c r="L29" s="5" t="e">
        <f>SUM(U24:U36)</f>
        <v>#VALUE!</v>
      </c>
      <c r="M29" s="4">
        <v>3000</v>
      </c>
      <c r="N29" s="148"/>
      <c r="P29" s="4" t="s">
        <v>550</v>
      </c>
      <c r="Q29" s="4" t="e">
        <f>R8+T8</f>
        <v>#VALUE!</v>
      </c>
      <c r="R29" s="4" t="e">
        <f>IF(Q29&gt;=D4,IF(SUM(R24:R28)&gt;0,"",1),"")</f>
        <v>#VALUE!</v>
      </c>
      <c r="S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/>
      <c r="B30" s="17" t="str">
        <f>texty!A276</f>
        <v>kod</v>
      </c>
      <c r="C30" s="16" t="str">
        <f>+System10!C27</f>
        <v>nazwa</v>
      </c>
      <c r="D30" s="17" t="str">
        <f>+System10!D27</f>
        <v>szt.</v>
      </c>
      <c r="E30" s="17" t="str">
        <f>+System10!E27</f>
        <v>cena/szt.</v>
      </c>
      <c r="F30" s="17" t="str">
        <f>+System10!F27</f>
        <v>cena w sumie</v>
      </c>
      <c r="G30" s="18" t="str">
        <f>+System10!G27</f>
        <v>w sumie netto:</v>
      </c>
      <c r="I30" s="16" t="str">
        <f>texty!A29</f>
        <v>Uwagi:</v>
      </c>
      <c r="J30" s="16"/>
      <c r="K30" s="5"/>
      <c r="L30" s="4">
        <f>COUNT(L27,L28,L29)</f>
        <v>0</v>
      </c>
      <c r="M30" s="148"/>
      <c r="N30" s="148"/>
      <c r="P30" s="4" t="s">
        <v>551</v>
      </c>
      <c r="Q30" s="4" t="e">
        <f>S8+T8</f>
        <v>#VALUE!</v>
      </c>
      <c r="R30" s="4" t="e">
        <f>IF(Q30&gt;=D4,IF(SUM(R24:R29)&gt;0,"",1),"")</f>
        <v>#VALUE!</v>
      </c>
      <c r="T30" s="150" t="e">
        <f>IF(R30=1,1,"")</f>
        <v>#VALUE!</v>
      </c>
      <c r="U30" s="150" t="e">
        <f>IF(R30=1,1,"")</f>
        <v>#VALUE!</v>
      </c>
    </row>
    <row r="31" spans="1:21" ht="12.75" customHeight="1" x14ac:dyDescent="0.25">
      <c r="A31" s="6" t="str">
        <f>+System10!A28</f>
        <v>Tor górny:</v>
      </c>
      <c r="B31" s="15" t="e">
        <f>+VLOOKUP(N5,data!C291:D308,2,0)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 t="shared" ref="F31:F42" si="0">+E31*D31</f>
        <v>#N/A</v>
      </c>
      <c r="G31" s="87" t="e">
        <f>+F31*(100-G29)/100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/>
      <c r="L31" s="148"/>
      <c r="M31" s="148"/>
      <c r="N31" s="148"/>
      <c r="P31" s="4" t="s">
        <v>562</v>
      </c>
      <c r="Q31" s="4" t="e">
        <f>T8+T8</f>
        <v>#VALUE!</v>
      </c>
      <c r="R31" s="4" t="e">
        <f>IF(Q31&gt;=D4,IF(SUM(R24:R30)&gt;0,"",1),"")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+System10!A29</f>
        <v>Tor dolny</v>
      </c>
      <c r="B32" s="15" t="e">
        <f>+VLOOKUP(N5,data!C311:D328,2,0)</f>
        <v>#N/A</v>
      </c>
      <c r="C32" s="23" t="e">
        <f>+VLOOKUP(B32,cennik!A:G,2,FALSE)</f>
        <v>#N/A</v>
      </c>
      <c r="D32" s="15">
        <v>1</v>
      </c>
      <c r="E32" s="86" t="e">
        <f>+VLOOKUP(B32,cennik!A:G,3,FALSE)</f>
        <v>#N/A</v>
      </c>
      <c r="F32" s="86" t="e">
        <f t="shared" si="0"/>
        <v>#N/A</v>
      </c>
      <c r="G32" s="87" t="e">
        <f>+F32*(100-G29)/100</f>
        <v>#N/A</v>
      </c>
      <c r="H32" s="5" t="str">
        <f>cennik!B2</f>
        <v>zł</v>
      </c>
      <c r="I32" s="363" t="str">
        <f>IFERROR(IF((VLOOKUP(B32,cennik!A:L,12,0))="O",texty!A250,""),"")</f>
        <v/>
      </c>
      <c r="J32" s="174" t="e">
        <f>IF(D32&gt;0,IF(VLOOKUP(B32,cennik!A:L,12,FALSE)="O",1,""),"")</f>
        <v>#N/A</v>
      </c>
      <c r="K32" s="5" t="s">
        <v>552</v>
      </c>
      <c r="L32" s="4" t="e">
        <f>IF(L27=0,IF(L28=0,K29,K28),K27)</f>
        <v>#VALUE!</v>
      </c>
      <c r="M32" s="148" t="e">
        <f>IF(L32=K27,L27,IF(L32=K28,L28,IF(L32=K29,L29,"chyba")))</f>
        <v>#VALUE!</v>
      </c>
      <c r="N32" s="148"/>
      <c r="O32" s="148"/>
      <c r="P32" s="4" t="s">
        <v>563</v>
      </c>
      <c r="Q32" s="4" t="e">
        <f>R8+R8+R8</f>
        <v>#VALUE!</v>
      </c>
      <c r="R32" s="4" t="e">
        <f>IF(Q32&gt;=D4,IF(SUM(R24:R31)&gt;0,"",1),"")</f>
        <v>#VALUE!</v>
      </c>
      <c r="S32" s="150" t="e">
        <f>IF(R32=1,3,"")</f>
        <v>#VALUE!</v>
      </c>
    </row>
    <row r="33" spans="1:21" ht="12.75" customHeight="1" x14ac:dyDescent="0.25">
      <c r="A33" s="6" t="str">
        <f>texty!A210</f>
        <v>zaślepka toru dolnego</v>
      </c>
      <c r="B33" s="15">
        <v>216362</v>
      </c>
      <c r="C33" s="23" t="str">
        <f>+VLOOKUP(B33,cennik!A:G,2,FALSE)</f>
        <v>SEVROLL zaślepka gumowa do toru Simple/Blue przeźroczysta</v>
      </c>
      <c r="D33" s="15">
        <f>CEILING(C4/1000,1)</f>
        <v>0</v>
      </c>
      <c r="E33" s="86">
        <f>+VLOOKUP(B33,cennik!A:G,3,FALSE)</f>
        <v>3.4045299999999998</v>
      </c>
      <c r="F33" s="86">
        <f t="shared" si="0"/>
        <v>0</v>
      </c>
      <c r="G33" s="87">
        <f>+F33*(100-G29)/100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M33" s="148"/>
      <c r="N33" s="148"/>
      <c r="O33" s="148"/>
      <c r="S33" s="150"/>
    </row>
    <row r="34" spans="1:21" ht="12.75" customHeight="1" x14ac:dyDescent="0.25">
      <c r="A34" s="6" t="str">
        <f>+System10!A31</f>
        <v>górne wózki</v>
      </c>
      <c r="B34" s="15">
        <v>349943</v>
      </c>
      <c r="C34" s="23" t="str">
        <f>+VLOOKUP(B34,cennik!A:G,2,FALSE)</f>
        <v>SEVROLL wózek górny Blue 10mm symetryczny L+P</v>
      </c>
      <c r="D34" s="15">
        <f>+D4</f>
        <v>0</v>
      </c>
      <c r="E34" s="86">
        <f>+VLOOKUP(B34,cennik!A:G,3,FALSE)</f>
        <v>15.244389999999999</v>
      </c>
      <c r="F34" s="86">
        <f t="shared" si="0"/>
        <v>0</v>
      </c>
      <c r="G34" s="87">
        <f>+F34*(100-G29)/100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 t="s">
        <v>553</v>
      </c>
      <c r="L34" s="4" t="e">
        <f>IF(L32=K29,"jiné",IF(L32=K27,IF(L28&lt;&gt;0,K28,IF(L29&lt;&gt;0,K29,"jiné")),IF(L29&lt;&gt;0,K29,"jiné")))</f>
        <v>#VALUE!</v>
      </c>
      <c r="M34" s="148" t="e">
        <f>IF(L34=K28,L28,IF(L34=K29,L29,IF(L34=K30,L30,0)))</f>
        <v>#VALUE!</v>
      </c>
      <c r="N34" s="148"/>
      <c r="O34" s="148"/>
      <c r="P34" s="4" t="s">
        <v>554</v>
      </c>
      <c r="Q34" s="4" t="e">
        <f>R8+2*S8</f>
        <v>#VALUE!</v>
      </c>
      <c r="R34" s="4" t="e">
        <f>IF(Q34&gt;=D4,IF(SUM(R24:R32)&gt;0,"",1),"")</f>
        <v>#VALUE!</v>
      </c>
      <c r="S34" s="150" t="e">
        <f>IF(R34=1,1,"")</f>
        <v>#VALUE!</v>
      </c>
      <c r="T34" s="150" t="e">
        <f>IF(R34=1,2,"")</f>
        <v>#VALUE!</v>
      </c>
    </row>
    <row r="35" spans="1:21" ht="12.75" customHeight="1" x14ac:dyDescent="0.25">
      <c r="A35" s="6" t="str">
        <f>+System10!A32</f>
        <v>dolne wózki</v>
      </c>
      <c r="B35" s="15">
        <v>229446</v>
      </c>
      <c r="C35" s="23" t="str">
        <f>+VLOOKUP(B35,cennik!A:G,2,FALSE)</f>
        <v>SEVROLL wózek dolny Simple/Blue V (system ramowy) - 2szt</v>
      </c>
      <c r="D35" s="15">
        <f>+D4</f>
        <v>0</v>
      </c>
      <c r="E35" s="86">
        <f>+VLOOKUP(B35,cennik!A:G,3,FALSE)</f>
        <v>16.17259</v>
      </c>
      <c r="F35" s="86">
        <f t="shared" si="0"/>
        <v>0</v>
      </c>
      <c r="G35" s="87">
        <f>+F35*(100-G29)/100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/>
      <c r="L35" s="148"/>
      <c r="M35" s="148"/>
      <c r="N35" s="148"/>
      <c r="O35" s="148"/>
      <c r="P35" s="4" t="s">
        <v>564</v>
      </c>
      <c r="Q35" s="4" t="e">
        <f>S8+S8+S8</f>
        <v>#VALUE!</v>
      </c>
      <c r="R35" s="4" t="e">
        <f>IF(Q35&gt;=D4,IF(SUM(R24:R34)&gt;0,"",1),"")</f>
        <v>#VALUE!</v>
      </c>
      <c r="T35" s="150" t="e">
        <f>IF(R35=1,3,"")</f>
        <v>#VALUE!</v>
      </c>
    </row>
    <row r="36" spans="1:21" ht="12.75" customHeight="1" x14ac:dyDescent="0.25">
      <c r="A36" s="6" t="str">
        <f>texty!A111</f>
        <v>pozycjoner</v>
      </c>
      <c r="B36" s="589">
        <v>229681</v>
      </c>
      <c r="C36" s="23" t="str">
        <f>+VLOOKUP(B36,cennik!A:G,2,FALSE)</f>
        <v>SEVROLL Simple/Blue pozycjoner wózka dolnego</v>
      </c>
      <c r="D36" s="15">
        <f>+D4</f>
        <v>0</v>
      </c>
      <c r="E36" s="86">
        <f>+VLOOKUP(B36,cennik!A:G,3,FALSE)</f>
        <v>1.2257</v>
      </c>
      <c r="F36" s="86">
        <f t="shared" si="0"/>
        <v>0</v>
      </c>
      <c r="G36" s="87">
        <f>+F36*(100-G29)/100</f>
        <v>0</v>
      </c>
      <c r="H36" s="5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5" t="str">
        <f>CONCATENATE(3000,"-",E4)</f>
        <v>3000-</v>
      </c>
      <c r="L36" s="148"/>
      <c r="M36" s="148"/>
      <c r="N36" s="148"/>
      <c r="O36" s="148"/>
      <c r="P36" s="4" t="s">
        <v>555</v>
      </c>
      <c r="Q36" s="4" t="e">
        <f>R8+2*T8</f>
        <v>#VALUE!</v>
      </c>
      <c r="R36" s="4" t="e">
        <f>IF(Q36&gt;=D4,IF(SUM(R24:R35)&gt;0,"",1),"")</f>
        <v>#VALUE!</v>
      </c>
      <c r="S36" s="150" t="e">
        <f>IF(R36=1,1,"")</f>
        <v>#VALUE!</v>
      </c>
      <c r="U36" s="150" t="e">
        <f>IF(R36=1,2,"")</f>
        <v>#VALUE!</v>
      </c>
    </row>
    <row r="37" spans="1:21" ht="12.75" customHeight="1" x14ac:dyDescent="0.25">
      <c r="A37" s="6" t="str">
        <f>+System10!A33</f>
        <v>szczotka odbojowa</v>
      </c>
      <c r="B37" s="15">
        <v>98067</v>
      </c>
      <c r="C37" s="23" t="str">
        <f>+VLOOKUP(B37,cennik!A:G,2,FALSE)</f>
        <v>SEVROLL szczotka odbojowa zasuwana 14,5x4 mm</v>
      </c>
      <c r="D37" s="15">
        <f>CEILING((B4*D4*2/1000),1)</f>
        <v>0</v>
      </c>
      <c r="E37" s="86">
        <f>+VLOOKUP(B37,cennik!A:G,3,FALSE)</f>
        <v>1.224</v>
      </c>
      <c r="F37" s="86">
        <f t="shared" si="0"/>
        <v>0</v>
      </c>
      <c r="G37" s="87">
        <f>+F37*(100-G29)/100</f>
        <v>0</v>
      </c>
      <c r="H37" s="5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">
        <v>672</v>
      </c>
    </row>
    <row r="38" spans="1:21" ht="12.75" customHeight="1" x14ac:dyDescent="0.25">
      <c r="A38" s="6" t="str">
        <f>+System10!A34</f>
        <v>rączka</v>
      </c>
      <c r="B38" s="15" t="e">
        <f>+VLOOKUP(O7,data!C553:D554,2,0)</f>
        <v>#N/A</v>
      </c>
      <c r="C38" s="23" t="e">
        <f>+VLOOKUP(B38,cennik!A:G,2,FALSE)</f>
        <v>#N/A</v>
      </c>
      <c r="D38" s="15">
        <f>IF(B12&lt;=1347,D4*2/2,D4*2)</f>
        <v>0</v>
      </c>
      <c r="E38" s="86" t="e">
        <f>+VLOOKUP(B38,cennik!A:G,3,FALSE)</f>
        <v>#N/A</v>
      </c>
      <c r="F38" s="86" t="e">
        <f t="shared" si="0"/>
        <v>#N/A</v>
      </c>
      <c r="G38" s="87" t="e">
        <f>+F38*(100-G29)/100</f>
        <v>#N/A</v>
      </c>
      <c r="H38" s="5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45" t="e">
        <f>(C10*D4)+(D4-1)*5</f>
        <v>#VALUE!</v>
      </c>
    </row>
    <row r="39" spans="1:21" ht="12.75" customHeight="1" x14ac:dyDescent="0.25">
      <c r="A39" s="6" t="str">
        <f>+System10!A35</f>
        <v>śruba łącząca</v>
      </c>
      <c r="B39" s="5">
        <v>89244</v>
      </c>
      <c r="C39" s="23" t="str">
        <f>+VLOOKUP(B39,cennik!A:G,2,FALSE)</f>
        <v>SEVROLL blachowkręt 6,3x32 SEVROLL i Simple</v>
      </c>
      <c r="D39" s="15">
        <f>+D4*4</f>
        <v>0</v>
      </c>
      <c r="E39" s="86">
        <f>+VLOOKUP(B39,cennik!A:G,3,FALSE)</f>
        <v>0.52500000000000002</v>
      </c>
      <c r="F39" s="86">
        <f>+E39*D39</f>
        <v>0</v>
      </c>
      <c r="G39" s="87">
        <f>+F39*(100-G29)/100</f>
        <v>0</v>
      </c>
      <c r="H39" s="5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21" ht="12.75" customHeight="1" x14ac:dyDescent="0.25">
      <c r="A40" s="6" t="str">
        <f>+System10!A36</f>
        <v>listwa pozioma górna</v>
      </c>
      <c r="B40" s="15" t="e">
        <f>+VLOOKUP(L32,data!C384:D389,2,0)</f>
        <v>#VALUE!</v>
      </c>
      <c r="C40" s="23" t="e">
        <f>+VLOOKUP(B40,cennik!A:G,2,FALSE)</f>
        <v>#VALUE!</v>
      </c>
      <c r="D40" s="60" t="e">
        <f>M32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+F40*(100-G29)/100</f>
        <v>#VALUE!</v>
      </c>
      <c r="H40" s="5" t="str">
        <f>cennik!B2</f>
        <v>zł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+System10!A36</f>
        <v>listwa pozioma górna</v>
      </c>
      <c r="B41" s="5" t="e">
        <f>IF(L34&lt;&gt;"jiné",VLOOKUP(L34,data!C384:D389,2,0),"")</f>
        <v>#VALUE!</v>
      </c>
      <c r="C41" s="473" t="e">
        <f>IF(L34&lt;&gt;"jiné",+VLOOKUP(B41,cennik!A:G,2,FALSE),texty!A2)</f>
        <v>#VALUE!</v>
      </c>
      <c r="D41" s="60" t="e">
        <f>M34</f>
        <v>#VALUE!</v>
      </c>
      <c r="E41" s="88" t="e">
        <f>IF(L34&lt;&gt;"jiné",+VLOOKUP(B41,cennik!A:G,3,FALSE),0)</f>
        <v>#VALUE!</v>
      </c>
      <c r="F41" s="86" t="e">
        <f t="shared" si="0"/>
        <v>#VALUE!</v>
      </c>
      <c r="G41" s="87" t="e">
        <f>+F41*(100-G29)/100</f>
        <v>#VALUE!</v>
      </c>
      <c r="H41" s="5" t="str">
        <f>cennik!B2</f>
        <v>zł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A42" s="6" t="str">
        <f>+System10!A38</f>
        <v>poziomy dolny profil ramy</v>
      </c>
      <c r="B42" s="15" t="e">
        <f>+VLOOKUP(L32,data!C476:D481,2,0)</f>
        <v>#VALUE!</v>
      </c>
      <c r="C42" s="23" t="e">
        <f>+VLOOKUP(B42,cennik!A:G,2,FALSE)</f>
        <v>#VALUE!</v>
      </c>
      <c r="D42" s="60" t="e">
        <f>M32</f>
        <v>#VALUE!</v>
      </c>
      <c r="E42" s="86" t="e">
        <f>+VLOOKUP(B42,cennik!A:G,3,FALSE)</f>
        <v>#VALUE!</v>
      </c>
      <c r="F42" s="86" t="e">
        <f t="shared" si="0"/>
        <v>#VALUE!</v>
      </c>
      <c r="G42" s="87" t="e">
        <f>+F42*(100-G29)/100</f>
        <v>#VALUE!</v>
      </c>
      <c r="H42" s="5" t="str">
        <f>cennik!B2</f>
        <v>zł</v>
      </c>
      <c r="I42" s="363" t="str">
        <f>IFERROR(IF((VLOOKUP(B42,cennik!A:L,12,0))="O",texty!A250,""),"")</f>
        <v/>
      </c>
      <c r="J42" s="174" t="e">
        <f>IF(D42&gt;0,IF(VLOOKUP(B42,cennik!A:L,12,FALSE)="O",1,""),"")</f>
        <v>#VALUE!</v>
      </c>
      <c r="K42" s="3"/>
    </row>
    <row r="43" spans="1:21" ht="12.75" customHeight="1" x14ac:dyDescent="0.25">
      <c r="A43" s="6" t="str">
        <f>+System10!A39</f>
        <v>poziomy dolny profil ramy</v>
      </c>
      <c r="B43" s="5" t="e">
        <f>IF(L34&lt;&gt;"jiné",+VLOOKUP(L34,data!C476:D481,2,0),"")</f>
        <v>#VALUE!</v>
      </c>
      <c r="C43" s="23" t="e">
        <f>IF(L34&lt;&gt;"jiné",+VLOOKUP(B43,cennik!A:G,2,FALSE),texty!A2)</f>
        <v>#VALUE!</v>
      </c>
      <c r="D43" s="60" t="e">
        <f>M34</f>
        <v>#VALUE!</v>
      </c>
      <c r="E43" s="88" t="e">
        <f>IF(L34&lt;&gt;"jiné",+VLOOKUP(B41,cennik!A:G,3,FALSE),0)</f>
        <v>#VALUE!</v>
      </c>
      <c r="F43" s="86" t="e">
        <f>+E43*D43</f>
        <v>#VALUE!</v>
      </c>
      <c r="G43" s="87" t="e">
        <f>+F43*(100-G29)/100</f>
        <v>#VALUE!</v>
      </c>
      <c r="H43" s="5" t="str">
        <f>cennik!B2</f>
        <v>zł</v>
      </c>
      <c r="I43" s="363" t="str">
        <f>IFERROR(IF((VLOOKUP(B43,cennik!A:L,12,0))="O",texty!A250,""),"")</f>
        <v/>
      </c>
      <c r="J43" s="174" t="e">
        <f>IF(D43&gt;0,IF(VLOOKUP(B43,cennik!A:L,12,FALSE)="O",1,""),"")</f>
        <v>#VALUE!</v>
      </c>
      <c r="K43" s="3"/>
    </row>
    <row r="44" spans="1:21" ht="12.75" customHeight="1" x14ac:dyDescent="0.25">
      <c r="A44" s="6"/>
      <c r="B44" s="5"/>
      <c r="C44" s="23"/>
      <c r="D44" s="60"/>
      <c r="E44" s="88"/>
      <c r="F44" s="86"/>
      <c r="G44" s="87"/>
      <c r="I44" s="363" t="str">
        <f>IFERROR(IF((VLOOKUP(B44,cennik!A:L,12,0))="O",texty!A250,""),"")</f>
        <v/>
      </c>
      <c r="J44" s="174"/>
      <c r="K44" s="3"/>
    </row>
    <row r="45" spans="1:21" ht="12.75" customHeight="1" x14ac:dyDescent="0.25">
      <c r="A45" s="12" t="str">
        <f>texty!A66</f>
        <v>Akcesoria:</v>
      </c>
      <c r="B45" s="7"/>
      <c r="D45" s="24" t="str">
        <f>System10!D41</f>
        <v>podaj ilość</v>
      </c>
      <c r="E45" s="90"/>
      <c r="F45" s="90"/>
      <c r="G45" s="89"/>
      <c r="I45" s="363" t="str">
        <f>IFERROR(IF((VLOOKUP(B45,cennik!A:L,12,0))="O",texty!A250,""),"")</f>
        <v/>
      </c>
      <c r="J45" s="174"/>
      <c r="K45" s="3"/>
    </row>
    <row r="46" spans="1:21" ht="12.75" customHeight="1" x14ac:dyDescent="0.25">
      <c r="A46" s="6" t="str">
        <f>texty!A88</f>
        <v>pozycjoner wózka górnego</v>
      </c>
      <c r="B46" s="7">
        <v>298035</v>
      </c>
      <c r="C46" s="23" t="str">
        <f>+VLOOKUP(B46,cennik!A:G,2,FALSE)</f>
        <v>SEVROLL Fix pozycjoner wózka górnego transparentny</v>
      </c>
      <c r="D46" s="27"/>
      <c r="E46" s="86">
        <f>+VLOOKUP(B46,cennik!A:G,3,FALSE)</f>
        <v>3.74519</v>
      </c>
      <c r="F46" s="91">
        <f>+CEILING(D46,1)*E46</f>
        <v>0</v>
      </c>
      <c r="G46" s="87">
        <f>+F46*(100-G29)/100</f>
        <v>0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+System10!A43</f>
        <v>pozycjoner</v>
      </c>
      <c r="B47" s="589">
        <v>229681</v>
      </c>
      <c r="C47" s="23" t="str">
        <f>+VLOOKUP(B47,cennik!A:G,2,FALSE)</f>
        <v>SEVROLL Simple/Blue pozycjoner wózka dolnego</v>
      </c>
      <c r="D47" s="27"/>
      <c r="E47" s="86">
        <f>+VLOOKUP(B47,cennik!A:G,3,FALSE)</f>
        <v>1.2257</v>
      </c>
      <c r="F47" s="91">
        <f>+CEILING(D47,1)*E47</f>
        <v>0</v>
      </c>
      <c r="G47" s="87">
        <f>+F47*(100-G29)/100</f>
        <v>0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texty!A179</f>
        <v>Wkręt do dolnego toru</v>
      </c>
      <c r="B48" s="7">
        <v>98019</v>
      </c>
      <c r="C48" s="23" t="str">
        <f>+VLOOKUP(B48,cennik!A:G,2,FALSE)</f>
        <v>SEVROLL wkręt 2,5x18mm</v>
      </c>
      <c r="D48" s="27"/>
      <c r="E48" s="86">
        <f>+VLOOKUP(B48,cennik!A:G,3,FALSE)</f>
        <v>0.10996</v>
      </c>
      <c r="F48" s="91">
        <f>+CEILING(D48,1)*E48</f>
        <v>0</v>
      </c>
      <c r="G48" s="87">
        <f>+F48*(100-G29)/100</f>
        <v>0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profil łączący H Simple 10</v>
      </c>
      <c r="B49" s="15" t="e">
        <f>+VLOOKUP(K27,data!C384:D389,2,0)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+F49*(100-G29)/100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6" t="str">
        <f>texty!A203</f>
        <v>profil łączący H Simple 10</v>
      </c>
      <c r="B50" s="15" t="e">
        <f>+VLOOKUP(K28,data!C384:D389,2,0)</f>
        <v>#N/A</v>
      </c>
      <c r="C50" s="23" t="e">
        <f>+VLOOKUP(B50,cennik!A:G,2,FALSE)</f>
        <v>#N/A</v>
      </c>
      <c r="D50" s="28"/>
      <c r="E50" s="86" t="e">
        <f>+VLOOKUP(B50,cennik!A:G,3,FALSE)</f>
        <v>#N/A</v>
      </c>
      <c r="F50" s="86" t="e">
        <f>+E50*D50</f>
        <v>#N/A</v>
      </c>
      <c r="G50" s="87" t="e">
        <f>+F50*(100-G29)/100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texty!A203</f>
        <v>profil łączący H Simple 10</v>
      </c>
      <c r="B51" s="15" t="e">
        <f>+VLOOKUP(K29,data!C384:D389,2,0)</f>
        <v>#N/A</v>
      </c>
      <c r="C51" s="23" t="e">
        <f>+VLOOKUP(B51,cennik!A:G,2,FALSE)</f>
        <v>#N/A</v>
      </c>
      <c r="D51" s="28"/>
      <c r="E51" s="86" t="e">
        <f>+VLOOKUP(B51,cennik!A:G,3,FALSE)</f>
        <v>#N/A</v>
      </c>
      <c r="F51" s="86" t="e">
        <f>+E51*D51</f>
        <v>#N/A</v>
      </c>
      <c r="G51" s="87" t="e">
        <f>+F51*(100-G29)/100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texty!A228</f>
        <v> Tłumienie MINI do 25 kg (para)</v>
      </c>
      <c r="B52" s="15">
        <v>350024</v>
      </c>
      <c r="C52" s="23" t="str">
        <f>+VLOOKUP(B52,cennik!A:G,2,FALSE)</f>
        <v>SEVROLL tłumienie Simple/Blue 10/18 25kg L+P</v>
      </c>
      <c r="D52" s="408"/>
      <c r="E52" s="86">
        <f>+VLOOKUP(B52,cennik!A:G,3,FALSE)</f>
        <v>109.51739999999999</v>
      </c>
      <c r="F52" s="91">
        <f>+CEILING(D52,1)*E52</f>
        <v>0</v>
      </c>
      <c r="G52" s="87">
        <f>+F52*(100-G29)/100</f>
        <v>0</v>
      </c>
      <c r="H52" s="5" t="str">
        <f>cennik!B2</f>
        <v>zł</v>
      </c>
      <c r="I52" s="363" t="str">
        <f>IFERROR(IF((VLOOKUP(B52,cennik!A:L,12,0))="O",texty!A250,""),"")</f>
        <v>Na zamówienie</v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texty!A229</f>
        <v> Tłumienie MINI do 40 kg (para)</v>
      </c>
      <c r="B53" s="22">
        <v>293776</v>
      </c>
      <c r="C53" s="23" t="str">
        <f>+VLOOKUP(B53,cennik!A:G,2,FALSE)</f>
        <v>SEVROLL tłumienie Simple/Blue 10/18, 25 - 40kg, L+P</v>
      </c>
      <c r="D53" s="27"/>
      <c r="E53" s="86">
        <f>+VLOOKUP(B53,cennik!A:G,3,FALSE)</f>
        <v>109.51739999999999</v>
      </c>
      <c r="F53" s="91">
        <f>+CEILING(D53,1)*E53</f>
        <v>0</v>
      </c>
      <c r="G53" s="87">
        <f>+F53*(100-G29)/100</f>
        <v>0</v>
      </c>
      <c r="H53" s="5" t="str">
        <f>cennik!B2</f>
        <v>zł</v>
      </c>
      <c r="I53" s="363" t="str">
        <f>IFERROR(IF((VLOOKUP(B53,cennik!A:L,12,0))="O",texty!A250,""),"")</f>
        <v>Na zamówienie</v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410"/>
      <c r="B54" s="415"/>
      <c r="C54" s="411"/>
      <c r="D54" s="409"/>
      <c r="E54" s="412"/>
      <c r="F54" s="416"/>
      <c r="G54" s="413"/>
      <c r="H54" s="414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410"/>
      <c r="B55" s="415"/>
      <c r="C55" s="411"/>
      <c r="D55" s="409"/>
      <c r="E55" s="412"/>
      <c r="F55" s="416"/>
      <c r="G55" s="413"/>
      <c r="H55" s="414"/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410"/>
      <c r="B56" s="415"/>
      <c r="C56" s="411"/>
      <c r="D56" s="409"/>
      <c r="E56" s="412"/>
      <c r="F56" s="416"/>
      <c r="G56" s="413"/>
      <c r="H56" s="41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texty!A92</f>
        <v>śruba łącząca</v>
      </c>
      <c r="B57" s="15">
        <v>89244</v>
      </c>
      <c r="C57" s="23" t="str">
        <f>+VLOOKUP(B57,cennik!A:G,2,FALSE)</f>
        <v>SEVROLL blachowkręt 6,3x32 SEVROLL i Simple</v>
      </c>
      <c r="D57" s="28"/>
      <c r="E57" s="86">
        <f>+VLOOKUP(B57,cennik!A:G,3,FALSE)</f>
        <v>0.52500000000000002</v>
      </c>
      <c r="F57" s="86">
        <f>+E57*D57</f>
        <v>0</v>
      </c>
      <c r="G57" s="87">
        <f>+F57*(100-G29)/100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H59" s="4"/>
      <c r="I59" s="363" t="str">
        <f>IFERROR(IF((VLOOKUP(B59,cennik!A:L,12,0))="O",texty!A250,""),"")</f>
        <v/>
      </c>
      <c r="J59" s="174" t="str">
        <f>IF(D57&gt;0,IF(VLOOKUP(B57,cennik!A:L,12,FALSE)="O",1,""),"")</f>
        <v/>
      </c>
      <c r="K59" s="5"/>
    </row>
    <row r="60" spans="1:11" ht="12.75" customHeight="1" x14ac:dyDescent="0.25">
      <c r="A60" s="37" t="str">
        <f>IFERROR((CONCATENATE(texty!A6,ROUND((C13/1000),1),texty!A8)),"")</f>
        <v/>
      </c>
      <c r="B60" s="38"/>
      <c r="C60" s="39"/>
      <c r="D60" s="40"/>
      <c r="E60" s="92"/>
      <c r="F60" s="92"/>
      <c r="G60" s="93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C61" s="36" t="str">
        <f>texty!A10</f>
        <v>Długość uszczelki w przypadku całkowitego zaszklenia (należy zamówić całe metry)</v>
      </c>
      <c r="D61" s="35" t="str">
        <f>IFERROR((CEILING(((B9+C9)*2/1000*D4),1)),"")</f>
        <v/>
      </c>
      <c r="E61" s="89"/>
      <c r="F61" s="89"/>
      <c r="G61" s="89"/>
      <c r="I61" s="363" t="str">
        <f>IFERROR(IF((VLOOKUP(B61,cennik!A:L,12,0))="O",texty!A250,""),"")</f>
        <v/>
      </c>
      <c r="J61" s="174"/>
      <c r="K61" s="5"/>
    </row>
    <row r="62" spans="1:11" ht="12.75" customHeight="1" x14ac:dyDescent="0.25">
      <c r="A62" s="44" t="str">
        <f>texty!A12</f>
        <v>(w przypadku kombinacji z profilami H należy dodać odpowiednią długość - uszczelka musi być na całym obwodzie każdego szkła)</v>
      </c>
      <c r="B62" s="42"/>
      <c r="C62" s="43"/>
      <c r="D62" s="42"/>
      <c r="E62" s="94"/>
      <c r="F62" s="94"/>
      <c r="G62" s="94"/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2.75" customHeight="1" x14ac:dyDescent="0.25">
      <c r="A63" s="6" t="str">
        <f>System10!A59</f>
        <v>uszczelka na szkło 4mm</v>
      </c>
      <c r="B63" s="15">
        <v>89238</v>
      </c>
      <c r="C63" s="23" t="str">
        <f>+VLOOKUP(B63,cennik!A:G,2,FALSE)</f>
        <v>SEVROLL uszczelka do szkła 10/4 mm</v>
      </c>
      <c r="D63" s="41"/>
      <c r="E63" s="86">
        <f>+VLOOKUP(B63,cennik!A:G,3,FALSE)</f>
        <v>2.7501000000000002</v>
      </c>
      <c r="F63" s="91">
        <f>+CEILING(D63,1)*E63</f>
        <v>0</v>
      </c>
      <c r="G63" s="87">
        <f>+F63*(100-G29)/100</f>
        <v>0</v>
      </c>
      <c r="H63" s="5" t="str">
        <f>cennik!B2</f>
        <v>zł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6" t="str">
        <f>texty!A103</f>
        <v>uszczelka na szkło 4,5mm</v>
      </c>
      <c r="B64" s="15">
        <v>135164</v>
      </c>
      <c r="C64" s="23" t="str">
        <f>+VLOOKUP(B64,cennik!A:G,2,FALSE)</f>
        <v>SEVROLL uszczelka bezbarwna 10/4,5mm</v>
      </c>
      <c r="D64" s="41"/>
      <c r="E64" s="86">
        <f>+VLOOKUP(B64,cennik!A:G,3,FALSE)</f>
        <v>2.7501000000000002</v>
      </c>
      <c r="F64" s="91">
        <f>+CEILING(D64,1)*E64</f>
        <v>0</v>
      </c>
      <c r="G64" s="87">
        <f>+F64*(100-G29)/100</f>
        <v>0</v>
      </c>
      <c r="H64" s="5" t="str">
        <f>cennik!B2</f>
        <v>zł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3"/>
    </row>
    <row r="65" spans="1:13" ht="12.75" customHeight="1" x14ac:dyDescent="0.25">
      <c r="A65" s="6" t="str">
        <f>System10!A61</f>
        <v>uszczelka na szkło 6mm</v>
      </c>
      <c r="B65" s="15">
        <v>89243</v>
      </c>
      <c r="C65" s="23" t="str">
        <f>+VLOOKUP(B65,cennik!A:G,2,FALSE)</f>
        <v>SEVROLL uszczelka bezbarwna 10/6mm</v>
      </c>
      <c r="D65" s="41"/>
      <c r="E65" s="86">
        <f>+VLOOKUP(B65,cennik!A:G,3,FALSE)</f>
        <v>2.7501000000000002</v>
      </c>
      <c r="F65" s="91">
        <f>+CEILING(D65,1)*E65</f>
        <v>0</v>
      </c>
      <c r="G65" s="87">
        <f>+F65*(100-G29)/100</f>
        <v>0</v>
      </c>
      <c r="H65" s="5" t="str">
        <f>cennik!B2</f>
        <v>zł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5" x14ac:dyDescent="0.25">
      <c r="A66" s="209" t="str">
        <f>texty!A190</f>
        <v xml:space="preserve">tutaj można znaleźć inne akcesoria </v>
      </c>
      <c r="E66" s="89"/>
      <c r="F66" s="89"/>
      <c r="G66" s="89"/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209" t="str">
        <f>texty!A244</f>
        <v>rysunek techniczny tego systemu</v>
      </c>
      <c r="B67" s="196">
        <v>128842</v>
      </c>
      <c r="C67" s="474" t="str">
        <f>VLOOKUP(B67,cennik!A:C,2,0)</f>
        <v>SEVROLL wiertło stopniowe 6,5/9,5mm</v>
      </c>
      <c r="D67" s="41"/>
      <c r="E67" s="86">
        <f>+VLOOKUP(B67,cennik!A:G,3,FALSE)</f>
        <v>116.85122</v>
      </c>
      <c r="F67" s="91">
        <f>+CEILING(D67,1)*E67</f>
        <v>0</v>
      </c>
      <c r="G67" s="87">
        <f>F67</f>
        <v>0</v>
      </c>
      <c r="H67" s="5" t="str">
        <f>cennik!B2</f>
        <v>zł</v>
      </c>
      <c r="I67" s="363" t="str">
        <f>IFERROR(IF((VLOOKUP(B67,cennik!A:L,12,0))="O",texty!A250,""),"")</f>
        <v/>
      </c>
      <c r="J67" s="174" t="str">
        <f>IF(D67&gt;0,IF(VLOOKUP(B67,cennik!A:L,12,FALSE)="O",1,""),"")</f>
        <v/>
      </c>
      <c r="K67" s="5"/>
    </row>
    <row r="68" spans="1:13" ht="12.75" customHeight="1" x14ac:dyDescent="0.25">
      <c r="E68" s="89"/>
      <c r="F68" s="89"/>
      <c r="G68" s="89"/>
      <c r="I68" s="166"/>
      <c r="J68" s="166"/>
    </row>
    <row r="69" spans="1:13" ht="12.75" customHeight="1" x14ac:dyDescent="0.25">
      <c r="B69" s="7"/>
      <c r="C69" s="7"/>
      <c r="D69" s="71" t="str">
        <f>texty!A15</f>
        <v>w sumie (bez VAT)</v>
      </c>
      <c r="E69" s="94"/>
      <c r="F69" s="96" t="e">
        <f>SUM(F31:F67)</f>
        <v>#N/A</v>
      </c>
      <c r="G69" s="96" t="e">
        <f>SUM(G31:G67)</f>
        <v>#N/A</v>
      </c>
      <c r="H69" s="5" t="str">
        <f>cennik!B2</f>
        <v>zł</v>
      </c>
      <c r="I69" s="166"/>
      <c r="J69" s="166"/>
      <c r="K69" s="4" t="str">
        <f>texty!A128</f>
        <v>srebrny</v>
      </c>
    </row>
    <row r="70" spans="1:13" ht="12.75" customHeight="1" x14ac:dyDescent="0.25">
      <c r="A70" s="70" t="str">
        <f>System10!A67</f>
        <v>Uwagi</v>
      </c>
      <c r="B70" s="703"/>
      <c r="C70" s="704"/>
      <c r="D70" s="704"/>
      <c r="E70" s="704"/>
      <c r="F70" s="704"/>
      <c r="G70" s="704"/>
      <c r="K70" s="4" t="str">
        <f>texty!A130</f>
        <v>j.brąz</v>
      </c>
    </row>
    <row r="71" spans="1:13" ht="12.75" customHeight="1" x14ac:dyDescent="0.25">
      <c r="A71" s="696" t="str">
        <f>profil!U15</f>
        <v/>
      </c>
      <c r="B71" s="697"/>
      <c r="C71" s="697"/>
      <c r="D71" s="697"/>
      <c r="E71" s="697"/>
      <c r="F71" s="697"/>
      <c r="G71" s="697"/>
    </row>
    <row r="72" spans="1:13" ht="12.75" customHeight="1" x14ac:dyDescent="0.25">
      <c r="A72" s="698" t="str">
        <f>IF(M72=1,texty!A215,IF(J72&gt;0,texty!A214,""))</f>
        <v>niektóre elementy nie są produkowane w wybranej długości</v>
      </c>
      <c r="B72" s="698"/>
      <c r="C72" s="698"/>
      <c r="D72" s="698"/>
      <c r="E72" s="698"/>
      <c r="F72" s="698"/>
      <c r="G72" s="698"/>
      <c r="J72" s="5" t="e">
        <f>SUM(J31:J67)</f>
        <v>#N/A</v>
      </c>
      <c r="M72" s="4">
        <f>IF(ISERROR(J72),1,0)</f>
        <v>1</v>
      </c>
    </row>
    <row r="85" spans="1:1" ht="12.75" hidden="1" customHeight="1" x14ac:dyDescent="0.25">
      <c r="A85" s="4">
        <v>3</v>
      </c>
    </row>
  </sheetData>
  <sheetProtection algorithmName="SHA-512" hashValue="LJJhZRKz3X82Z7azH12FGGFU8Xhtyjr1tcI2VpQiwC4zfsHi4EH5/mIJqmJ/atwFzpNB46GwvzTa9udeLSyDlw==" saltValue="q0zzxboEsBbEnad0vDUJWg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A14">
    <cfRule type="expression" dxfId="170" priority="4">
      <formula>SUM($D$52:$D$53)&gt;0</formula>
    </cfRule>
  </conditionalFormatting>
  <conditionalFormatting sqref="A16">
    <cfRule type="expression" dxfId="169" priority="3">
      <formula>SUM($D$55:$D$56)&gt;0</formula>
    </cfRule>
  </conditionalFormatting>
  <conditionalFormatting sqref="D6">
    <cfRule type="expression" dxfId="167" priority="8">
      <formula>$D$4=4</formula>
    </cfRule>
    <cfRule type="expression" dxfId="166" priority="9">
      <formula>$D$4&lt;&gt;4</formula>
    </cfRule>
  </conditionalFormatting>
  <conditionalFormatting sqref="D57">
    <cfRule type="expression" dxfId="165" priority="5" stopIfTrue="1">
      <formula>IF(OR($D$49&gt;0,$D$50&gt;0,$D$51&gt;0),IF($D$57=0,1,0),0)</formula>
    </cfRule>
  </conditionalFormatting>
  <conditionalFormatting sqref="F4:I6">
    <cfRule type="expression" dxfId="164" priority="7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2740 mm" sqref="B4" xr:uid="{00000000-0002-0000-1000-000002000000}">
      <formula1>0</formula1>
      <formula2>2740</formula2>
    </dataValidation>
    <dataValidation type="list" allowBlank="1" showInputMessage="1" showErrorMessage="1" sqref="E5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A31:I67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3555-BA8A-4004-A25B-7A16E103B363}">
  <sheetPr codeName="List4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texty!A262</f>
        <v>Arte (ramowe)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Katalog Okuć meblowych 2024 str. 7.56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rozmiar wypełnienia 18mm:</v>
      </c>
      <c r="B8" s="53" t="str">
        <f>IFERROR((B7-64),"")</f>
        <v/>
      </c>
      <c r="C8" s="55" t="str">
        <f>IFERROR((C7-32),"")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dodatkowe zmniejszenie wysokośći wyliczonych wypełnień przy wykorzystaniu profili dzielących: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5.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20.2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598" t="str">
        <f>texty!A242</f>
        <v>dylatacja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Tor górny: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Tor dolny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 maskujący (maskownica):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górne wózki</v>
      </c>
      <c r="B31" s="447">
        <v>496998</v>
      </c>
      <c r="C31" s="23" t="str">
        <f>+VLOOKUP(B31,cennik!A:G,2,FALSE)</f>
        <v>SEVROLL 05689 GM 18 wózek górny 18mm - 2 szt.</v>
      </c>
      <c r="D31" s="15">
        <f>IF((D50+D51)&gt;D4,0,D4-(D50+D51))</f>
        <v>0</v>
      </c>
      <c r="E31" s="86">
        <f>+VLOOKUP(B31,cennik!A:G,3,FALSE)</f>
        <v>23.174399999999999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dolne wózki</v>
      </c>
      <c r="B32" s="447">
        <f>IF(F4=M68,328321,229441)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szczotka odbojowa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rączka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śruba łącząca</v>
      </c>
      <c r="B35" s="447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listwa pozioma górna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listwa pozioma górna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poziomy dolny profil ramy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poziomy dolny profil ramy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Akcesoria:</v>
      </c>
      <c r="B41" s="15"/>
      <c r="C41" s="19"/>
      <c r="D41" s="343" t="str">
        <f>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pozycjoner wózka górnego</v>
      </c>
      <c r="B42" s="447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pozycjoner</v>
      </c>
      <c r="B43" s="447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Tłumienie MINI do 25 kg (para)</v>
      </c>
      <c r="B44" s="447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Tłumienie MINI do 40 kg (para)</v>
      </c>
      <c r="B45" s="415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Tłumienie MINI do 60 kg (para)</v>
      </c>
      <c r="B46" s="415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 xml:space="preserve"> Tłumienie do skrzydła środkowego do 25 kg </v>
      </c>
      <c r="B47" s="415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 xml:space="preserve"> Tłumienie do skrzydła środkowego do 40 kg </v>
      </c>
      <c r="B48" s="415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Wkręt do dolnego toru</v>
      </c>
      <c r="B49" s="447">
        <v>98019</v>
      </c>
      <c r="C49" s="23" t="str">
        <f>+VLOOKUP(B49,cennik!A:G,2,FALSE)</f>
        <v>SEVROLL wkręt 2,5x18mm</v>
      </c>
      <c r="D49" s="278"/>
      <c r="E49" s="86">
        <f>+VLOOKUP(B49,cennik!A:G,3,FALSE)</f>
        <v>0.10996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tłumienie (para)25 kg</v>
      </c>
      <c r="B50" s="415">
        <v>227185</v>
      </c>
      <c r="C50" s="23" t="str">
        <f>+VLOOKUP(B50,cennik!A:G,2,FALSE)</f>
        <v>K-SEVROLL tłumienie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tłumienie (para) 50 kg</v>
      </c>
      <c r="B51" s="415">
        <v>227187</v>
      </c>
      <c r="C51" s="23" t="str">
        <f>+VLOOKUP(B51,cennik!A:G,2,FALSE)</f>
        <v>K-SEVROLL tłumienie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zł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 łączący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 łączący H25-3metry</v>
      </c>
      <c r="B53" s="447" t="str">
        <f>IFERROR(VLOOKUP(P7,data!C891:D893,2,0),"N/A")</f>
        <v>N/A</v>
      </c>
      <c r="C53" s="23" t="str">
        <f>IF(B53=data!D64,texty!A239,+VLOOKUP(B53,cennik!A:G,2,FALSE))</f>
        <v> w tym kolorze i długości dany profil nie jest produkowany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śruba łącząca</v>
      </c>
      <c r="B54" s="447">
        <v>89244</v>
      </c>
      <c r="C54" s="23" t="str">
        <f>+VLOOKUP(B54,cennik!A:G,2,FALSE)</f>
        <v>SEVROLL blachowkręt 6,3x32 SEVROLL i Simple</v>
      </c>
      <c r="D54" s="354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Długość uszczelki w przypadku całkowitego zaszklenia (należy zamówić całe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(w przypadku kombinacji z profilami H należy dodać odpowiednią długość - uszczelka musi być na całym obwodzie każdego szkła)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uszczelka na szkło 4mm</v>
      </c>
      <c r="B61" s="447" t="s">
        <v>67</v>
      </c>
      <c r="C61" s="23" t="str">
        <f>+VLOOKUP(B61,cennik!A:G,2,FALSE)</f>
        <v>SEVROLL uszczelka bezbarwna 18/4-4,5 mm asymetryczna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 xml:space="preserve">tutaj można znaleźć inne akcesoria 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rysunek techniczny tego systemu</v>
      </c>
      <c r="B65" s="476">
        <v>129677</v>
      </c>
      <c r="C65" s="477" t="str">
        <f>VLOOKUP(B65,cennik!A:C,2,0)</f>
        <v>SEVROLL element montażowy do płyty laminowanej 10mm mały</v>
      </c>
      <c r="D65" s="355"/>
      <c r="E65" s="86">
        <f>+VLOOKUP(B65,cennik!A:G,3,FALSE)</f>
        <v>51.590769999999999</v>
      </c>
      <c r="F65" s="91">
        <f>+CEILING(D65,1)*E65</f>
        <v>0</v>
      </c>
      <c r="G65" s="87">
        <f>+F65</f>
        <v>0</v>
      </c>
      <c r="H65" s="22" t="str">
        <f>cennik!B2</f>
        <v>zł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6">
        <v>128842</v>
      </c>
      <c r="C66" s="477" t="str">
        <f>VLOOKUP(B66,cennik!A:C,2,0)</f>
        <v>SEVROLL wiertło stopniowe 6,5/9,5mm</v>
      </c>
      <c r="D66" s="355"/>
      <c r="E66" s="86">
        <f>+VLOOKUP(B66,cennik!A:G,3,FALSE)</f>
        <v>116.85122</v>
      </c>
      <c r="F66" s="91">
        <f>+CEILING(D66,1)*E66</f>
        <v>0</v>
      </c>
      <c r="G66" s="87">
        <f>+F66</f>
        <v>0</v>
      </c>
      <c r="H66" s="22" t="str">
        <f>cennik!B2</f>
        <v>zł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w sumie (bez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zł</v>
      </c>
      <c r="I68" s="22"/>
      <c r="J68" s="166"/>
      <c r="K68" s="166"/>
      <c r="L68" s="4" t="str">
        <f>data!J4</f>
        <v>srebrny</v>
      </c>
      <c r="M68" s="19" t="s">
        <v>968</v>
      </c>
    </row>
    <row r="69" spans="1:14" ht="12.75" customHeight="1" x14ac:dyDescent="0.25">
      <c r="A69" s="337" t="str">
        <f>System10!A67</f>
        <v>Uwagi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j.brąz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data!J17</f>
        <v> czarny mat</v>
      </c>
      <c r="M70" s="19"/>
    </row>
    <row r="71" spans="1:14" ht="12.75" customHeight="1" x14ac:dyDescent="0.25">
      <c r="A71" s="680" t="str">
        <f>IF(N71=1,texty!A215,IF(K71&gt;0,texty!A214,""))</f>
        <v>niektóre elementy nie są produkowane w wybranej długości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QtbiChsJX9vVNEGypnMhlG88k5QYV3u9ZF6in3GZBPq9Xk2uEP5m+7Qki4VIjXnjFi6LUl5srzqrgHHZshRgwQ==" saltValue="OEOx6m/9qxvHghpptUlinw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A67:I67"/>
    <mergeCell ref="B69:G69"/>
    <mergeCell ref="A70:H70"/>
    <mergeCell ref="I20:I21"/>
    <mergeCell ref="I22:I23"/>
  </mergeCells>
  <conditionalFormatting sqref="A14">
    <cfRule type="expression" dxfId="163" priority="3">
      <formula>SUM($D$47:$D$48)&gt;0</formula>
    </cfRule>
  </conditionalFormatting>
  <conditionalFormatting sqref="D6">
    <cfRule type="expression" dxfId="161" priority="7">
      <formula>$D$4=4</formula>
    </cfRule>
    <cfRule type="expression" dxfId="160" priority="8">
      <formula>$D$4&lt;&gt;4</formula>
    </cfRule>
  </conditionalFormatting>
  <conditionalFormatting sqref="D54">
    <cfRule type="expression" dxfId="159" priority="9" stopIfTrue="1">
      <formula>IF($D$53&gt;0,IF($D$54=0,1,0),0)</formula>
    </cfRule>
  </conditionalFormatting>
  <conditionalFormatting sqref="G4">
    <cfRule type="expression" dxfId="158" priority="6">
      <formula>$D$4=4</formula>
    </cfRule>
  </conditionalFormatting>
  <conditionalFormatting sqref="I20">
    <cfRule type="expression" dxfId="157" priority="4">
      <formula>$F$4=$M$69</formula>
    </cfRule>
  </conditionalFormatting>
  <conditionalFormatting sqref="I22">
    <cfRule type="expression" dxfId="156" priority="5">
      <formula>$F$4=$M$68</formula>
    </cfRule>
  </conditionalFormatting>
  <dataValidations count="6">
    <dataValidation type="list" allowBlank="1" showInputMessage="1" showErrorMessage="1" sqref="E4" xr:uid="{429B0AE2-6292-4C19-B51F-18CDCFCE2E9C}">
      <formula1>$L$68:$L$70</formula1>
    </dataValidation>
    <dataValidation type="decimal" allowBlank="1" showInputMessage="1" showErrorMessage="1" errorTitle="Nelze tuto šířku" error="Šířka je omezena na maximálně 6000 mm" promptTitle="Maximální šířka je 6000 mm" sqref="C4" xr:uid="{F8A189C8-DFE0-44F2-9A50-ABF718C8DBFA}">
      <formula1>0</formula1>
      <formula2>6000</formula2>
    </dataValidation>
    <dataValidation type="decimal" allowBlank="1" showInputMessage="1" showErrorMessage="1" errorTitle="Nelze" error="Maxi 2740 mm" promptTitle="Maximální výška je 2738 mm" sqref="B4" xr:uid="{A81BB3B7-D0B8-4A9A-B1CC-071FD7BC4E14}">
      <formula1>0</formula1>
      <formula2>2740</formula2>
    </dataValidation>
    <dataValidation type="whole" allowBlank="1" showInputMessage="1" showErrorMessage="1" errorTitle="Musí být celé číslo" sqref="D4" xr:uid="{FD0A96B2-92DC-4FCD-8390-88428709A335}">
      <formula1>0</formula1>
      <formula2>9</formula2>
    </dataValidation>
    <dataValidation type="list" allowBlank="1" showInputMessage="1" showErrorMessage="1" sqref="D6" xr:uid="{6A3D77D0-DE31-463C-8FCF-AC53A5188CA7}">
      <formula1>$L$1:$L$2</formula1>
    </dataValidation>
    <dataValidation type="list" allowBlank="1" showInputMessage="1" showErrorMessage="1" sqref="F4" xr:uid="{4D3C4BBF-DF49-490D-A75E-CCF12E0C2C54}">
      <formula1>IF(E4=L70,M68,M68:M69)</formula1>
    </dataValidation>
  </dataValidations>
  <hyperlinks>
    <hyperlink ref="A2" location="profil!A1" display="FOX" xr:uid="{5B4F231E-7C2F-41FA-A694-E74E889ECD78}"/>
    <hyperlink ref="A64" location="příslušenství!A56" display="příslušenství!A56" xr:uid="{B1E80F92-DC49-4CB5-A1DA-C2F99BA4AFB0}"/>
    <hyperlink ref="A65" location="sys.10mm!A56" display="sys.10mm!A56" xr:uid="{17CC2674-4482-4D5B-8C85-8BBFE8F4F1E8}"/>
  </hyperlinks>
  <pageMargins left="0.31496062992125984" right="0.31496062992125984" top="0.26" bottom="0.25" header="0.28000000000000003" footer="0.51181102362204722"/>
  <pageSetup paperSize="9" scale="5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80332-562A-41DB-97BF-7B3B74B6185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K297"/>
  <sheetViews>
    <sheetView showGridLines="0" zoomScale="85" zoomScaleNormal="85" workbookViewId="0">
      <pane ySplit="1" topLeftCell="A217" activePane="bottomLeft" state="frozenSplit"/>
      <selection activeCell="I60" sqref="I60"/>
      <selection pane="bottomLeft" activeCell="G1" sqref="G1"/>
    </sheetView>
  </sheetViews>
  <sheetFormatPr defaultColWidth="8.6640625" defaultRowHeight="13.8" x14ac:dyDescent="0.3"/>
  <cols>
    <col min="1" max="1" width="63.6640625" customWidth="1"/>
    <col min="2" max="2" width="38.5546875" style="130" customWidth="1"/>
    <col min="3" max="3" width="14" customWidth="1"/>
    <col min="4" max="4" width="12.6640625" customWidth="1"/>
    <col min="5" max="5" width="53.6640625" style="136" customWidth="1"/>
    <col min="7" max="8" width="12.88671875" customWidth="1"/>
  </cols>
  <sheetData>
    <row r="1" spans="1:11" ht="105.6" x14ac:dyDescent="0.3">
      <c r="A1" s="82" t="s">
        <v>14</v>
      </c>
      <c r="B1" s="281" t="s">
        <v>97</v>
      </c>
      <c r="C1" s="282" t="s">
        <v>98</v>
      </c>
      <c r="D1" s="282" t="s">
        <v>99</v>
      </c>
      <c r="E1" s="139" t="s">
        <v>100</v>
      </c>
      <c r="F1" s="82" t="s">
        <v>8789</v>
      </c>
      <c r="G1" s="481">
        <f>cennik!A2</f>
        <v>3</v>
      </c>
      <c r="H1" t="s">
        <v>101</v>
      </c>
      <c r="I1" t="s">
        <v>8786</v>
      </c>
      <c r="J1" t="s">
        <v>8787</v>
      </c>
      <c r="K1" s="565" t="s">
        <v>8788</v>
      </c>
    </row>
    <row r="2" spans="1:11" ht="14.4" x14ac:dyDescent="0.3">
      <c r="A2" t="str">
        <f>IF($G$1=1,B2,IF($G$1=2,D2,IF($G$1=3,E2,IF($G$1=4,C2,IF($G$1=5,I2,IF($G$1=6,J2,IF($G$1=7,K2,"zadat jazyk")))))))</f>
        <v>druga listwa nie jest potrzebna</v>
      </c>
      <c r="B2" s="283" t="s">
        <v>102</v>
      </c>
      <c r="C2" s="284" t="s">
        <v>103</v>
      </c>
      <c r="D2" s="284" t="s">
        <v>104</v>
      </c>
      <c r="E2" s="139" t="s">
        <v>105</v>
      </c>
      <c r="I2" t="s">
        <v>10520</v>
      </c>
      <c r="J2" t="s">
        <v>10521</v>
      </c>
      <c r="K2" t="s">
        <v>10522</v>
      </c>
    </row>
    <row r="3" spans="1:11" x14ac:dyDescent="0.3">
      <c r="A3" t="str">
        <f t="shared" ref="A3:A66" si="0">IF($G$1=1,B3,IF($G$1=2,D3,IF($G$1=3,E3,IF($G$1=4,C3,IF($G$1=5,I3,IF($G$1=6,J3,IF($G$1=7,K3,"zadat jazyk")))))))</f>
        <v>ta pozycja jest na zamówienie, dostawa do 4 tygodni</v>
      </c>
      <c r="B3" s="130" t="s">
        <v>106</v>
      </c>
      <c r="C3" t="s">
        <v>207</v>
      </c>
      <c r="D3" t="s">
        <v>285</v>
      </c>
      <c r="E3" s="136" t="s">
        <v>107</v>
      </c>
      <c r="I3" t="s">
        <v>10523</v>
      </c>
      <c r="J3" t="s">
        <v>10524</v>
      </c>
      <c r="K3" t="s">
        <v>10525</v>
      </c>
    </row>
    <row r="4" spans="1:11" ht="13.2" x14ac:dyDescent="0.25">
      <c r="A4" t="str">
        <f t="shared" si="0"/>
        <v>do tego koloru nie jest dostępny</v>
      </c>
      <c r="B4" s="130" t="s">
        <v>112</v>
      </c>
      <c r="C4" t="s">
        <v>208</v>
      </c>
      <c r="D4" t="s">
        <v>286</v>
      </c>
      <c r="E4" t="s">
        <v>475</v>
      </c>
      <c r="I4" t="s">
        <v>10526</v>
      </c>
      <c r="J4" t="s">
        <v>10527</v>
      </c>
      <c r="K4" t="s">
        <v>10528</v>
      </c>
    </row>
    <row r="5" spans="1:11" x14ac:dyDescent="0.3">
      <c r="A5" t="str">
        <f t="shared" si="0"/>
        <v>j.brąz szczotkowany</v>
      </c>
      <c r="B5" s="130" t="s">
        <v>110</v>
      </c>
      <c r="C5" t="s">
        <v>193</v>
      </c>
      <c r="D5" t="s">
        <v>110</v>
      </c>
      <c r="E5" s="136" t="s">
        <v>415</v>
      </c>
      <c r="I5" t="s">
        <v>10489</v>
      </c>
      <c r="J5" t="s">
        <v>10490</v>
      </c>
      <c r="K5" t="s">
        <v>10491</v>
      </c>
    </row>
    <row r="6" spans="1:11" x14ac:dyDescent="0.3">
      <c r="A6" t="str">
        <f t="shared" si="0"/>
        <v xml:space="preserve">Jeżeli wykorzystasz jako wypełnienie szkło/lustro, dodatkowo zamów uszczelkę. Długość uszczelki na jedno skrzydło to </v>
      </c>
      <c r="B6" s="130" t="s">
        <v>139</v>
      </c>
      <c r="C6" t="s">
        <v>204</v>
      </c>
      <c r="D6" t="s">
        <v>287</v>
      </c>
      <c r="E6" s="136" t="s">
        <v>379</v>
      </c>
      <c r="I6" t="s">
        <v>10529</v>
      </c>
      <c r="J6" t="s">
        <v>10530</v>
      </c>
      <c r="K6" t="s">
        <v>10531</v>
      </c>
    </row>
    <row r="7" spans="1:11" x14ac:dyDescent="0.3">
      <c r="A7" t="str">
        <f t="shared" si="0"/>
        <v xml:space="preserve">Jeżeli wykorzystasz jako wypełnienie szkło/lustro, dodatkowo zamów uszczelkę. Długość uszczelki na jedno skrzydło to </v>
      </c>
      <c r="B7" s="130" t="s">
        <v>676</v>
      </c>
      <c r="C7" t="s">
        <v>204</v>
      </c>
      <c r="D7" t="s">
        <v>287</v>
      </c>
      <c r="E7" s="136" t="s">
        <v>379</v>
      </c>
      <c r="I7">
        <v>0</v>
      </c>
      <c r="J7" t="s">
        <v>10532</v>
      </c>
      <c r="K7" t="s">
        <v>10533</v>
      </c>
    </row>
    <row r="8" spans="1:11" x14ac:dyDescent="0.3">
      <c r="A8" t="str">
        <f t="shared" si="0"/>
        <v xml:space="preserve"> m, jeżeli masz więcej skrzydeł ze szklanym wypełnieniem, musisz tę liczbę pomnożyć.</v>
      </c>
      <c r="B8" s="130" t="s">
        <v>11228</v>
      </c>
      <c r="C8" t="s">
        <v>11227</v>
      </c>
      <c r="D8" s="130" t="s">
        <v>11226</v>
      </c>
      <c r="E8" s="136" t="s">
        <v>380</v>
      </c>
      <c r="I8" t="s">
        <v>11225</v>
      </c>
      <c r="J8" t="s">
        <v>10535</v>
      </c>
      <c r="K8" t="s">
        <v>11224</v>
      </c>
    </row>
    <row r="9" spans="1:11" x14ac:dyDescent="0.3">
      <c r="A9" t="str">
        <f t="shared" si="0"/>
        <v>szt, jeżeli masz więcej skrzydeł ze szklanym wypełnieniem, musisz tę liczbę pomnożyć.</v>
      </c>
      <c r="B9" s="130" t="s">
        <v>673</v>
      </c>
      <c r="C9" t="s">
        <v>206</v>
      </c>
      <c r="D9" s="130" t="s">
        <v>674</v>
      </c>
      <c r="E9" s="136" t="s">
        <v>675</v>
      </c>
      <c r="I9" t="s">
        <v>10534</v>
      </c>
      <c r="J9" t="s">
        <v>10537</v>
      </c>
      <c r="K9" t="s">
        <v>10536</v>
      </c>
    </row>
    <row r="10" spans="1:11" x14ac:dyDescent="0.3">
      <c r="A10" t="str">
        <f t="shared" si="0"/>
        <v>Długość uszczelki w przypadku całkowitego zaszklenia (należy zamówić całe metry)</v>
      </c>
      <c r="B10" s="130" t="s">
        <v>61</v>
      </c>
      <c r="C10" t="s">
        <v>205</v>
      </c>
      <c r="D10" t="s">
        <v>288</v>
      </c>
      <c r="E10" s="136" t="s">
        <v>381</v>
      </c>
      <c r="I10" t="s">
        <v>10538</v>
      </c>
      <c r="J10" t="s">
        <v>10539</v>
      </c>
      <c r="K10" t="s">
        <v>11230</v>
      </c>
    </row>
    <row r="11" spans="1:11" x14ac:dyDescent="0.3">
      <c r="A11" t="str">
        <f t="shared" si="0"/>
        <v>Długość uszczelki w przypadku całkowitego zaszklenia (należy zamówić całe metry)</v>
      </c>
      <c r="B11" s="130" t="s">
        <v>677</v>
      </c>
      <c r="C11" t="s">
        <v>205</v>
      </c>
      <c r="D11" t="s">
        <v>288</v>
      </c>
      <c r="E11" s="136" t="s">
        <v>381</v>
      </c>
      <c r="I11" t="s">
        <v>10540</v>
      </c>
      <c r="J11" t="s">
        <v>10541</v>
      </c>
      <c r="K11" t="s">
        <v>10542</v>
      </c>
    </row>
    <row r="12" spans="1:11" x14ac:dyDescent="0.3">
      <c r="A12" t="str">
        <f t="shared" si="0"/>
        <v>(w przypadku kombinacji z profilami H należy dodać odpowiednią długość - uszczelka musi być na całym obwodzie każdego szkła)</v>
      </c>
      <c r="B12" s="130" t="s">
        <v>65</v>
      </c>
      <c r="C12" t="s">
        <v>140</v>
      </c>
      <c r="D12" t="s">
        <v>289</v>
      </c>
      <c r="E12" s="136" t="s">
        <v>382</v>
      </c>
      <c r="I12" t="s">
        <v>10543</v>
      </c>
      <c r="J12" t="s">
        <v>10544</v>
      </c>
      <c r="K12" t="s">
        <v>10545</v>
      </c>
    </row>
    <row r="13" spans="1:11" x14ac:dyDescent="0.3">
      <c r="A13" t="str">
        <f t="shared" si="0"/>
        <v>(w przypadku kombinacji z profilami H należy dodać odpowiednią długość - uszczelka musi być na całym obwodzie każdego szkła)</v>
      </c>
      <c r="B13" s="130" t="s">
        <v>678</v>
      </c>
      <c r="C13" t="s">
        <v>140</v>
      </c>
      <c r="D13" t="s">
        <v>289</v>
      </c>
      <c r="E13" s="136" t="s">
        <v>382</v>
      </c>
      <c r="I13" t="s">
        <v>10546</v>
      </c>
      <c r="J13" t="s">
        <v>10547</v>
      </c>
      <c r="K13" t="s">
        <v>10548</v>
      </c>
    </row>
    <row r="14" spans="1:11" x14ac:dyDescent="0.3">
      <c r="A14" t="str">
        <f t="shared" si="0"/>
        <v>Uwagi</v>
      </c>
      <c r="B14" s="130" t="s">
        <v>90</v>
      </c>
      <c r="C14" t="s">
        <v>143</v>
      </c>
      <c r="D14" t="s">
        <v>262</v>
      </c>
      <c r="E14" s="137" t="s">
        <v>383</v>
      </c>
      <c r="I14" t="s">
        <v>10549</v>
      </c>
      <c r="J14" t="s">
        <v>10550</v>
      </c>
      <c r="K14" t="s">
        <v>10551</v>
      </c>
    </row>
    <row r="15" spans="1:11" x14ac:dyDescent="0.3">
      <c r="A15" t="str">
        <f t="shared" si="0"/>
        <v>w sumie (bez VAT)</v>
      </c>
      <c r="B15" s="130" t="s">
        <v>732</v>
      </c>
      <c r="C15" t="s">
        <v>735</v>
      </c>
      <c r="D15" t="s">
        <v>733</v>
      </c>
      <c r="E15" s="137" t="s">
        <v>734</v>
      </c>
      <c r="I15" t="s">
        <v>10552</v>
      </c>
      <c r="J15" t="s">
        <v>10553</v>
      </c>
      <c r="K15" t="s">
        <v>10554</v>
      </c>
    </row>
    <row r="16" spans="1:11" x14ac:dyDescent="0.3">
      <c r="A16" t="str">
        <f t="shared" si="0"/>
        <v>nazwa</v>
      </c>
      <c r="B16" s="285" t="s">
        <v>14</v>
      </c>
      <c r="C16" t="s">
        <v>144</v>
      </c>
      <c r="D16" t="s">
        <v>255</v>
      </c>
      <c r="E16" s="137" t="s">
        <v>384</v>
      </c>
      <c r="I16" t="s">
        <v>10555</v>
      </c>
      <c r="J16" t="s">
        <v>10556</v>
      </c>
      <c r="K16" t="s">
        <v>10557</v>
      </c>
    </row>
    <row r="17" spans="1:11" x14ac:dyDescent="0.3">
      <c r="A17" t="str">
        <f t="shared" si="0"/>
        <v>szt.</v>
      </c>
      <c r="B17" s="130" t="s">
        <v>39</v>
      </c>
      <c r="C17" t="s">
        <v>145</v>
      </c>
      <c r="D17" t="s">
        <v>39</v>
      </c>
      <c r="E17" s="136" t="s">
        <v>385</v>
      </c>
      <c r="I17" t="s">
        <v>10558</v>
      </c>
      <c r="J17" t="s">
        <v>10559</v>
      </c>
      <c r="K17" t="s">
        <v>10560</v>
      </c>
    </row>
    <row r="18" spans="1:11" x14ac:dyDescent="0.3">
      <c r="A18" t="str">
        <f t="shared" si="0"/>
        <v>cena/szt.</v>
      </c>
      <c r="B18" s="130" t="s">
        <v>40</v>
      </c>
      <c r="C18" t="s">
        <v>146</v>
      </c>
      <c r="D18" t="s">
        <v>40</v>
      </c>
      <c r="E18" s="138" t="s">
        <v>386</v>
      </c>
      <c r="I18" t="s">
        <v>10561</v>
      </c>
      <c r="J18" t="s">
        <v>10562</v>
      </c>
      <c r="K18" t="s">
        <v>10563</v>
      </c>
    </row>
    <row r="19" spans="1:11" x14ac:dyDescent="0.3">
      <c r="A19" t="str">
        <f t="shared" si="0"/>
        <v>cena w sumie</v>
      </c>
      <c r="B19" s="286" t="s">
        <v>41</v>
      </c>
      <c r="C19" t="s">
        <v>147</v>
      </c>
      <c r="D19" t="s">
        <v>278</v>
      </c>
      <c r="E19" s="138" t="s">
        <v>387</v>
      </c>
      <c r="I19" t="s">
        <v>10564</v>
      </c>
      <c r="J19" t="s">
        <v>10565</v>
      </c>
      <c r="K19" t="s">
        <v>10566</v>
      </c>
    </row>
    <row r="20" spans="1:11" x14ac:dyDescent="0.3">
      <c r="A20" t="str">
        <f t="shared" si="0"/>
        <v>w sumie netto:</v>
      </c>
      <c r="B20" s="287" t="s">
        <v>56</v>
      </c>
      <c r="C20" t="s">
        <v>148</v>
      </c>
      <c r="D20" t="s">
        <v>279</v>
      </c>
      <c r="E20" s="138" t="s">
        <v>388</v>
      </c>
      <c r="I20" t="s">
        <v>10567</v>
      </c>
      <c r="J20" t="s">
        <v>10568</v>
      </c>
      <c r="K20" t="s">
        <v>10569</v>
      </c>
    </row>
    <row r="21" spans="1:11" x14ac:dyDescent="0.3">
      <c r="A21" t="str">
        <f t="shared" si="0"/>
        <v>partnerska zniżka:</v>
      </c>
      <c r="B21" s="130" t="s">
        <v>54</v>
      </c>
      <c r="C21" t="s">
        <v>149</v>
      </c>
      <c r="D21" t="s">
        <v>263</v>
      </c>
      <c r="E21" s="137" t="s">
        <v>389</v>
      </c>
      <c r="I21" t="s">
        <v>10570</v>
      </c>
      <c r="J21" t="s">
        <v>10571</v>
      </c>
      <c r="K21" t="s">
        <v>10572</v>
      </c>
    </row>
    <row r="22" spans="1:11" x14ac:dyDescent="0.3">
      <c r="A22" t="str">
        <f t="shared" si="0"/>
        <v>OKUCIA DO SZAF</v>
      </c>
      <c r="B22" s="130" t="s">
        <v>86</v>
      </c>
      <c r="C22" t="s">
        <v>150</v>
      </c>
      <c r="D22" t="s">
        <v>290</v>
      </c>
      <c r="E22" s="136" t="s">
        <v>390</v>
      </c>
      <c r="I22" t="s">
        <v>10573</v>
      </c>
      <c r="J22" t="s">
        <v>10574</v>
      </c>
      <c r="K22" t="s">
        <v>10575</v>
      </c>
    </row>
    <row r="23" spans="1:11" x14ac:dyDescent="0.3">
      <c r="A23" t="str">
        <f t="shared" si="0"/>
        <v>Klient</v>
      </c>
      <c r="B23" s="130" t="s">
        <v>70</v>
      </c>
      <c r="C23" t="s">
        <v>151</v>
      </c>
      <c r="D23" t="s">
        <v>264</v>
      </c>
      <c r="E23" s="136" t="s">
        <v>391</v>
      </c>
      <c r="I23" t="s">
        <v>10576</v>
      </c>
      <c r="J23" t="s">
        <v>10577</v>
      </c>
      <c r="K23" t="s">
        <v>10578</v>
      </c>
    </row>
    <row r="24" spans="1:11" x14ac:dyDescent="0.3">
      <c r="A24" t="str">
        <f t="shared" si="0"/>
        <v>Nazwa:</v>
      </c>
      <c r="B24" s="130" t="s">
        <v>71</v>
      </c>
      <c r="C24" t="s">
        <v>152</v>
      </c>
      <c r="D24" t="s">
        <v>256</v>
      </c>
      <c r="E24" s="136" t="s">
        <v>392</v>
      </c>
      <c r="I24" t="s">
        <v>10579</v>
      </c>
      <c r="J24" t="s">
        <v>10580</v>
      </c>
      <c r="K24" t="s">
        <v>10581</v>
      </c>
    </row>
    <row r="25" spans="1:11" x14ac:dyDescent="0.3">
      <c r="A25" t="str">
        <f t="shared" si="0"/>
        <v>Ulica:</v>
      </c>
      <c r="B25" s="130" t="s">
        <v>72</v>
      </c>
      <c r="C25" t="s">
        <v>153</v>
      </c>
      <c r="D25" t="s">
        <v>291</v>
      </c>
      <c r="E25" s="136" t="s">
        <v>291</v>
      </c>
      <c r="I25" t="s">
        <v>10582</v>
      </c>
      <c r="J25" t="s">
        <v>10583</v>
      </c>
      <c r="K25" t="s">
        <v>10584</v>
      </c>
    </row>
    <row r="26" spans="1:11" x14ac:dyDescent="0.3">
      <c r="A26" t="str">
        <f t="shared" si="0"/>
        <v>Miasto, kod pocztowy:</v>
      </c>
      <c r="B26" s="130" t="s">
        <v>76</v>
      </c>
      <c r="C26" t="s">
        <v>154</v>
      </c>
      <c r="D26" t="s">
        <v>257</v>
      </c>
      <c r="E26" s="136" t="s">
        <v>393</v>
      </c>
      <c r="I26" t="s">
        <v>10585</v>
      </c>
      <c r="J26" t="s">
        <v>10586</v>
      </c>
      <c r="K26" t="s">
        <v>10587</v>
      </c>
    </row>
    <row r="27" spans="1:11" x14ac:dyDescent="0.3">
      <c r="A27" t="str">
        <f t="shared" si="0"/>
        <v>NIP:</v>
      </c>
      <c r="B27" s="130" t="s">
        <v>73</v>
      </c>
      <c r="C27" t="s">
        <v>155</v>
      </c>
      <c r="D27" t="s">
        <v>73</v>
      </c>
      <c r="E27" s="141" t="s">
        <v>396</v>
      </c>
      <c r="I27" t="s">
        <v>10588</v>
      </c>
      <c r="J27" t="s">
        <v>10589</v>
      </c>
      <c r="K27" t="s">
        <v>10590</v>
      </c>
    </row>
    <row r="28" spans="1:11" x14ac:dyDescent="0.3">
      <c r="A28" t="str">
        <f t="shared" si="0"/>
        <v>Zniżka:</v>
      </c>
      <c r="B28" s="130" t="s">
        <v>74</v>
      </c>
      <c r="C28" t="s">
        <v>156</v>
      </c>
      <c r="D28" t="s">
        <v>258</v>
      </c>
      <c r="E28" s="136" t="s">
        <v>394</v>
      </c>
      <c r="I28" t="s">
        <v>11197</v>
      </c>
      <c r="J28" t="s">
        <v>10591</v>
      </c>
      <c r="K28" t="s">
        <v>10592</v>
      </c>
    </row>
    <row r="29" spans="1:11" x14ac:dyDescent="0.3">
      <c r="A29" t="str">
        <f t="shared" si="0"/>
        <v>Uwagi:</v>
      </c>
      <c r="B29" s="130" t="s">
        <v>75</v>
      </c>
      <c r="C29" t="s">
        <v>157</v>
      </c>
      <c r="D29" t="s">
        <v>75</v>
      </c>
      <c r="E29" s="136" t="s">
        <v>395</v>
      </c>
      <c r="I29" t="s">
        <v>10593</v>
      </c>
      <c r="J29" t="s">
        <v>10593</v>
      </c>
      <c r="K29" t="s">
        <v>10594</v>
      </c>
    </row>
    <row r="30" spans="1:11" x14ac:dyDescent="0.3">
      <c r="A30" t="str">
        <f t="shared" si="0"/>
        <v>Grubość wypełnienia 10mm (szkło albo lustro z wykorzystaniem uszczelek - gr.4 lub 6mm) - drzwi z ramami</v>
      </c>
      <c r="B30" s="130" t="s">
        <v>69</v>
      </c>
      <c r="C30" t="s">
        <v>158</v>
      </c>
      <c r="D30" t="s">
        <v>292</v>
      </c>
      <c r="E30" s="136" t="s">
        <v>397</v>
      </c>
      <c r="I30" t="s">
        <v>10595</v>
      </c>
      <c r="J30" t="s">
        <v>10596</v>
      </c>
      <c r="K30" t="s">
        <v>10597</v>
      </c>
    </row>
    <row r="31" spans="1:11" x14ac:dyDescent="0.3">
      <c r="A31" t="str">
        <f t="shared" si="0"/>
        <v>Grubość wypełnienia 4mm (szkło albo lustro) - drzwi z ramami</v>
      </c>
      <c r="B31" s="130" t="s">
        <v>835</v>
      </c>
      <c r="C31" t="s">
        <v>872</v>
      </c>
      <c r="D31" t="s">
        <v>836</v>
      </c>
      <c r="E31" s="136" t="s">
        <v>873</v>
      </c>
      <c r="I31" t="s">
        <v>10598</v>
      </c>
      <c r="J31" t="s">
        <v>10599</v>
      </c>
      <c r="K31" t="s">
        <v>10600</v>
      </c>
    </row>
    <row r="32" spans="1:11" x14ac:dyDescent="0.3">
      <c r="A32" t="str">
        <f t="shared" si="0"/>
        <v>Wypełnienie 18mm (płyta wiórowa 18mm, ewentualnie DTD + szkło / lustro):</v>
      </c>
      <c r="B32" s="130" t="s">
        <v>81</v>
      </c>
      <c r="C32" t="s">
        <v>159</v>
      </c>
      <c r="D32" t="s">
        <v>293</v>
      </c>
      <c r="E32" s="136" t="s">
        <v>398</v>
      </c>
      <c r="I32" t="s">
        <v>10601</v>
      </c>
      <c r="J32" t="s">
        <v>10602</v>
      </c>
      <c r="K32" t="s">
        <v>10603</v>
      </c>
    </row>
    <row r="33" spans="1:11" x14ac:dyDescent="0.3">
      <c r="A33" t="str">
        <f t="shared" si="0"/>
        <v>podaj ilość</v>
      </c>
      <c r="B33" s="130" t="s">
        <v>47</v>
      </c>
      <c r="C33" t="s">
        <v>160</v>
      </c>
      <c r="D33" t="s">
        <v>265</v>
      </c>
      <c r="E33" s="136" t="s">
        <v>399</v>
      </c>
      <c r="I33" t="s">
        <v>10604</v>
      </c>
      <c r="J33" t="s">
        <v>10605</v>
      </c>
      <c r="K33" t="s">
        <v>11220</v>
      </c>
    </row>
    <row r="34" spans="1:11" x14ac:dyDescent="0.3">
      <c r="A34" t="str">
        <f t="shared" si="0"/>
        <v>wysokość</v>
      </c>
      <c r="B34" s="130" t="s">
        <v>37</v>
      </c>
      <c r="C34" t="s">
        <v>162</v>
      </c>
      <c r="D34" t="s">
        <v>37</v>
      </c>
      <c r="E34" s="136" t="s">
        <v>400</v>
      </c>
      <c r="I34" t="s">
        <v>10606</v>
      </c>
      <c r="J34" t="s">
        <v>10607</v>
      </c>
      <c r="K34" t="s">
        <v>10608</v>
      </c>
    </row>
    <row r="35" spans="1:11" x14ac:dyDescent="0.3">
      <c r="A35" t="str">
        <f t="shared" si="0"/>
        <v>szerokość</v>
      </c>
      <c r="B35" s="130" t="s">
        <v>161</v>
      </c>
      <c r="C35" t="s">
        <v>163</v>
      </c>
      <c r="D35" t="s">
        <v>259</v>
      </c>
      <c r="E35" s="136" t="s">
        <v>401</v>
      </c>
      <c r="I35" t="s">
        <v>10609</v>
      </c>
      <c r="J35" t="s">
        <v>10610</v>
      </c>
      <c r="K35" t="s">
        <v>10611</v>
      </c>
    </row>
    <row r="36" spans="1:11" x14ac:dyDescent="0.3">
      <c r="A36" t="str">
        <f t="shared" si="0"/>
        <v>ilość drzwi</v>
      </c>
      <c r="B36" s="130" t="s">
        <v>11202</v>
      </c>
      <c r="C36" t="s">
        <v>164</v>
      </c>
      <c r="D36" t="s">
        <v>11203</v>
      </c>
      <c r="E36" s="136" t="s">
        <v>11204</v>
      </c>
      <c r="I36" t="s">
        <v>11205</v>
      </c>
      <c r="J36" t="s">
        <v>10612</v>
      </c>
      <c r="K36" t="s">
        <v>10613</v>
      </c>
    </row>
    <row r="37" spans="1:11" x14ac:dyDescent="0.3">
      <c r="A37" t="str">
        <f t="shared" si="0"/>
        <v>kolor</v>
      </c>
      <c r="B37" s="130" t="s">
        <v>6</v>
      </c>
      <c r="C37" t="s">
        <v>165</v>
      </c>
      <c r="D37" t="s">
        <v>280</v>
      </c>
      <c r="E37" s="136" t="s">
        <v>402</v>
      </c>
      <c r="I37" t="s">
        <v>10614</v>
      </c>
      <c r="J37" t="s">
        <v>10615</v>
      </c>
      <c r="K37" t="s">
        <v>10616</v>
      </c>
    </row>
    <row r="38" spans="1:11" x14ac:dyDescent="0.3">
      <c r="A38" t="str">
        <f t="shared" si="0"/>
        <v>rodzaj toru dolnego</v>
      </c>
      <c r="B38" s="130" t="s">
        <v>966</v>
      </c>
      <c r="C38" s="136" t="s">
        <v>1012</v>
      </c>
      <c r="D38" s="136" t="s">
        <v>1013</v>
      </c>
      <c r="E38" s="136" t="s">
        <v>1011</v>
      </c>
      <c r="I38" t="s">
        <v>10617</v>
      </c>
      <c r="J38" t="s">
        <v>10618</v>
      </c>
      <c r="K38" t="s">
        <v>10619</v>
      </c>
    </row>
    <row r="39" spans="1:11" x14ac:dyDescent="0.3">
      <c r="A39" t="str">
        <f t="shared" si="0"/>
        <v>W przypadku wykorzystania szkła,</v>
      </c>
      <c r="B39" s="288" t="s">
        <v>62</v>
      </c>
      <c r="C39" t="s">
        <v>166</v>
      </c>
      <c r="D39" t="s">
        <v>294</v>
      </c>
      <c r="E39" s="136" t="s">
        <v>403</v>
      </c>
      <c r="I39" t="s">
        <v>10620</v>
      </c>
      <c r="J39" t="s">
        <v>10621</v>
      </c>
      <c r="K39" t="s">
        <v>10622</v>
      </c>
    </row>
    <row r="40" spans="1:11" x14ac:dyDescent="0.3">
      <c r="A40" t="str">
        <f t="shared" si="0"/>
        <v>należy wybrać bezpieczną szybę</v>
      </c>
      <c r="B40" s="285" t="s">
        <v>63</v>
      </c>
      <c r="C40" t="s">
        <v>167</v>
      </c>
      <c r="D40" t="s">
        <v>295</v>
      </c>
      <c r="E40" s="136" t="s">
        <v>404</v>
      </c>
      <c r="I40" t="s">
        <v>10623</v>
      </c>
      <c r="J40" t="s">
        <v>10624</v>
      </c>
      <c r="K40" t="s">
        <v>10625</v>
      </c>
    </row>
    <row r="41" spans="1:11" x14ac:dyDescent="0.3">
      <c r="A41" t="str">
        <f t="shared" si="0"/>
        <v>ew. zabezpieczyć ją folią ochronną</v>
      </c>
      <c r="B41" s="285" t="s">
        <v>64</v>
      </c>
      <c r="C41" t="s">
        <v>168</v>
      </c>
      <c r="D41" t="s">
        <v>296</v>
      </c>
      <c r="E41" s="136" t="s">
        <v>405</v>
      </c>
      <c r="I41" t="s">
        <v>10626</v>
      </c>
      <c r="J41" t="s">
        <v>10627</v>
      </c>
      <c r="K41" t="s">
        <v>11213</v>
      </c>
    </row>
    <row r="42" spans="1:11" x14ac:dyDescent="0.3">
      <c r="A42" t="str">
        <f t="shared" si="0"/>
        <v>U szklanych wypełnień (lub lustra)</v>
      </c>
      <c r="B42" s="285" t="s">
        <v>837</v>
      </c>
      <c r="C42" t="s">
        <v>859</v>
      </c>
      <c r="D42" t="s">
        <v>858</v>
      </c>
      <c r="E42" s="136" t="s">
        <v>1020</v>
      </c>
      <c r="I42" t="s">
        <v>10628</v>
      </c>
      <c r="J42" t="s">
        <v>10629</v>
      </c>
      <c r="K42" t="s">
        <v>11212</v>
      </c>
    </row>
    <row r="43" spans="1:11" x14ac:dyDescent="0.3">
      <c r="A43" t="str">
        <f t="shared" si="0"/>
        <v>Maksymalna waga skrzydła to 50 kg</v>
      </c>
      <c r="B43" s="130" t="s">
        <v>77</v>
      </c>
      <c r="C43" t="s">
        <v>169</v>
      </c>
      <c r="D43" t="s">
        <v>297</v>
      </c>
      <c r="E43" s="136" t="s">
        <v>406</v>
      </c>
      <c r="I43" t="s">
        <v>10630</v>
      </c>
      <c r="J43" t="s">
        <v>10631</v>
      </c>
      <c r="K43" t="s">
        <v>11232</v>
      </c>
    </row>
    <row r="44" spans="1:11" x14ac:dyDescent="0.3">
      <c r="A44" t="str">
        <f t="shared" si="0"/>
        <v>Maksymalna waga skrzydła to 35 kg</v>
      </c>
      <c r="B44" s="130" t="s">
        <v>668</v>
      </c>
      <c r="C44" t="s">
        <v>669</v>
      </c>
      <c r="D44" t="s">
        <v>670</v>
      </c>
      <c r="E44" s="136" t="s">
        <v>671</v>
      </c>
      <c r="I44" t="s">
        <v>10632</v>
      </c>
      <c r="J44" t="s">
        <v>10633</v>
      </c>
      <c r="K44" t="s">
        <v>11233</v>
      </c>
    </row>
    <row r="45" spans="1:11" ht="13.2" x14ac:dyDescent="0.25">
      <c r="A45" t="str">
        <f t="shared" si="0"/>
        <v>wypełnij 5 pól !!!!! informacje w mm</v>
      </c>
      <c r="B45" s="130" t="s">
        <v>967</v>
      </c>
      <c r="C45" t="s">
        <v>1014</v>
      </c>
      <c r="D45" t="s">
        <v>1016</v>
      </c>
      <c r="E45" t="s">
        <v>1018</v>
      </c>
      <c r="I45" t="s">
        <v>10634</v>
      </c>
      <c r="J45" t="s">
        <v>10635</v>
      </c>
      <c r="K45" t="s">
        <v>11209</v>
      </c>
    </row>
    <row r="46" spans="1:11" ht="13.2" x14ac:dyDescent="0.25">
      <c r="A46" t="str">
        <f t="shared" si="0"/>
        <v>wypełnij 4 pola !!!! Informacje w mm</v>
      </c>
      <c r="B46" s="130" t="s">
        <v>980</v>
      </c>
      <c r="C46" t="s">
        <v>1015</v>
      </c>
      <c r="D46" t="s">
        <v>1017</v>
      </c>
      <c r="E46" t="s">
        <v>1019</v>
      </c>
      <c r="I46" t="s">
        <v>10636</v>
      </c>
      <c r="J46" t="s">
        <v>10637</v>
      </c>
      <c r="K46" t="s">
        <v>10638</v>
      </c>
    </row>
    <row r="47" spans="1:11" x14ac:dyDescent="0.3">
      <c r="A47" t="str">
        <f t="shared" si="0"/>
        <v>skrzydło drzwi:</v>
      </c>
      <c r="B47" s="6" t="s">
        <v>7</v>
      </c>
      <c r="C47" s="6" t="s">
        <v>170</v>
      </c>
      <c r="D47" t="s">
        <v>281</v>
      </c>
      <c r="E47" s="137" t="s">
        <v>407</v>
      </c>
      <c r="I47" t="s">
        <v>10639</v>
      </c>
      <c r="J47" t="s">
        <v>10640</v>
      </c>
      <c r="K47" t="s">
        <v>10641</v>
      </c>
    </row>
    <row r="48" spans="1:11" x14ac:dyDescent="0.3">
      <c r="A48" t="str">
        <f t="shared" si="0"/>
        <v>rozmiar wypełnienia 18mm:</v>
      </c>
      <c r="B48" s="6" t="s">
        <v>15</v>
      </c>
      <c r="C48" s="6" t="s">
        <v>171</v>
      </c>
      <c r="D48" t="s">
        <v>260</v>
      </c>
      <c r="E48" s="137" t="s">
        <v>408</v>
      </c>
      <c r="I48" t="s">
        <v>10642</v>
      </c>
      <c r="J48" t="s">
        <v>10643</v>
      </c>
      <c r="K48" t="s">
        <v>10644</v>
      </c>
    </row>
    <row r="49" spans="1:11" x14ac:dyDescent="0.3">
      <c r="A49" t="str">
        <f t="shared" si="0"/>
        <v>rozmiar wypełnienia 12mm:</v>
      </c>
      <c r="B49" s="6" t="s">
        <v>16</v>
      </c>
      <c r="C49" s="6" t="s">
        <v>172</v>
      </c>
      <c r="D49" t="s">
        <v>261</v>
      </c>
      <c r="E49" s="137" t="s">
        <v>409</v>
      </c>
      <c r="I49" t="s">
        <v>10645</v>
      </c>
      <c r="J49" t="s">
        <v>10646</v>
      </c>
      <c r="K49" t="s">
        <v>10647</v>
      </c>
    </row>
    <row r="50" spans="1:11" x14ac:dyDescent="0.3">
      <c r="A50" t="str">
        <f t="shared" si="0"/>
        <v>rozmiar lustra / na DTD 12mm/</v>
      </c>
      <c r="B50" s="6" t="s">
        <v>17</v>
      </c>
      <c r="C50" s="6" t="s">
        <v>173</v>
      </c>
      <c r="D50" t="s">
        <v>298</v>
      </c>
      <c r="E50" s="136" t="s">
        <v>410</v>
      </c>
      <c r="I50" t="s">
        <v>10648</v>
      </c>
      <c r="J50" t="s">
        <v>10649</v>
      </c>
      <c r="K50" t="s">
        <v>10650</v>
      </c>
    </row>
    <row r="51" spans="1:11" x14ac:dyDescent="0.3">
      <c r="A51" t="str">
        <f t="shared" si="0"/>
        <v>długość rączki (+ 2 mm )</v>
      </c>
      <c r="B51" s="6" t="s">
        <v>6718</v>
      </c>
      <c r="C51" s="6" t="s">
        <v>6719</v>
      </c>
      <c r="D51" t="s">
        <v>6720</v>
      </c>
      <c r="E51" s="136" t="s">
        <v>6721</v>
      </c>
      <c r="I51" t="s">
        <v>10651</v>
      </c>
      <c r="J51" t="s">
        <v>10652</v>
      </c>
      <c r="K51" t="s">
        <v>10653</v>
      </c>
    </row>
    <row r="52" spans="1:11" x14ac:dyDescent="0.3">
      <c r="A52" t="str">
        <f t="shared" si="0"/>
        <v>dodatkowe zmniejszenie wysokośći wyliczonych wypełnień przy wykorzystaniu profili dzielących:</v>
      </c>
      <c r="B52" s="6" t="s">
        <v>10</v>
      </c>
      <c r="C52" s="6" t="s">
        <v>121</v>
      </c>
      <c r="D52" t="s">
        <v>299</v>
      </c>
      <c r="E52" s="136" t="s">
        <v>411</v>
      </c>
      <c r="I52" t="s">
        <v>10654</v>
      </c>
      <c r="J52" t="s">
        <v>10655</v>
      </c>
      <c r="K52" t="s">
        <v>10656</v>
      </c>
    </row>
    <row r="53" spans="1:11" x14ac:dyDescent="0.3">
      <c r="A53" t="str">
        <f t="shared" si="0"/>
        <v>H18, T profil = 2mm</v>
      </c>
      <c r="B53" s="6" t="s">
        <v>43</v>
      </c>
      <c r="C53" s="6" t="s">
        <v>43</v>
      </c>
      <c r="D53" s="6" t="s">
        <v>43</v>
      </c>
      <c r="E53" s="137" t="s">
        <v>43</v>
      </c>
      <c r="I53" t="s">
        <v>10657</v>
      </c>
      <c r="J53" t="s">
        <v>10658</v>
      </c>
      <c r="K53" t="s">
        <v>10659</v>
      </c>
    </row>
    <row r="54" spans="1:11" x14ac:dyDescent="0.3">
      <c r="A54" t="str">
        <f t="shared" si="0"/>
        <v>zmniejszenie wysokości ze względu na wykorzystanie szklanego wypełnienia = 4mm (2mm z każdej strony)</v>
      </c>
      <c r="B54" s="6" t="s">
        <v>88</v>
      </c>
      <c r="C54" s="6" t="s">
        <v>174</v>
      </c>
      <c r="D54" t="s">
        <v>300</v>
      </c>
      <c r="E54" s="136" t="s">
        <v>412</v>
      </c>
      <c r="I54" t="s">
        <v>10660</v>
      </c>
      <c r="J54" t="s">
        <v>10661</v>
      </c>
      <c r="K54" t="s">
        <v>10662</v>
      </c>
    </row>
    <row r="55" spans="1:11" x14ac:dyDescent="0.3">
      <c r="A55" t="str">
        <f t="shared" si="0"/>
        <v>patrz obrazek</v>
      </c>
      <c r="B55" s="6" t="s">
        <v>89</v>
      </c>
      <c r="C55" s="6" t="s">
        <v>175</v>
      </c>
      <c r="D55" t="s">
        <v>301</v>
      </c>
      <c r="E55" s="136" t="s">
        <v>413</v>
      </c>
      <c r="I55" t="s">
        <v>10663</v>
      </c>
      <c r="J55" t="s">
        <v>10664</v>
      </c>
      <c r="K55" t="s">
        <v>10665</v>
      </c>
    </row>
    <row r="56" spans="1:11" ht="14.4" x14ac:dyDescent="0.3">
      <c r="A56" t="str">
        <f t="shared" si="0"/>
        <v>j.brąz szczotkowany</v>
      </c>
      <c r="B56" s="6" t="s">
        <v>113</v>
      </c>
      <c r="C56" s="289" t="s">
        <v>193</v>
      </c>
      <c r="D56" t="s">
        <v>113</v>
      </c>
      <c r="E56" s="136" t="s">
        <v>415</v>
      </c>
      <c r="I56" t="s">
        <v>10489</v>
      </c>
      <c r="J56" t="s">
        <v>10490</v>
      </c>
      <c r="K56" t="s">
        <v>10491</v>
      </c>
    </row>
    <row r="57" spans="1:11" x14ac:dyDescent="0.3">
      <c r="A57" t="str">
        <f t="shared" si="0"/>
        <v>wysokość aż 3,5m!</v>
      </c>
      <c r="B57" s="130" t="s">
        <v>85</v>
      </c>
      <c r="C57" t="s">
        <v>194</v>
      </c>
      <c r="D57" t="s">
        <v>85</v>
      </c>
      <c r="E57" s="136" t="s">
        <v>414</v>
      </c>
      <c r="I57" t="s">
        <v>10666</v>
      </c>
      <c r="J57" t="s">
        <v>10667</v>
      </c>
      <c r="K57" t="s">
        <v>10668</v>
      </c>
    </row>
    <row r="58" spans="1:11" x14ac:dyDescent="0.3">
      <c r="A58" t="str">
        <f t="shared" si="0"/>
        <v>wysokość aż 3 m!</v>
      </c>
      <c r="B58" s="130" t="s">
        <v>682</v>
      </c>
      <c r="C58" t="s">
        <v>681</v>
      </c>
      <c r="D58" t="s">
        <v>682</v>
      </c>
      <c r="E58" s="136" t="s">
        <v>683</v>
      </c>
      <c r="I58" t="s">
        <v>10669</v>
      </c>
      <c r="J58" t="s">
        <v>10670</v>
      </c>
      <c r="K58" t="s">
        <v>10671</v>
      </c>
    </row>
    <row r="59" spans="1:11" x14ac:dyDescent="0.3">
      <c r="A59" t="str">
        <f t="shared" si="0"/>
        <v xml:space="preserve">Do kompletu można dodać folię ozdobną, patrz wzornik. Ceny różnią się w zależności od dekoru, część z nich jest na zamówienie. </v>
      </c>
      <c r="B59" s="130" t="s">
        <v>80</v>
      </c>
      <c r="C59" t="s">
        <v>195</v>
      </c>
      <c r="D59" t="s">
        <v>302</v>
      </c>
      <c r="E59" s="136" t="s">
        <v>416</v>
      </c>
      <c r="I59" t="s">
        <v>10672</v>
      </c>
      <c r="J59" t="s">
        <v>10673</v>
      </c>
      <c r="K59" t="s">
        <v>10674</v>
      </c>
    </row>
    <row r="60" spans="1:11" x14ac:dyDescent="0.3">
      <c r="A60" t="str">
        <f t="shared" si="0"/>
        <v>cena różnią się w zależności od dekoru</v>
      </c>
      <c r="B60" s="130" t="s">
        <v>91</v>
      </c>
      <c r="C60" t="s">
        <v>197</v>
      </c>
      <c r="D60" t="s">
        <v>282</v>
      </c>
      <c r="E60" s="136" t="s">
        <v>417</v>
      </c>
      <c r="I60" t="s">
        <v>10675</v>
      </c>
      <c r="J60" t="s">
        <v>10676</v>
      </c>
      <c r="K60" t="s">
        <v>10677</v>
      </c>
    </row>
    <row r="61" spans="1:11" ht="14.4" x14ac:dyDescent="0.3">
      <c r="A61" t="str">
        <f t="shared" si="0"/>
        <v>system GM 18 (kombinacja PW 18 mm i szkła) (ramowy)</v>
      </c>
      <c r="B61" s="130" t="s">
        <v>6534</v>
      </c>
      <c r="C61" t="s">
        <v>6536</v>
      </c>
      <c r="D61" t="s">
        <v>6537</v>
      </c>
      <c r="E61" s="289" t="s">
        <v>6538</v>
      </c>
      <c r="I61" t="s">
        <v>10678</v>
      </c>
      <c r="J61" t="s">
        <v>10679</v>
      </c>
      <c r="K61" t="s">
        <v>10680</v>
      </c>
    </row>
    <row r="62" spans="1:11" ht="14.4" x14ac:dyDescent="0.3">
      <c r="A62" t="str">
        <f t="shared" si="0"/>
        <v>system Simple (kombinacja PW 18 mm i szkła)</v>
      </c>
      <c r="B62" s="130" t="s">
        <v>727</v>
      </c>
      <c r="C62" t="s">
        <v>685</v>
      </c>
      <c r="D62" t="s">
        <v>686</v>
      </c>
      <c r="E62" s="289" t="s">
        <v>687</v>
      </c>
      <c r="I62" t="s">
        <v>10681</v>
      </c>
      <c r="J62" t="s">
        <v>10682</v>
      </c>
      <c r="K62" t="s">
        <v>10683</v>
      </c>
    </row>
    <row r="63" spans="1:11" x14ac:dyDescent="0.3">
      <c r="A63" t="str">
        <f t="shared" si="0"/>
        <v>rozmiar wypełnienia 16 mm</v>
      </c>
      <c r="B63" s="6" t="s">
        <v>87</v>
      </c>
      <c r="C63" s="6" t="s">
        <v>198</v>
      </c>
      <c r="D63" t="s">
        <v>283</v>
      </c>
      <c r="E63" s="136" t="s">
        <v>418</v>
      </c>
      <c r="I63" t="s">
        <v>10684</v>
      </c>
      <c r="J63" t="s">
        <v>10685</v>
      </c>
      <c r="K63" t="s">
        <v>10686</v>
      </c>
    </row>
    <row r="64" spans="1:11" x14ac:dyDescent="0.3">
      <c r="A64" t="str">
        <f t="shared" si="0"/>
        <v>Nie można łączyć ze szkłem / lustrem</v>
      </c>
      <c r="B64" s="130" t="s">
        <v>66</v>
      </c>
      <c r="C64" t="s">
        <v>199</v>
      </c>
      <c r="D64" t="s">
        <v>303</v>
      </c>
      <c r="E64" s="136" t="s">
        <v>419</v>
      </c>
      <c r="I64" t="s">
        <v>10687</v>
      </c>
      <c r="J64" t="s">
        <v>10688</v>
      </c>
      <c r="K64" t="s">
        <v>10689</v>
      </c>
    </row>
    <row r="65" spans="1:11" x14ac:dyDescent="0.3">
      <c r="A65" t="str">
        <f t="shared" si="0"/>
        <v>ta pozycja jest na zamówienie, dostawa do 4 tygodni</v>
      </c>
      <c r="B65" s="130" t="s">
        <v>96</v>
      </c>
      <c r="C65" t="s">
        <v>200</v>
      </c>
      <c r="D65" t="s">
        <v>304</v>
      </c>
      <c r="E65" s="136" t="s">
        <v>107</v>
      </c>
      <c r="I65" t="s">
        <v>10690</v>
      </c>
      <c r="J65" t="s">
        <v>10691</v>
      </c>
      <c r="K65" t="s">
        <v>10692</v>
      </c>
    </row>
    <row r="66" spans="1:11" x14ac:dyDescent="0.3">
      <c r="A66" t="str">
        <f t="shared" si="0"/>
        <v>Akcesoria:</v>
      </c>
      <c r="B66" s="130" t="s">
        <v>963</v>
      </c>
      <c r="C66" t="s">
        <v>126</v>
      </c>
      <c r="D66" t="s">
        <v>965</v>
      </c>
      <c r="E66" s="136" t="s">
        <v>964</v>
      </c>
      <c r="I66" t="s">
        <v>10693</v>
      </c>
      <c r="J66" t="s">
        <v>10694</v>
      </c>
      <c r="K66" t="s">
        <v>11214</v>
      </c>
    </row>
    <row r="67" spans="1:11" ht="14.4" x14ac:dyDescent="0.3">
      <c r="A67" t="str">
        <f t="shared" ref="A67:A130" si="1">IF($G$1=1,B67,IF($G$1=2,D67,IF($G$1=3,E67,IF($G$1=4,C67,IF($G$1=5,I67,IF($G$1=6,J67,IF($G$1=7,K67,"zadat jazyk")))))))</f>
        <v xml:space="preserve">powierzchnia przeznaczona </v>
      </c>
      <c r="B67" s="130" t="s">
        <v>211</v>
      </c>
      <c r="C67" s="289" t="s">
        <v>209</v>
      </c>
      <c r="D67" t="s">
        <v>305</v>
      </c>
      <c r="E67" s="289" t="s">
        <v>473</v>
      </c>
      <c r="I67" t="s">
        <v>10695</v>
      </c>
      <c r="J67" t="s">
        <v>10696</v>
      </c>
      <c r="K67" t="s">
        <v>10697</v>
      </c>
    </row>
    <row r="68" spans="1:11" ht="14.4" x14ac:dyDescent="0.3">
      <c r="A68" t="str">
        <f t="shared" si="1"/>
        <v xml:space="preserve">do   folii dekoracyjnej </v>
      </c>
      <c r="B68" s="130" t="s">
        <v>212</v>
      </c>
      <c r="C68" s="289" t="s">
        <v>210</v>
      </c>
      <c r="D68" t="s">
        <v>306</v>
      </c>
      <c r="E68" s="289" t="s">
        <v>474</v>
      </c>
      <c r="I68" t="s">
        <v>10698</v>
      </c>
      <c r="J68" t="s">
        <v>10699</v>
      </c>
      <c r="K68" t="s">
        <v>10700</v>
      </c>
    </row>
    <row r="69" spans="1:11" ht="14.4" x14ac:dyDescent="0.3">
      <c r="A69" t="str">
        <f t="shared" si="1"/>
        <v>Systemy:       Wzornik profili można zamówić pod kodem 494207</v>
      </c>
      <c r="B69" s="130" t="s">
        <v>3553</v>
      </c>
      <c r="C69" s="289" t="s">
        <v>3554</v>
      </c>
      <c r="D69" t="s">
        <v>3555</v>
      </c>
      <c r="E69" s="136" t="s">
        <v>3556</v>
      </c>
      <c r="I69" t="s">
        <v>10701</v>
      </c>
      <c r="J69" t="s">
        <v>10702</v>
      </c>
      <c r="K69" t="s">
        <v>10703</v>
      </c>
    </row>
    <row r="70" spans="1:11" x14ac:dyDescent="0.3">
      <c r="A70" t="str">
        <f t="shared" si="1"/>
        <v>WEWNĘTRZNY ROZMIAR SZAFY:</v>
      </c>
      <c r="B70" s="9" t="s">
        <v>213</v>
      </c>
      <c r="C70" s="6" t="s">
        <v>114</v>
      </c>
      <c r="D70" t="s">
        <v>284</v>
      </c>
      <c r="E70" s="137" t="s">
        <v>420</v>
      </c>
      <c r="I70" t="s">
        <v>10704</v>
      </c>
      <c r="J70" t="s">
        <v>10705</v>
      </c>
      <c r="K70" t="s">
        <v>10706</v>
      </c>
    </row>
    <row r="71" spans="1:11" x14ac:dyDescent="0.3">
      <c r="A71" t="str">
        <f t="shared" si="1"/>
        <v>skrzydło drzwi:</v>
      </c>
      <c r="B71" s="9" t="s">
        <v>7</v>
      </c>
      <c r="C71" s="6" t="s">
        <v>115</v>
      </c>
      <c r="D71" t="s">
        <v>281</v>
      </c>
      <c r="E71" s="137" t="s">
        <v>407</v>
      </c>
      <c r="I71" t="s">
        <v>10639</v>
      </c>
      <c r="J71" t="s">
        <v>10640</v>
      </c>
      <c r="K71" t="s">
        <v>10641</v>
      </c>
    </row>
    <row r="72" spans="1:11" x14ac:dyDescent="0.3">
      <c r="A72" t="str">
        <f t="shared" si="1"/>
        <v>rozmiar wypełnienia 10 mm:</v>
      </c>
      <c r="B72" s="9" t="s">
        <v>997</v>
      </c>
      <c r="C72" s="6" t="s">
        <v>994</v>
      </c>
      <c r="D72" t="s">
        <v>995</v>
      </c>
      <c r="E72" s="137" t="s">
        <v>996</v>
      </c>
      <c r="I72" t="s">
        <v>10707</v>
      </c>
      <c r="J72" t="s">
        <v>10708</v>
      </c>
      <c r="K72" t="s">
        <v>10709</v>
      </c>
    </row>
    <row r="73" spans="1:11" x14ac:dyDescent="0.3">
      <c r="A73" t="str">
        <f t="shared" si="1"/>
        <v>rozmiar lustra /szkła</v>
      </c>
      <c r="B73" s="9" t="s">
        <v>8</v>
      </c>
      <c r="C73" s="6" t="s">
        <v>116</v>
      </c>
      <c r="D73" t="s">
        <v>307</v>
      </c>
      <c r="E73" s="137" t="s">
        <v>421</v>
      </c>
      <c r="I73" t="s">
        <v>10710</v>
      </c>
      <c r="J73" t="s">
        <v>10711</v>
      </c>
      <c r="K73" t="s">
        <v>10712</v>
      </c>
    </row>
    <row r="74" spans="1:11" x14ac:dyDescent="0.3">
      <c r="A74" t="str">
        <f t="shared" si="1"/>
        <v>długość toru i listwy maskującej skrzydła</v>
      </c>
      <c r="B74" s="9" t="s">
        <v>9</v>
      </c>
      <c r="C74" s="6" t="s">
        <v>117</v>
      </c>
      <c r="D74" t="s">
        <v>308</v>
      </c>
      <c r="E74" s="137" t="s">
        <v>422</v>
      </c>
      <c r="I74" t="s">
        <v>10713</v>
      </c>
      <c r="J74" t="s">
        <v>10714</v>
      </c>
      <c r="K74" t="s">
        <v>10715</v>
      </c>
    </row>
    <row r="75" spans="1:11" x14ac:dyDescent="0.3">
      <c r="A75" t="str">
        <f t="shared" si="1"/>
        <v>Tor górny / dolny</v>
      </c>
      <c r="B75" s="9" t="s">
        <v>998</v>
      </c>
      <c r="C75" s="6" t="s">
        <v>118</v>
      </c>
      <c r="D75" t="s">
        <v>309</v>
      </c>
      <c r="E75" s="137" t="s">
        <v>423</v>
      </c>
      <c r="I75" t="s">
        <v>10716</v>
      </c>
      <c r="J75" t="s">
        <v>10717</v>
      </c>
      <c r="K75" t="s">
        <v>11211</v>
      </c>
    </row>
    <row r="76" spans="1:11" x14ac:dyDescent="0.3">
      <c r="A76" t="str">
        <f t="shared" si="1"/>
        <v>rączka</v>
      </c>
      <c r="B76" s="9" t="s">
        <v>6544</v>
      </c>
      <c r="C76" s="6" t="s">
        <v>119</v>
      </c>
      <c r="D76" t="s">
        <v>6544</v>
      </c>
      <c r="E76" s="137" t="s">
        <v>424</v>
      </c>
      <c r="I76" t="s">
        <v>10718</v>
      </c>
      <c r="J76" t="s">
        <v>10719</v>
      </c>
      <c r="K76" t="s">
        <v>10720</v>
      </c>
    </row>
    <row r="77" spans="1:11" x14ac:dyDescent="0.3">
      <c r="A77" t="str">
        <f t="shared" si="1"/>
        <v xml:space="preserve">Długość uszczelki na jedno skrzydło to </v>
      </c>
      <c r="B77" s="6" t="s">
        <v>6543</v>
      </c>
      <c r="C77" s="6" t="s">
        <v>120</v>
      </c>
      <c r="D77" t="s">
        <v>310</v>
      </c>
      <c r="E77" s="136" t="s">
        <v>425</v>
      </c>
      <c r="I77" t="s">
        <v>10721</v>
      </c>
      <c r="J77" t="s">
        <v>10722</v>
      </c>
      <c r="K77" t="s">
        <v>10723</v>
      </c>
    </row>
    <row r="78" spans="1:11" ht="14.4" x14ac:dyDescent="0.3">
      <c r="A78" t="str">
        <f t="shared" si="1"/>
        <v>dodatkowe zmniejszenie wysokośći wyliczonych wypełnień przy wykorzystaniu profili dzielących:</v>
      </c>
      <c r="B78" s="6" t="s">
        <v>10</v>
      </c>
      <c r="C78" s="289" t="s">
        <v>121</v>
      </c>
      <c r="D78" t="s">
        <v>311</v>
      </c>
      <c r="E78" s="136" t="s">
        <v>411</v>
      </c>
      <c r="I78" t="s">
        <v>10654</v>
      </c>
      <c r="J78" t="s">
        <v>10655</v>
      </c>
      <c r="K78" t="s">
        <v>10656</v>
      </c>
    </row>
    <row r="79" spans="1:11" x14ac:dyDescent="0.3">
      <c r="A79" t="str">
        <f t="shared" si="1"/>
        <v>zmniejszenie wysokości ze względu na wykorzystanie uszczelki: 2mm/1strona</v>
      </c>
      <c r="B79" s="6" t="s">
        <v>214</v>
      </c>
      <c r="C79" s="6" t="s">
        <v>124</v>
      </c>
      <c r="D79" t="s">
        <v>312</v>
      </c>
      <c r="E79" s="136" t="s">
        <v>426</v>
      </c>
      <c r="I79" t="s">
        <v>10724</v>
      </c>
      <c r="J79" t="s">
        <v>10725</v>
      </c>
      <c r="K79" t="s">
        <v>10726</v>
      </c>
    </row>
    <row r="80" spans="1:11" x14ac:dyDescent="0.3">
      <c r="A80" t="str">
        <f t="shared" si="1"/>
        <v>Kody zamówieniowe, ceny:</v>
      </c>
      <c r="B80" s="9" t="s">
        <v>215</v>
      </c>
      <c r="C80" s="6" t="s">
        <v>125</v>
      </c>
      <c r="D80" t="s">
        <v>313</v>
      </c>
      <c r="E80" s="137" t="s">
        <v>427</v>
      </c>
      <c r="I80" t="s">
        <v>10727</v>
      </c>
      <c r="J80" t="s">
        <v>10728</v>
      </c>
      <c r="K80" t="s">
        <v>10729</v>
      </c>
    </row>
    <row r="81" spans="1:11" x14ac:dyDescent="0.3">
      <c r="A81" t="str">
        <f t="shared" si="1"/>
        <v>Tor górny:</v>
      </c>
      <c r="B81" s="6" t="s">
        <v>722</v>
      </c>
      <c r="C81" s="6" t="s">
        <v>127</v>
      </c>
      <c r="D81" t="s">
        <v>314</v>
      </c>
      <c r="E81" s="137" t="s">
        <v>428</v>
      </c>
      <c r="I81" t="s">
        <v>10730</v>
      </c>
      <c r="J81" t="s">
        <v>10731</v>
      </c>
      <c r="K81" t="s">
        <v>11215</v>
      </c>
    </row>
    <row r="82" spans="1:11" x14ac:dyDescent="0.3">
      <c r="A82" t="str">
        <f t="shared" si="1"/>
        <v>Tor dolny</v>
      </c>
      <c r="B82" s="6" t="s">
        <v>721</v>
      </c>
      <c r="C82" s="6" t="s">
        <v>128</v>
      </c>
      <c r="D82" t="s">
        <v>315</v>
      </c>
      <c r="E82" s="137" t="s">
        <v>429</v>
      </c>
      <c r="I82" t="s">
        <v>10732</v>
      </c>
      <c r="J82" t="s">
        <v>10733</v>
      </c>
      <c r="K82" t="s">
        <v>11216</v>
      </c>
    </row>
    <row r="83" spans="1:11" x14ac:dyDescent="0.3">
      <c r="A83" t="str">
        <f t="shared" si="1"/>
        <v>profil maskujący (maskownica):</v>
      </c>
      <c r="B83" s="6" t="s">
        <v>969</v>
      </c>
      <c r="C83" s="6" t="s">
        <v>129</v>
      </c>
      <c r="D83" t="s">
        <v>969</v>
      </c>
      <c r="E83" s="137" t="s">
        <v>970</v>
      </c>
      <c r="I83" t="s">
        <v>10734</v>
      </c>
      <c r="J83" t="s">
        <v>10735</v>
      </c>
      <c r="K83" t="s">
        <v>10736</v>
      </c>
    </row>
    <row r="84" spans="1:11" x14ac:dyDescent="0.3">
      <c r="A84" t="str">
        <f t="shared" si="1"/>
        <v>górne wózki</v>
      </c>
      <c r="B84" s="6" t="s">
        <v>218</v>
      </c>
      <c r="C84" s="6" t="s">
        <v>130</v>
      </c>
      <c r="D84" t="s">
        <v>316</v>
      </c>
      <c r="E84" s="137" t="s">
        <v>431</v>
      </c>
      <c r="I84" t="s">
        <v>10737</v>
      </c>
      <c r="J84" t="s">
        <v>10738</v>
      </c>
      <c r="K84" t="s">
        <v>10739</v>
      </c>
    </row>
    <row r="85" spans="1:11" x14ac:dyDescent="0.3">
      <c r="A85" t="str">
        <f t="shared" si="1"/>
        <v>dolne wózki</v>
      </c>
      <c r="B85" s="6" t="s">
        <v>219</v>
      </c>
      <c r="C85" s="6" t="s">
        <v>131</v>
      </c>
      <c r="D85" t="s">
        <v>317</v>
      </c>
      <c r="E85" s="137" t="s">
        <v>432</v>
      </c>
      <c r="I85" t="s">
        <v>10740</v>
      </c>
      <c r="J85" t="s">
        <v>10741</v>
      </c>
      <c r="K85" t="s">
        <v>10742</v>
      </c>
    </row>
    <row r="86" spans="1:11" x14ac:dyDescent="0.3">
      <c r="A86" t="str">
        <f t="shared" si="1"/>
        <v>pozycjoner</v>
      </c>
      <c r="B86" s="6" t="s">
        <v>962</v>
      </c>
      <c r="C86" s="6" t="s">
        <v>178</v>
      </c>
      <c r="D86" t="s">
        <v>328</v>
      </c>
      <c r="E86" s="137" t="s">
        <v>433</v>
      </c>
      <c r="I86" t="s">
        <v>10743</v>
      </c>
      <c r="J86" t="s">
        <v>10744</v>
      </c>
      <c r="K86" t="s">
        <v>10745</v>
      </c>
    </row>
    <row r="87" spans="1:11" x14ac:dyDescent="0.3">
      <c r="A87" t="str">
        <f t="shared" si="1"/>
        <v>pozycjoner</v>
      </c>
      <c r="B87" s="6" t="s">
        <v>705</v>
      </c>
      <c r="C87" s="6" t="s">
        <v>178</v>
      </c>
      <c r="D87" t="s">
        <v>706</v>
      </c>
      <c r="E87" s="137" t="s">
        <v>433</v>
      </c>
      <c r="I87" t="s">
        <v>10743</v>
      </c>
      <c r="J87" t="s">
        <v>10746</v>
      </c>
      <c r="K87" t="s">
        <v>10747</v>
      </c>
    </row>
    <row r="88" spans="1:11" x14ac:dyDescent="0.3">
      <c r="A88" t="str">
        <f t="shared" si="1"/>
        <v>pozycjoner wózka górnego</v>
      </c>
      <c r="B88" s="6" t="s">
        <v>894</v>
      </c>
      <c r="C88" s="6" t="s">
        <v>895</v>
      </c>
      <c r="D88" t="s">
        <v>896</v>
      </c>
      <c r="E88" s="137" t="s">
        <v>897</v>
      </c>
      <c r="I88" t="s">
        <v>10748</v>
      </c>
      <c r="J88" t="s">
        <v>10749</v>
      </c>
      <c r="K88" t="s">
        <v>10750</v>
      </c>
    </row>
    <row r="89" spans="1:11" x14ac:dyDescent="0.3">
      <c r="A89" t="str">
        <f t="shared" si="1"/>
        <v>szczotka odbojowa</v>
      </c>
      <c r="B89" s="6" t="s">
        <v>886</v>
      </c>
      <c r="C89" s="6" t="s">
        <v>889</v>
      </c>
      <c r="D89" t="s">
        <v>887</v>
      </c>
      <c r="E89" s="137" t="s">
        <v>888</v>
      </c>
      <c r="I89" t="s">
        <v>10751</v>
      </c>
      <c r="J89" t="s">
        <v>10752</v>
      </c>
      <c r="K89" t="s">
        <v>10753</v>
      </c>
    </row>
    <row r="90" spans="1:11" x14ac:dyDescent="0.3">
      <c r="A90" t="str">
        <f t="shared" si="1"/>
        <v>szczotka przeciwkurzowa</v>
      </c>
      <c r="B90" s="6" t="s">
        <v>890</v>
      </c>
      <c r="C90" s="6" t="s">
        <v>891</v>
      </c>
      <c r="D90" t="s">
        <v>893</v>
      </c>
      <c r="E90" s="137" t="s">
        <v>892</v>
      </c>
      <c r="I90" t="s">
        <v>10754</v>
      </c>
      <c r="J90" t="s">
        <v>10755</v>
      </c>
      <c r="K90" t="s">
        <v>10756</v>
      </c>
    </row>
    <row r="91" spans="1:11" x14ac:dyDescent="0.3">
      <c r="A91" t="str">
        <f t="shared" si="1"/>
        <v>rączka</v>
      </c>
      <c r="B91" s="6" t="s">
        <v>6544</v>
      </c>
      <c r="C91" s="6" t="s">
        <v>133</v>
      </c>
      <c r="D91" t="s">
        <v>6544</v>
      </c>
      <c r="E91" s="137" t="s">
        <v>424</v>
      </c>
      <c r="I91" t="s">
        <v>10718</v>
      </c>
      <c r="J91" t="s">
        <v>10719</v>
      </c>
      <c r="K91" t="s">
        <v>10720</v>
      </c>
    </row>
    <row r="92" spans="1:11" x14ac:dyDescent="0.3">
      <c r="A92" t="str">
        <f t="shared" si="1"/>
        <v>śruba łącząca</v>
      </c>
      <c r="B92" s="6" t="s">
        <v>11</v>
      </c>
      <c r="C92" s="6" t="s">
        <v>134</v>
      </c>
      <c r="D92" t="s">
        <v>318</v>
      </c>
      <c r="E92" s="137" t="s">
        <v>435</v>
      </c>
      <c r="I92" t="s">
        <v>10757</v>
      </c>
      <c r="J92" t="s">
        <v>10758</v>
      </c>
      <c r="K92" t="s">
        <v>10759</v>
      </c>
    </row>
    <row r="93" spans="1:11" x14ac:dyDescent="0.3">
      <c r="A93" t="str">
        <f t="shared" si="1"/>
        <v>listwa pozioma górna</v>
      </c>
      <c r="B93" s="6" t="s">
        <v>220</v>
      </c>
      <c r="C93" s="6" t="s">
        <v>135</v>
      </c>
      <c r="D93" t="s">
        <v>319</v>
      </c>
      <c r="E93" s="137" t="s">
        <v>436</v>
      </c>
      <c r="I93" t="s">
        <v>10760</v>
      </c>
      <c r="J93" t="s">
        <v>10761</v>
      </c>
      <c r="K93" t="s">
        <v>11217</v>
      </c>
    </row>
    <row r="94" spans="1:11" x14ac:dyDescent="0.3">
      <c r="A94" t="str">
        <f t="shared" si="1"/>
        <v>listwa pozioma górna</v>
      </c>
      <c r="B94" s="6" t="s">
        <v>220</v>
      </c>
      <c r="C94" s="6" t="s">
        <v>135</v>
      </c>
      <c r="D94" t="s">
        <v>319</v>
      </c>
      <c r="E94" s="137" t="s">
        <v>436</v>
      </c>
      <c r="I94" t="s">
        <v>10760</v>
      </c>
      <c r="J94" t="s">
        <v>10761</v>
      </c>
      <c r="K94" t="s">
        <v>11217</v>
      </c>
    </row>
    <row r="95" spans="1:11" x14ac:dyDescent="0.3">
      <c r="A95" t="str">
        <f t="shared" si="1"/>
        <v>poziomy dolny profil ramy</v>
      </c>
      <c r="B95" s="6" t="s">
        <v>221</v>
      </c>
      <c r="C95" s="6" t="s">
        <v>136</v>
      </c>
      <c r="D95" t="s">
        <v>320</v>
      </c>
      <c r="E95" s="137" t="s">
        <v>437</v>
      </c>
      <c r="I95" t="s">
        <v>10762</v>
      </c>
      <c r="J95" t="s">
        <v>10763</v>
      </c>
      <c r="K95" t="s">
        <v>11218</v>
      </c>
    </row>
    <row r="96" spans="1:11" x14ac:dyDescent="0.3">
      <c r="A96" t="str">
        <f t="shared" si="1"/>
        <v>poziomy dolny profil ramy</v>
      </c>
      <c r="B96" s="6" t="s">
        <v>221</v>
      </c>
      <c r="C96" s="6" t="s">
        <v>136</v>
      </c>
      <c r="D96" t="s">
        <v>320</v>
      </c>
      <c r="E96" s="137" t="s">
        <v>437</v>
      </c>
      <c r="I96" t="s">
        <v>10762</v>
      </c>
      <c r="J96" t="s">
        <v>10763</v>
      </c>
      <c r="K96" t="s">
        <v>11218</v>
      </c>
    </row>
    <row r="97" spans="1:11" x14ac:dyDescent="0.3">
      <c r="A97" t="str">
        <f t="shared" si="1"/>
        <v>tłumienie (para)25 kg</v>
      </c>
      <c r="B97" s="6" t="s">
        <v>653</v>
      </c>
      <c r="C97" s="6" t="s">
        <v>654</v>
      </c>
      <c r="D97" t="s">
        <v>655</v>
      </c>
      <c r="E97" s="137" t="s">
        <v>656</v>
      </c>
      <c r="I97" t="s">
        <v>10764</v>
      </c>
      <c r="J97" t="s">
        <v>10765</v>
      </c>
      <c r="K97" t="s">
        <v>10766</v>
      </c>
    </row>
    <row r="98" spans="1:11" x14ac:dyDescent="0.3">
      <c r="A98" t="str">
        <f t="shared" si="1"/>
        <v>tłumienie (para) 50 kg</v>
      </c>
      <c r="B98" s="6" t="s">
        <v>660</v>
      </c>
      <c r="C98" s="6" t="s">
        <v>659</v>
      </c>
      <c r="D98" t="s">
        <v>658</v>
      </c>
      <c r="E98" s="137" t="s">
        <v>657</v>
      </c>
      <c r="I98" t="s">
        <v>10767</v>
      </c>
      <c r="J98" t="s">
        <v>10768</v>
      </c>
      <c r="K98" t="s">
        <v>10769</v>
      </c>
    </row>
    <row r="99" spans="1:11" x14ac:dyDescent="0.3">
      <c r="A99" t="str">
        <f t="shared" si="1"/>
        <v>tłumienie Simple (para) 40 kg</v>
      </c>
      <c r="B99" s="6" t="s">
        <v>824</v>
      </c>
      <c r="C99" s="6" t="s">
        <v>825</v>
      </c>
      <c r="D99" t="s">
        <v>826</v>
      </c>
      <c r="E99" s="137" t="s">
        <v>827</v>
      </c>
      <c r="I99" t="s">
        <v>10770</v>
      </c>
      <c r="J99" t="s">
        <v>10771</v>
      </c>
      <c r="K99" t="s">
        <v>10772</v>
      </c>
    </row>
    <row r="100" spans="1:11" x14ac:dyDescent="0.3">
      <c r="A100" t="str">
        <f t="shared" si="1"/>
        <v>profil łączący H10-3metry</v>
      </c>
      <c r="B100" s="6" t="s">
        <v>222</v>
      </c>
      <c r="C100" s="6" t="s">
        <v>137</v>
      </c>
      <c r="D100" t="s">
        <v>321</v>
      </c>
      <c r="E100" s="137" t="s">
        <v>438</v>
      </c>
      <c r="I100" t="s">
        <v>10773</v>
      </c>
      <c r="J100" t="s">
        <v>10774</v>
      </c>
      <c r="K100" t="s">
        <v>10775</v>
      </c>
    </row>
    <row r="101" spans="1:11" x14ac:dyDescent="0.3">
      <c r="A101" t="str">
        <f t="shared" si="1"/>
        <v>profil łączący H30-3metry</v>
      </c>
      <c r="B101" s="6" t="s">
        <v>223</v>
      </c>
      <c r="C101" s="6" t="s">
        <v>138</v>
      </c>
      <c r="D101" t="s">
        <v>322</v>
      </c>
      <c r="E101" s="137" t="s">
        <v>439</v>
      </c>
      <c r="I101" t="s">
        <v>10776</v>
      </c>
      <c r="J101" t="s">
        <v>10777</v>
      </c>
      <c r="K101" t="s">
        <v>10778</v>
      </c>
    </row>
    <row r="102" spans="1:11" x14ac:dyDescent="0.3">
      <c r="A102" t="str">
        <f t="shared" si="1"/>
        <v>uszczelka na szkło 4mm</v>
      </c>
      <c r="B102" s="6" t="s">
        <v>224</v>
      </c>
      <c r="C102" s="6" t="s">
        <v>141</v>
      </c>
      <c r="D102" t="s">
        <v>323</v>
      </c>
      <c r="E102" s="137" t="s">
        <v>440</v>
      </c>
      <c r="I102" t="s">
        <v>10779</v>
      </c>
      <c r="J102" t="s">
        <v>10780</v>
      </c>
      <c r="K102" t="s">
        <v>10781</v>
      </c>
    </row>
    <row r="103" spans="1:11" x14ac:dyDescent="0.3">
      <c r="A103" t="str">
        <f t="shared" si="1"/>
        <v>uszczelka na szkło 4,5mm</v>
      </c>
      <c r="B103" s="6" t="s">
        <v>556</v>
      </c>
      <c r="C103" s="6" t="s">
        <v>557</v>
      </c>
      <c r="D103" t="s">
        <v>558</v>
      </c>
      <c r="E103" s="137" t="s">
        <v>559</v>
      </c>
      <c r="I103" t="s">
        <v>10782</v>
      </c>
      <c r="J103" t="s">
        <v>10783</v>
      </c>
      <c r="K103" t="s">
        <v>10784</v>
      </c>
    </row>
    <row r="104" spans="1:11" x14ac:dyDescent="0.3">
      <c r="A104" t="str">
        <f t="shared" si="1"/>
        <v>uszczelka na szkło 6mm</v>
      </c>
      <c r="B104" s="6" t="s">
        <v>225</v>
      </c>
      <c r="C104" s="6" t="s">
        <v>142</v>
      </c>
      <c r="D104" t="s">
        <v>324</v>
      </c>
      <c r="E104" s="137" t="s">
        <v>441</v>
      </c>
      <c r="I104" t="s">
        <v>10785</v>
      </c>
      <c r="J104" t="s">
        <v>10786</v>
      </c>
      <c r="K104" t="s">
        <v>10787</v>
      </c>
    </row>
    <row r="105" spans="1:11" x14ac:dyDescent="0.3">
      <c r="A105" t="str">
        <f t="shared" si="1"/>
        <v>uszczelka na szkło 4mm niesymetryczna</v>
      </c>
      <c r="B105" s="6" t="s">
        <v>226</v>
      </c>
      <c r="C105" s="6" t="s">
        <v>196</v>
      </c>
      <c r="D105" t="s">
        <v>325</v>
      </c>
      <c r="E105" s="137" t="s">
        <v>442</v>
      </c>
      <c r="I105" t="s">
        <v>10788</v>
      </c>
      <c r="J105" t="s">
        <v>10789</v>
      </c>
      <c r="K105" t="s">
        <v>10790</v>
      </c>
    </row>
    <row r="106" spans="1:11" x14ac:dyDescent="0.3">
      <c r="A106" t="str">
        <f t="shared" si="1"/>
        <v>tor górny:</v>
      </c>
      <c r="B106" s="6" t="s">
        <v>6722</v>
      </c>
      <c r="C106" s="6" t="s">
        <v>6723</v>
      </c>
      <c r="D106" t="s">
        <v>6724</v>
      </c>
      <c r="E106" s="137" t="s">
        <v>6725</v>
      </c>
      <c r="I106" t="s">
        <v>10791</v>
      </c>
      <c r="J106" t="s">
        <v>10792</v>
      </c>
      <c r="K106" t="s">
        <v>11219</v>
      </c>
    </row>
    <row r="107" spans="1:11" x14ac:dyDescent="0.3">
      <c r="A107" t="str">
        <f t="shared" si="1"/>
        <v>Tor dolny</v>
      </c>
      <c r="B107" s="67" t="s">
        <v>216</v>
      </c>
      <c r="C107" s="6" t="s">
        <v>128</v>
      </c>
      <c r="D107" t="s">
        <v>315</v>
      </c>
      <c r="E107" s="137" t="s">
        <v>429</v>
      </c>
      <c r="I107" t="s">
        <v>10732</v>
      </c>
      <c r="J107" t="s">
        <v>10793</v>
      </c>
      <c r="K107" t="s">
        <v>10794</v>
      </c>
    </row>
    <row r="108" spans="1:11" x14ac:dyDescent="0.3">
      <c r="A108" t="str">
        <f t="shared" si="1"/>
        <v>profil maskujący = maskownica:</v>
      </c>
      <c r="B108" s="6" t="s">
        <v>217</v>
      </c>
      <c r="C108" s="6" t="s">
        <v>129</v>
      </c>
      <c r="D108" t="s">
        <v>217</v>
      </c>
      <c r="E108" s="137" t="s">
        <v>430</v>
      </c>
      <c r="I108" t="s">
        <v>10795</v>
      </c>
      <c r="J108" t="s">
        <v>10796</v>
      </c>
      <c r="K108" t="s">
        <v>10797</v>
      </c>
    </row>
    <row r="109" spans="1:11" x14ac:dyDescent="0.3">
      <c r="A109" t="str">
        <f t="shared" si="1"/>
        <v>górne wózki</v>
      </c>
      <c r="B109" s="6" t="s">
        <v>227</v>
      </c>
      <c r="C109" s="6" t="s">
        <v>176</v>
      </c>
      <c r="D109" t="s">
        <v>326</v>
      </c>
      <c r="E109" s="137" t="s">
        <v>431</v>
      </c>
      <c r="I109" t="s">
        <v>10798</v>
      </c>
      <c r="J109" t="s">
        <v>10799</v>
      </c>
      <c r="K109" t="s">
        <v>10800</v>
      </c>
    </row>
    <row r="110" spans="1:11" x14ac:dyDescent="0.3">
      <c r="A110" t="str">
        <f t="shared" si="1"/>
        <v>dolne wózki</v>
      </c>
      <c r="B110" s="6" t="s">
        <v>228</v>
      </c>
      <c r="C110" s="6" t="s">
        <v>177</v>
      </c>
      <c r="D110" t="s">
        <v>327</v>
      </c>
      <c r="E110" s="137" t="s">
        <v>432</v>
      </c>
      <c r="I110" t="s">
        <v>10801</v>
      </c>
      <c r="J110" t="s">
        <v>10802</v>
      </c>
      <c r="K110" t="s">
        <v>10803</v>
      </c>
    </row>
    <row r="111" spans="1:11" x14ac:dyDescent="0.3">
      <c r="A111" t="str">
        <f t="shared" si="1"/>
        <v>pozycjoner</v>
      </c>
      <c r="B111" s="6" t="s">
        <v>898</v>
      </c>
      <c r="C111" s="6" t="s">
        <v>178</v>
      </c>
      <c r="D111" t="s">
        <v>328</v>
      </c>
      <c r="E111" s="137" t="s">
        <v>433</v>
      </c>
      <c r="I111" t="s">
        <v>10804</v>
      </c>
      <c r="J111" t="s">
        <v>10746</v>
      </c>
      <c r="K111" t="s">
        <v>10805</v>
      </c>
    </row>
    <row r="112" spans="1:11" x14ac:dyDescent="0.3">
      <c r="A112" t="str">
        <f t="shared" si="1"/>
        <v>szczotka przeciwkurzowa samoprzylepna</v>
      </c>
      <c r="B112" s="6" t="s">
        <v>229</v>
      </c>
      <c r="C112" s="6" t="s">
        <v>132</v>
      </c>
      <c r="D112" t="s">
        <v>329</v>
      </c>
      <c r="E112" s="136" t="s">
        <v>434</v>
      </c>
      <c r="I112" t="s">
        <v>10806</v>
      </c>
      <c r="J112" t="s">
        <v>10807</v>
      </c>
      <c r="K112" t="s">
        <v>10808</v>
      </c>
    </row>
    <row r="113" spans="1:11" x14ac:dyDescent="0.3">
      <c r="A113" t="str">
        <f t="shared" si="1"/>
        <v>rączka</v>
      </c>
      <c r="B113" s="6" t="s">
        <v>38</v>
      </c>
      <c r="C113" s="6" t="s">
        <v>133</v>
      </c>
      <c r="D113" t="s">
        <v>38</v>
      </c>
      <c r="E113" s="137" t="s">
        <v>424</v>
      </c>
      <c r="I113" t="s">
        <v>10718</v>
      </c>
      <c r="J113" t="s">
        <v>10719</v>
      </c>
      <c r="K113" t="s">
        <v>10809</v>
      </c>
    </row>
    <row r="114" spans="1:11" x14ac:dyDescent="0.3">
      <c r="A114" t="str">
        <f t="shared" si="1"/>
        <v>profil łączący H18-3metry</v>
      </c>
      <c r="B114" s="6" t="s">
        <v>230</v>
      </c>
      <c r="C114" s="290" t="s">
        <v>179</v>
      </c>
      <c r="D114" t="s">
        <v>330</v>
      </c>
      <c r="E114" s="137" t="s">
        <v>443</v>
      </c>
      <c r="I114" t="s">
        <v>10810</v>
      </c>
      <c r="J114" t="s">
        <v>10811</v>
      </c>
      <c r="K114" t="s">
        <v>10812</v>
      </c>
    </row>
    <row r="115" spans="1:11" x14ac:dyDescent="0.3">
      <c r="A115" t="str">
        <f t="shared" si="1"/>
        <v>Teownik -3metry</v>
      </c>
      <c r="B115" s="6" t="s">
        <v>231</v>
      </c>
      <c r="C115" s="290" t="s">
        <v>180</v>
      </c>
      <c r="D115" t="s">
        <v>331</v>
      </c>
      <c r="E115" s="137" t="s">
        <v>444</v>
      </c>
      <c r="I115" t="s">
        <v>10813</v>
      </c>
      <c r="J115" t="s">
        <v>10814</v>
      </c>
      <c r="K115" t="s">
        <v>10815</v>
      </c>
    </row>
    <row r="116" spans="1:11" x14ac:dyDescent="0.3">
      <c r="A116" t="str">
        <f t="shared" si="1"/>
        <v>Teownik decor -3metry</v>
      </c>
      <c r="B116" s="6" t="s">
        <v>232</v>
      </c>
      <c r="C116" s="290" t="s">
        <v>181</v>
      </c>
      <c r="D116" t="s">
        <v>332</v>
      </c>
      <c r="E116" s="137" t="s">
        <v>445</v>
      </c>
      <c r="I116" t="s">
        <v>10816</v>
      </c>
      <c r="J116" t="s">
        <v>10817</v>
      </c>
      <c r="K116" t="s">
        <v>10818</v>
      </c>
    </row>
    <row r="117" spans="1:11" x14ac:dyDescent="0.3">
      <c r="A117" t="str">
        <f t="shared" si="1"/>
        <v>"U" profil na DTD 18mm- 3 metry /gładki/</v>
      </c>
      <c r="B117" s="6" t="s">
        <v>233</v>
      </c>
      <c r="C117" s="290" t="s">
        <v>182</v>
      </c>
      <c r="D117" t="s">
        <v>333</v>
      </c>
      <c r="E117" s="137" t="s">
        <v>446</v>
      </c>
      <c r="I117" t="s">
        <v>10819</v>
      </c>
      <c r="J117" t="s">
        <v>10820</v>
      </c>
      <c r="K117" t="s">
        <v>10821</v>
      </c>
    </row>
    <row r="118" spans="1:11" x14ac:dyDescent="0.3">
      <c r="A118" t="str">
        <f t="shared" si="1"/>
        <v>"U" profil na DTD 18mm- 3 metry</v>
      </c>
      <c r="B118" s="6" t="s">
        <v>234</v>
      </c>
      <c r="C118" s="290" t="s">
        <v>183</v>
      </c>
      <c r="D118" t="s">
        <v>334</v>
      </c>
      <c r="E118" s="137" t="s">
        <v>447</v>
      </c>
      <c r="I118" t="s">
        <v>10822</v>
      </c>
      <c r="J118" t="s">
        <v>10823</v>
      </c>
      <c r="K118" t="s">
        <v>10824</v>
      </c>
    </row>
    <row r="119" spans="1:11" x14ac:dyDescent="0.3">
      <c r="A119" t="str">
        <f t="shared" si="1"/>
        <v>kątownik mini 11x17mm - 1,7m</v>
      </c>
      <c r="B119" s="6" t="s">
        <v>235</v>
      </c>
      <c r="C119" s="290" t="s">
        <v>184</v>
      </c>
      <c r="D119" t="s">
        <v>335</v>
      </c>
      <c r="E119" s="137" t="s">
        <v>448</v>
      </c>
      <c r="I119" t="s">
        <v>10825</v>
      </c>
      <c r="J119" t="s">
        <v>10826</v>
      </c>
      <c r="K119" t="s">
        <v>10827</v>
      </c>
    </row>
    <row r="120" spans="1:11" x14ac:dyDescent="0.3">
      <c r="A120" t="str">
        <f t="shared" si="1"/>
        <v>kątownik mini 11x17mm - 2,35m</v>
      </c>
      <c r="B120" s="291" t="s">
        <v>236</v>
      </c>
      <c r="C120" s="290" t="s">
        <v>185</v>
      </c>
      <c r="D120" t="s">
        <v>336</v>
      </c>
      <c r="E120" s="137" t="s">
        <v>449</v>
      </c>
      <c r="I120" t="s">
        <v>10828</v>
      </c>
      <c r="J120" t="s">
        <v>10829</v>
      </c>
      <c r="K120" t="s">
        <v>10830</v>
      </c>
    </row>
    <row r="121" spans="1:11" x14ac:dyDescent="0.3">
      <c r="A121" t="str">
        <f t="shared" si="1"/>
        <v>kątownik mini 11x17mm - 3,00m</v>
      </c>
      <c r="B121" s="67" t="s">
        <v>237</v>
      </c>
      <c r="C121" s="290" t="s">
        <v>186</v>
      </c>
      <c r="D121" t="s">
        <v>337</v>
      </c>
      <c r="E121" s="137" t="s">
        <v>450</v>
      </c>
      <c r="I121" t="s">
        <v>10831</v>
      </c>
      <c r="J121" t="s">
        <v>10832</v>
      </c>
      <c r="K121" t="s">
        <v>10833</v>
      </c>
    </row>
    <row r="122" spans="1:11" x14ac:dyDescent="0.3">
      <c r="A122" t="str">
        <f t="shared" si="1"/>
        <v>kątownik K2 19x18mm - 1,7m</v>
      </c>
      <c r="B122" s="6" t="s">
        <v>238</v>
      </c>
      <c r="C122" s="290" t="s">
        <v>187</v>
      </c>
      <c r="D122" t="s">
        <v>338</v>
      </c>
      <c r="E122" s="137" t="s">
        <v>451</v>
      </c>
      <c r="I122" t="s">
        <v>10834</v>
      </c>
      <c r="J122" t="s">
        <v>10835</v>
      </c>
      <c r="K122" t="s">
        <v>10836</v>
      </c>
    </row>
    <row r="123" spans="1:11" x14ac:dyDescent="0.3">
      <c r="A123" t="str">
        <f t="shared" si="1"/>
        <v>kątownik K2 19x18mm - 2,35m</v>
      </c>
      <c r="B123" s="6" t="s">
        <v>239</v>
      </c>
      <c r="C123" s="290" t="s">
        <v>188</v>
      </c>
      <c r="D123" t="s">
        <v>339</v>
      </c>
      <c r="E123" s="137" t="s">
        <v>452</v>
      </c>
      <c r="I123" t="s">
        <v>10837</v>
      </c>
      <c r="J123" t="s">
        <v>10838</v>
      </c>
      <c r="K123" t="s">
        <v>10839</v>
      </c>
    </row>
    <row r="124" spans="1:11" x14ac:dyDescent="0.3">
      <c r="A124" t="str">
        <f t="shared" si="1"/>
        <v>kątownik K2 19x18mm - 3,00m</v>
      </c>
      <c r="B124" s="6" t="s">
        <v>240</v>
      </c>
      <c r="C124" s="290" t="s">
        <v>189</v>
      </c>
      <c r="D124" t="s">
        <v>340</v>
      </c>
      <c r="E124" s="137" t="s">
        <v>453</v>
      </c>
      <c r="I124" t="s">
        <v>10840</v>
      </c>
      <c r="J124" t="s">
        <v>10841</v>
      </c>
      <c r="K124" t="s">
        <v>10842</v>
      </c>
    </row>
    <row r="125" spans="1:11" x14ac:dyDescent="0.3">
      <c r="A125" t="str">
        <f t="shared" si="1"/>
        <v>tłumienie (szt)</v>
      </c>
      <c r="B125" s="6" t="s">
        <v>817</v>
      </c>
      <c r="C125" s="290" t="s">
        <v>820</v>
      </c>
      <c r="D125" t="s">
        <v>818</v>
      </c>
      <c r="E125" s="137" t="s">
        <v>819</v>
      </c>
      <c r="I125" t="s">
        <v>10843</v>
      </c>
      <c r="J125" t="s">
        <v>10844</v>
      </c>
      <c r="K125" t="s">
        <v>10845</v>
      </c>
    </row>
    <row r="126" spans="1:11" x14ac:dyDescent="0.3">
      <c r="A126" t="str">
        <f t="shared" si="1"/>
        <v>PW</v>
      </c>
      <c r="B126" s="130" t="s">
        <v>241</v>
      </c>
      <c r="C126" s="7" t="s">
        <v>122</v>
      </c>
      <c r="D126" t="s">
        <v>241</v>
      </c>
      <c r="E126" s="136" t="s">
        <v>459</v>
      </c>
      <c r="I126" t="s">
        <v>10846</v>
      </c>
      <c r="J126" t="s">
        <v>10847</v>
      </c>
      <c r="K126" t="s">
        <v>10848</v>
      </c>
    </row>
    <row r="127" spans="1:11" x14ac:dyDescent="0.3">
      <c r="A127" t="str">
        <f t="shared" si="1"/>
        <v>szkło / lustro</v>
      </c>
      <c r="B127" s="130" t="s">
        <v>242</v>
      </c>
      <c r="C127" s="292" t="s">
        <v>123</v>
      </c>
      <c r="D127" t="s">
        <v>341</v>
      </c>
      <c r="E127" s="136" t="s">
        <v>454</v>
      </c>
      <c r="I127" t="s">
        <v>10849</v>
      </c>
      <c r="J127" t="s">
        <v>10850</v>
      </c>
      <c r="K127" t="s">
        <v>10851</v>
      </c>
    </row>
    <row r="128" spans="1:11" ht="14.4" x14ac:dyDescent="0.3">
      <c r="A128" t="str">
        <f t="shared" si="1"/>
        <v>srebrny</v>
      </c>
      <c r="B128" s="208" t="s">
        <v>95</v>
      </c>
      <c r="C128" t="s">
        <v>201</v>
      </c>
      <c r="D128" t="s">
        <v>342</v>
      </c>
      <c r="E128" s="136" t="s">
        <v>455</v>
      </c>
      <c r="I128" t="s">
        <v>10480</v>
      </c>
      <c r="J128" t="s">
        <v>10481</v>
      </c>
      <c r="K128" t="s">
        <v>10482</v>
      </c>
    </row>
    <row r="129" spans="1:11" x14ac:dyDescent="0.3">
      <c r="A129" t="str">
        <f t="shared" si="1"/>
        <v>złoty</v>
      </c>
      <c r="B129" s="130" t="s">
        <v>23</v>
      </c>
      <c r="C129" t="s">
        <v>202</v>
      </c>
      <c r="D129" t="s">
        <v>23</v>
      </c>
      <c r="E129" s="136" t="s">
        <v>456</v>
      </c>
      <c r="I129" t="s">
        <v>10483</v>
      </c>
      <c r="J129" t="s">
        <v>10484</v>
      </c>
      <c r="K129" t="s">
        <v>10485</v>
      </c>
    </row>
    <row r="130" spans="1:11" ht="14.4" x14ac:dyDescent="0.3">
      <c r="A130" t="str">
        <f t="shared" si="1"/>
        <v>j.brąz</v>
      </c>
      <c r="B130" s="130" t="s">
        <v>203</v>
      </c>
      <c r="C130" s="208" t="s">
        <v>203</v>
      </c>
      <c r="D130" t="s">
        <v>203</v>
      </c>
      <c r="E130" s="136" t="s">
        <v>457</v>
      </c>
      <c r="I130" t="s">
        <v>10486</v>
      </c>
      <c r="J130" t="s">
        <v>10487</v>
      </c>
      <c r="K130" t="s">
        <v>10488</v>
      </c>
    </row>
    <row r="131" spans="1:11" x14ac:dyDescent="0.3">
      <c r="A131" t="str">
        <f t="shared" ref="A131:A194" si="2">IF($G$1=1,B131,IF($G$1=2,D131,IF($G$1=3,E131,IF($G$1=4,C131,IF($G$1=5,I131,IF($G$1=6,J131,IF($G$1=7,K131,"zadat jazyk")))))))</f>
        <v>j.brąz szczotkowany</v>
      </c>
      <c r="B131" s="130" t="s">
        <v>110</v>
      </c>
      <c r="C131" t="s">
        <v>193</v>
      </c>
      <c r="D131" t="s">
        <v>110</v>
      </c>
      <c r="E131" s="136" t="s">
        <v>415</v>
      </c>
      <c r="I131" t="s">
        <v>10489</v>
      </c>
      <c r="J131" t="s">
        <v>10490</v>
      </c>
      <c r="K131" t="s">
        <v>10491</v>
      </c>
    </row>
    <row r="132" spans="1:11" x14ac:dyDescent="0.3">
      <c r="A132" t="str">
        <f t="shared" si="2"/>
        <v> biały połysk</v>
      </c>
      <c r="B132" s="130" t="s">
        <v>946</v>
      </c>
      <c r="C132" t="s">
        <v>943</v>
      </c>
      <c r="D132" t="s">
        <v>944</v>
      </c>
      <c r="E132" s="136" t="s">
        <v>945</v>
      </c>
      <c r="I132" t="s">
        <v>10492</v>
      </c>
      <c r="J132" t="s">
        <v>10493</v>
      </c>
      <c r="K132" t="s">
        <v>10494</v>
      </c>
    </row>
    <row r="133" spans="1:11" ht="15.6" x14ac:dyDescent="0.3">
      <c r="A133" t="str">
        <f t="shared" si="2"/>
        <v>Wyprzedaż</v>
      </c>
      <c r="B133" s="130" t="s">
        <v>267</v>
      </c>
      <c r="C133" s="293" t="s">
        <v>266</v>
      </c>
      <c r="D133" t="s">
        <v>267</v>
      </c>
      <c r="E133" s="136" t="s">
        <v>458</v>
      </c>
      <c r="I133" t="s">
        <v>10852</v>
      </c>
      <c r="J133" t="s">
        <v>10853</v>
      </c>
      <c r="K133" t="s">
        <v>10854</v>
      </c>
    </row>
    <row r="134" spans="1:11" ht="14.4" x14ac:dyDescent="0.3">
      <c r="A134" t="str">
        <f t="shared" si="2"/>
        <v>1. Wypełnij dane kontaktowe, możesz również podać swoją zniżkę. Dane pokażą się na poszczególnych stronach.</v>
      </c>
      <c r="B134" s="208" t="s">
        <v>244</v>
      </c>
      <c r="C134" s="294" t="s">
        <v>268</v>
      </c>
      <c r="D134" s="208" t="s">
        <v>344</v>
      </c>
      <c r="E134" s="140" t="s">
        <v>367</v>
      </c>
      <c r="F134" s="1"/>
      <c r="G134" s="1"/>
      <c r="H134" s="1"/>
      <c r="I134" t="s">
        <v>10855</v>
      </c>
      <c r="J134" t="s">
        <v>10856</v>
      </c>
      <c r="K134" t="s">
        <v>10857</v>
      </c>
    </row>
    <row r="135" spans="1:11" ht="14.4" x14ac:dyDescent="0.3">
      <c r="A135" t="str">
        <f t="shared" si="2"/>
        <v>2. Wybierz rączkę (kliknij na nazwę profilu pod obrazkiem)</v>
      </c>
      <c r="B135" s="208" t="s">
        <v>245</v>
      </c>
      <c r="C135" s="294" t="s">
        <v>269</v>
      </c>
      <c r="D135" s="208" t="s">
        <v>345</v>
      </c>
      <c r="E135" s="140" t="s">
        <v>368</v>
      </c>
      <c r="F135" s="1"/>
      <c r="G135" s="1"/>
      <c r="H135" s="1"/>
      <c r="I135" t="s">
        <v>10858</v>
      </c>
      <c r="J135" t="s">
        <v>10859</v>
      </c>
      <c r="K135" t="s">
        <v>10860</v>
      </c>
    </row>
    <row r="136" spans="1:11" ht="14.4" x14ac:dyDescent="0.3">
      <c r="A136" t="str">
        <f t="shared" si="2"/>
        <v>3. Na stronie z komponentami profilu, podaj rozmiar otworu.</v>
      </c>
      <c r="B136" s="208" t="s">
        <v>246</v>
      </c>
      <c r="C136" s="294" t="s">
        <v>270</v>
      </c>
      <c r="D136" s="208" t="s">
        <v>346</v>
      </c>
      <c r="E136" s="140" t="s">
        <v>369</v>
      </c>
      <c r="F136" s="1"/>
      <c r="G136" s="1"/>
      <c r="H136" s="1"/>
      <c r="I136" t="s">
        <v>10861</v>
      </c>
      <c r="J136" t="s">
        <v>10862</v>
      </c>
      <c r="K136" t="s">
        <v>10863</v>
      </c>
    </row>
    <row r="137" spans="1:11" ht="14.4" x14ac:dyDescent="0.3">
      <c r="A137" t="str">
        <f t="shared" si="2"/>
        <v xml:space="preserve">4. Napisz z ilu drzwi będzie się składać komplet. </v>
      </c>
      <c r="B137" s="208" t="s">
        <v>247</v>
      </c>
      <c r="C137" s="294" t="s">
        <v>271</v>
      </c>
      <c r="D137" s="208" t="s">
        <v>347</v>
      </c>
      <c r="E137" s="140" t="s">
        <v>370</v>
      </c>
      <c r="F137" s="1"/>
      <c r="G137" s="1"/>
      <c r="H137" s="1"/>
      <c r="I137" t="s">
        <v>10864</v>
      </c>
      <c r="J137" t="s">
        <v>10865</v>
      </c>
      <c r="K137" t="s">
        <v>10866</v>
      </c>
    </row>
    <row r="138" spans="1:11" ht="14.4" x14ac:dyDescent="0.3">
      <c r="A138" t="str">
        <f t="shared" si="2"/>
        <v>5. Wybierz kolor profilu (kliknij na pole z kolorem, następnie na okno ze strzałką - pojawi się lista, z której możesz wybrać kolor)</v>
      </c>
      <c r="B138" s="208" t="s">
        <v>248</v>
      </c>
      <c r="C138" s="294" t="s">
        <v>272</v>
      </c>
      <c r="D138" s="208" t="s">
        <v>348</v>
      </c>
      <c r="E138" s="140" t="s">
        <v>371</v>
      </c>
      <c r="F138" s="1"/>
      <c r="G138" s="1"/>
      <c r="H138" s="1"/>
      <c r="I138" t="s">
        <v>10867</v>
      </c>
      <c r="J138" t="s">
        <v>10868</v>
      </c>
      <c r="K138" t="s">
        <v>10869</v>
      </c>
    </row>
    <row r="139" spans="1:11" ht="14.4" x14ac:dyDescent="0.3">
      <c r="A139" t="str">
        <f t="shared" si="2"/>
        <v>6. Jeśli chcesz, aby drzwi były podzielone profilami, w dolnej części formularza podaj potrzebną ilość listw</v>
      </c>
      <c r="B139" s="208" t="s">
        <v>249</v>
      </c>
      <c r="C139" s="294" t="s">
        <v>273</v>
      </c>
      <c r="D139" s="208" t="s">
        <v>349</v>
      </c>
      <c r="E139" s="140" t="s">
        <v>372</v>
      </c>
      <c r="F139" s="1"/>
      <c r="G139" s="1"/>
      <c r="H139" s="1"/>
      <c r="I139" t="s">
        <v>10870</v>
      </c>
      <c r="J139" t="s">
        <v>10871</v>
      </c>
      <c r="K139" t="s">
        <v>10872</v>
      </c>
    </row>
    <row r="140" spans="1:11" ht="14.4" x14ac:dyDescent="0.3">
      <c r="A140" t="str">
        <f t="shared" si="2"/>
        <v>7. Przy wykorzystaniu szkła lub lustra należy dodać profil uszczelniający. Ze względu na możliwą kombinację szkła z deskami</v>
      </c>
      <c r="B140" s="208" t="s">
        <v>250</v>
      </c>
      <c r="C140" s="208" t="s">
        <v>274</v>
      </c>
      <c r="D140" s="208" t="s">
        <v>350</v>
      </c>
      <c r="E140" s="140" t="s">
        <v>373</v>
      </c>
      <c r="F140" s="1"/>
      <c r="G140" s="1"/>
      <c r="H140" s="1"/>
      <c r="I140" t="s">
        <v>10873</v>
      </c>
      <c r="J140" t="s">
        <v>10874</v>
      </c>
      <c r="K140" t="s">
        <v>10875</v>
      </c>
    </row>
    <row r="141" spans="1:11" ht="14.4" x14ac:dyDescent="0.3">
      <c r="A141" t="str">
        <f t="shared" si="2"/>
        <v xml:space="preserve">     nie można wcześniej określić długości uszczelki. W komplecie, długość uszczelki jest wyliczona na jedno skrzydło.</v>
      </c>
      <c r="B141" s="208" t="s">
        <v>251</v>
      </c>
      <c r="C141" s="208" t="s">
        <v>275</v>
      </c>
      <c r="D141" s="208" t="s">
        <v>351</v>
      </c>
      <c r="E141" s="140" t="s">
        <v>374</v>
      </c>
      <c r="F141" s="1"/>
      <c r="G141" s="1"/>
      <c r="H141" s="1"/>
      <c r="I141" t="s">
        <v>10876</v>
      </c>
      <c r="J141" t="s">
        <v>10877</v>
      </c>
      <c r="K141" t="s">
        <v>10878</v>
      </c>
    </row>
    <row r="142" spans="1:11" ht="14.4" x14ac:dyDescent="0.3">
      <c r="A142" t="str">
        <f t="shared" si="2"/>
        <v xml:space="preserve">    Długość jest obliczona również w przypadku, że cały komplet składa się tylko ze szkła / lustra.</v>
      </c>
      <c r="B142" s="208" t="s">
        <v>252</v>
      </c>
      <c r="C142" t="s">
        <v>276</v>
      </c>
      <c r="D142" s="208" t="s">
        <v>352</v>
      </c>
      <c r="E142" s="140" t="s">
        <v>375</v>
      </c>
      <c r="F142" s="1"/>
      <c r="G142" s="1"/>
      <c r="H142" s="1"/>
      <c r="I142" t="s">
        <v>10879</v>
      </c>
      <c r="J142" t="s">
        <v>10880</v>
      </c>
      <c r="K142" t="s">
        <v>10881</v>
      </c>
    </row>
    <row r="143" spans="1:11" ht="14.4" x14ac:dyDescent="0.3">
      <c r="A143" t="str">
        <f t="shared" si="2"/>
        <v>8. Przy cięciu profila jest liczona szerokość cięcia 5 mm.</v>
      </c>
      <c r="B143" s="208" t="s">
        <v>922</v>
      </c>
      <c r="C143" s="208" t="s">
        <v>923</v>
      </c>
      <c r="D143" s="208" t="s">
        <v>924</v>
      </c>
      <c r="E143" s="140" t="s">
        <v>925</v>
      </c>
      <c r="F143" s="1"/>
      <c r="G143" s="1"/>
      <c r="H143" s="1"/>
      <c r="I143" t="s">
        <v>10882</v>
      </c>
      <c r="J143" t="s">
        <v>10883</v>
      </c>
      <c r="K143" t="s">
        <v>11206</v>
      </c>
    </row>
    <row r="144" spans="1:11" ht="15" x14ac:dyDescent="0.3">
      <c r="A144" t="str">
        <f t="shared" si="2"/>
        <v>Instrukcja:</v>
      </c>
      <c r="B144" s="295" t="s">
        <v>243</v>
      </c>
      <c r="C144" s="295" t="s">
        <v>277</v>
      </c>
      <c r="D144" s="296" t="s">
        <v>343</v>
      </c>
      <c r="E144" s="140" t="s">
        <v>366</v>
      </c>
      <c r="I144" t="s">
        <v>10884</v>
      </c>
      <c r="J144" t="s">
        <v>10885</v>
      </c>
      <c r="K144" t="s">
        <v>10886</v>
      </c>
    </row>
    <row r="145" spans="1:11" x14ac:dyDescent="0.3">
      <c r="A145" t="str">
        <f t="shared" si="2"/>
        <v>Wzornik folii.</v>
      </c>
      <c r="B145" s="130" t="s">
        <v>353</v>
      </c>
      <c r="C145" t="s">
        <v>190</v>
      </c>
      <c r="D145" t="s">
        <v>353</v>
      </c>
      <c r="E145" s="136" t="s">
        <v>376</v>
      </c>
      <c r="I145" t="s">
        <v>10887</v>
      </c>
      <c r="J145" t="s">
        <v>10888</v>
      </c>
      <c r="K145" t="s">
        <v>10889</v>
      </c>
    </row>
    <row r="146" spans="1:11" x14ac:dyDescent="0.3">
      <c r="A146" t="str">
        <f t="shared" si="2"/>
        <v>Oprócz dekorów zaznaczonych kolorem zielonym wszystkie folie są na zamówienie.</v>
      </c>
      <c r="B146" t="s">
        <v>905</v>
      </c>
      <c r="C146" t="s">
        <v>906</v>
      </c>
      <c r="D146" t="s">
        <v>480</v>
      </c>
      <c r="E146" s="136" t="s">
        <v>377</v>
      </c>
      <c r="I146" t="s">
        <v>10890</v>
      </c>
      <c r="J146" t="s">
        <v>10891</v>
      </c>
      <c r="K146" t="s">
        <v>10892</v>
      </c>
    </row>
    <row r="147" spans="1:11" ht="14.4" x14ac:dyDescent="0.3">
      <c r="A147" t="str">
        <f t="shared" si="2"/>
        <v>Kolory na obrazkach są tylko orientacyjne, faktyczna barwa może być zmieniona np. ustawieniem monitora itp.</v>
      </c>
      <c r="B147" t="s">
        <v>354</v>
      </c>
      <c r="C147" s="289" t="s">
        <v>192</v>
      </c>
      <c r="D147" t="s">
        <v>358</v>
      </c>
      <c r="E147" s="136" t="s">
        <v>378</v>
      </c>
      <c r="I147" t="s">
        <v>10893</v>
      </c>
      <c r="J147" t="s">
        <v>10894</v>
      </c>
      <c r="K147" t="s">
        <v>10895</v>
      </c>
    </row>
    <row r="148" spans="1:11" ht="15" x14ac:dyDescent="0.3">
      <c r="A148" t="str">
        <f t="shared" si="2"/>
        <v>Na żądanie możemy wysłać fizyczny wzornik 179111</v>
      </c>
      <c r="B148" t="s">
        <v>617</v>
      </c>
      <c r="C148" s="289" t="s">
        <v>618</v>
      </c>
      <c r="D148" s="296" t="s">
        <v>619</v>
      </c>
      <c r="E148" s="136" t="s">
        <v>620</v>
      </c>
      <c r="I148" t="s">
        <v>10896</v>
      </c>
      <c r="J148" t="s">
        <v>10897</v>
      </c>
      <c r="K148" t="s">
        <v>10898</v>
      </c>
    </row>
    <row r="149" spans="1:11" x14ac:dyDescent="0.3">
      <c r="A149" t="str">
        <f t="shared" si="2"/>
        <v>skladem = na magazynie</v>
      </c>
      <c r="B149" s="130" t="s">
        <v>355</v>
      </c>
      <c r="C149" s="297" t="s">
        <v>191</v>
      </c>
      <c r="D149" t="s">
        <v>356</v>
      </c>
      <c r="E149" s="136" t="s">
        <v>357</v>
      </c>
      <c r="I149" t="s">
        <v>10899</v>
      </c>
      <c r="J149" t="s">
        <v>10900</v>
      </c>
      <c r="K149" t="s">
        <v>10901</v>
      </c>
    </row>
    <row r="150" spans="1:11" x14ac:dyDescent="0.3">
      <c r="A150" t="str">
        <f t="shared" si="2"/>
        <v>do tego koloru nie jest wymagany</v>
      </c>
      <c r="B150" s="130" t="s">
        <v>476</v>
      </c>
      <c r="C150" t="s">
        <v>478</v>
      </c>
      <c r="D150" t="s">
        <v>479</v>
      </c>
      <c r="E150" s="136" t="s">
        <v>477</v>
      </c>
      <c r="I150" t="s">
        <v>10902</v>
      </c>
      <c r="J150" t="s">
        <v>10903</v>
      </c>
      <c r="K150" t="s">
        <v>10904</v>
      </c>
    </row>
    <row r="151" spans="1:11" x14ac:dyDescent="0.3">
      <c r="A151" t="str">
        <f t="shared" si="2"/>
        <v>NOWOŚĆ</v>
      </c>
      <c r="B151" s="130" t="s">
        <v>483</v>
      </c>
      <c r="C151" t="s">
        <v>482</v>
      </c>
      <c r="D151" t="s">
        <v>483</v>
      </c>
      <c r="E151" s="136" t="s">
        <v>486</v>
      </c>
      <c r="I151" t="s">
        <v>10905</v>
      </c>
      <c r="J151" t="s">
        <v>10906</v>
      </c>
      <c r="K151" t="s">
        <v>10907</v>
      </c>
    </row>
    <row r="152" spans="1:11" x14ac:dyDescent="0.3">
      <c r="A152" t="str">
        <f t="shared" si="2"/>
        <v>NOWOŚĆ, tylko na zamówienie</v>
      </c>
      <c r="B152" s="130" t="s">
        <v>484</v>
      </c>
      <c r="C152" t="s">
        <v>481</v>
      </c>
      <c r="D152" s="130" t="s">
        <v>485</v>
      </c>
      <c r="E152" s="136" t="s">
        <v>487</v>
      </c>
      <c r="I152" t="s">
        <v>10908</v>
      </c>
      <c r="J152" t="s">
        <v>10909</v>
      </c>
      <c r="K152" t="s">
        <v>10910</v>
      </c>
    </row>
    <row r="153" spans="1:11" ht="14.4" x14ac:dyDescent="0.3">
      <c r="A153" t="str">
        <f t="shared" si="2"/>
        <v>Na podstawie danych dostarczonych przez producenta. Szczególnie w przypadku produkcji masowej, należy najpierw przeprowadzić test. Zastrzega się możliwość wystąpienia błędów.</v>
      </c>
      <c r="B153" s="130" t="s">
        <v>491</v>
      </c>
      <c r="C153" s="298" t="s">
        <v>635</v>
      </c>
      <c r="D153" t="s">
        <v>11207</v>
      </c>
      <c r="E153" s="136" t="s">
        <v>492</v>
      </c>
      <c r="I153" t="s">
        <v>10911</v>
      </c>
      <c r="J153" t="s">
        <v>10912</v>
      </c>
      <c r="K153" t="s">
        <v>11208</v>
      </c>
    </row>
    <row r="154" spans="1:11" x14ac:dyDescent="0.3">
      <c r="A154">
        <f t="shared" si="2"/>
        <v>0</v>
      </c>
    </row>
    <row r="155" spans="1:11" ht="14.4" x14ac:dyDescent="0.3">
      <c r="A155" t="str">
        <f t="shared" si="2"/>
        <v xml:space="preserve">Podaj kolor folii (w opakowaniu 14,7 mb, szerokość 4 cm) </v>
      </c>
      <c r="B155" s="130" t="s">
        <v>359</v>
      </c>
      <c r="C155" t="s">
        <v>363</v>
      </c>
      <c r="D155" t="s">
        <v>488</v>
      </c>
      <c r="E155" s="289" t="s">
        <v>460</v>
      </c>
      <c r="I155" t="s">
        <v>10913</v>
      </c>
      <c r="J155" t="s">
        <v>10914</v>
      </c>
      <c r="K155" t="s">
        <v>10915</v>
      </c>
    </row>
    <row r="156" spans="1:11" ht="14.4" x14ac:dyDescent="0.3">
      <c r="A156" t="str">
        <f t="shared" si="2"/>
        <v>Podaj liczbę metrów</v>
      </c>
      <c r="B156" s="130" t="s">
        <v>361</v>
      </c>
      <c r="C156" t="s">
        <v>360</v>
      </c>
      <c r="D156" t="s">
        <v>489</v>
      </c>
      <c r="E156" s="289" t="s">
        <v>461</v>
      </c>
      <c r="I156" t="s">
        <v>10916</v>
      </c>
      <c r="J156" t="s">
        <v>10917</v>
      </c>
      <c r="K156" t="s">
        <v>10918</v>
      </c>
    </row>
    <row r="157" spans="1:11" ht="14.4" x14ac:dyDescent="0.3">
      <c r="A157" t="str">
        <f t="shared" si="2"/>
        <v>Podaj liczbę opakowań</v>
      </c>
      <c r="B157" s="130" t="s">
        <v>365</v>
      </c>
      <c r="C157" t="s">
        <v>364</v>
      </c>
      <c r="D157" t="s">
        <v>490</v>
      </c>
      <c r="E157" s="289" t="s">
        <v>462</v>
      </c>
      <c r="I157" t="s">
        <v>10919</v>
      </c>
      <c r="J157" t="s">
        <v>10920</v>
      </c>
      <c r="K157" t="s">
        <v>10921</v>
      </c>
    </row>
    <row r="158" spans="1:11" x14ac:dyDescent="0.3">
      <c r="A158">
        <f t="shared" si="2"/>
        <v>0</v>
      </c>
    </row>
    <row r="159" spans="1:11" ht="15.6" x14ac:dyDescent="0.3">
      <c r="A159" t="str">
        <f t="shared" si="2"/>
        <v>Wyprzedaż</v>
      </c>
      <c r="B159" s="130" t="s">
        <v>362</v>
      </c>
      <c r="C159" s="293" t="s">
        <v>266</v>
      </c>
      <c r="D159" s="299" t="s">
        <v>753</v>
      </c>
      <c r="E159" s="289" t="s">
        <v>458</v>
      </c>
      <c r="I159" t="s">
        <v>10852</v>
      </c>
      <c r="J159" t="s">
        <v>10853</v>
      </c>
      <c r="K159" t="s">
        <v>10854</v>
      </c>
    </row>
    <row r="160" spans="1:11" x14ac:dyDescent="0.3">
      <c r="A160">
        <f t="shared" si="2"/>
        <v>2500</v>
      </c>
      <c r="B160" s="130">
        <v>2500</v>
      </c>
      <c r="C160">
        <v>25000</v>
      </c>
      <c r="D160">
        <v>100</v>
      </c>
      <c r="E160" s="136">
        <v>2500</v>
      </c>
      <c r="I160">
        <v>2500</v>
      </c>
      <c r="J160">
        <v>2500</v>
      </c>
      <c r="K160">
        <v>2500</v>
      </c>
    </row>
    <row r="161" spans="1:11" ht="15.6" x14ac:dyDescent="0.3">
      <c r="A161" t="str">
        <f t="shared" si="2"/>
        <v xml:space="preserve">Jeżeli dodatkowo zamówisz </v>
      </c>
      <c r="B161" s="130" t="s">
        <v>493</v>
      </c>
      <c r="C161" s="289" t="s">
        <v>497</v>
      </c>
      <c r="D161" t="s">
        <v>583</v>
      </c>
      <c r="E161" s="300" t="s">
        <v>495</v>
      </c>
      <c r="I161" t="s">
        <v>10922</v>
      </c>
      <c r="J161" t="s">
        <v>10923</v>
      </c>
      <c r="K161" t="s">
        <v>10924</v>
      </c>
    </row>
    <row r="162" spans="1:11" ht="15.6" x14ac:dyDescent="0.3">
      <c r="A162" t="str">
        <f t="shared" si="2"/>
        <v>, otrzymasz</v>
      </c>
      <c r="B162" s="130" t="s">
        <v>494</v>
      </c>
      <c r="C162" s="289" t="s">
        <v>498</v>
      </c>
      <c r="D162" t="s">
        <v>584</v>
      </c>
      <c r="E162" s="300" t="s">
        <v>496</v>
      </c>
      <c r="I162" t="s">
        <v>10925</v>
      </c>
      <c r="J162" t="s">
        <v>10926</v>
      </c>
      <c r="K162" t="s">
        <v>10927</v>
      </c>
    </row>
    <row r="163" spans="1:11" ht="15.6" x14ac:dyDescent="0.3">
      <c r="A163" t="str">
        <f t="shared" si="2"/>
        <v>tłumienie gratis</v>
      </c>
      <c r="B163" s="130" t="s">
        <v>500</v>
      </c>
      <c r="C163" s="289" t="s">
        <v>499</v>
      </c>
      <c r="D163" t="s">
        <v>502</v>
      </c>
      <c r="E163" s="300" t="s">
        <v>501</v>
      </c>
      <c r="I163" t="s">
        <v>10928</v>
      </c>
      <c r="J163" t="s">
        <v>10929</v>
      </c>
      <c r="K163" t="s">
        <v>10930</v>
      </c>
    </row>
    <row r="164" spans="1:11" ht="15" x14ac:dyDescent="0.25">
      <c r="A164" t="str">
        <f t="shared" si="2"/>
        <v>na stanie magazynowym dostępne są kpl. na 2 i 3 skrzydła o długości 1,8 m (2skrz.), 2,5 m (3 szkrz.) oraz 2,7 m (2skrz.)</v>
      </c>
      <c r="B164" s="298" t="s">
        <v>503</v>
      </c>
      <c r="C164" s="301" t="s">
        <v>513</v>
      </c>
      <c r="D164" s="299" t="s">
        <v>752</v>
      </c>
      <c r="E164" t="s">
        <v>504</v>
      </c>
      <c r="I164" t="s">
        <v>10931</v>
      </c>
      <c r="J164" t="s">
        <v>10932</v>
      </c>
      <c r="K164" t="s">
        <v>10933</v>
      </c>
    </row>
    <row r="165" spans="1:11" ht="14.4" x14ac:dyDescent="0.3">
      <c r="A165" t="str">
        <f t="shared" si="2"/>
        <v>profil innowacyjny</v>
      </c>
      <c r="B165" s="289" t="s">
        <v>505</v>
      </c>
      <c r="C165" s="289" t="s">
        <v>514</v>
      </c>
      <c r="D165" t="s">
        <v>505</v>
      </c>
      <c r="E165" t="s">
        <v>509</v>
      </c>
      <c r="I165" t="s">
        <v>10934</v>
      </c>
      <c r="J165" t="s">
        <v>10935</v>
      </c>
      <c r="K165" t="s">
        <v>10936</v>
      </c>
    </row>
    <row r="166" spans="1:11" ht="14.4" x14ac:dyDescent="0.3">
      <c r="A166" t="str">
        <f t="shared" si="2"/>
        <v>szczotka nasuwana</v>
      </c>
      <c r="B166" s="289" t="s">
        <v>506</v>
      </c>
      <c r="C166" s="289" t="s">
        <v>515</v>
      </c>
      <c r="D166" t="s">
        <v>518</v>
      </c>
      <c r="E166" s="302" t="s">
        <v>510</v>
      </c>
      <c r="I166" t="s">
        <v>10937</v>
      </c>
      <c r="J166" t="s">
        <v>10938</v>
      </c>
      <c r="K166" t="s">
        <v>10939</v>
      </c>
    </row>
    <row r="167" spans="1:11" ht="14.4" x14ac:dyDescent="0.3">
      <c r="A167" t="str">
        <f t="shared" si="2"/>
        <v>aktualnie dostępne na stanie magazynowym</v>
      </c>
      <c r="B167" s="289" t="s">
        <v>507</v>
      </c>
      <c r="C167" s="289" t="s">
        <v>516</v>
      </c>
      <c r="D167" t="s">
        <v>519</v>
      </c>
      <c r="E167" s="302" t="s">
        <v>511</v>
      </c>
      <c r="I167" t="s">
        <v>10940</v>
      </c>
      <c r="J167" t="s">
        <v>10941</v>
      </c>
      <c r="K167" t="s">
        <v>10942</v>
      </c>
    </row>
    <row r="168" spans="1:11" ht="14.4" x14ac:dyDescent="0.3">
      <c r="A168" t="str">
        <f t="shared" si="2"/>
        <v>niektóre pozycje mogą być dostępne tylko na zamówienie</v>
      </c>
      <c r="B168" s="289" t="s">
        <v>508</v>
      </c>
      <c r="C168" s="289" t="s">
        <v>517</v>
      </c>
      <c r="D168" t="s">
        <v>623</v>
      </c>
      <c r="E168" s="289" t="s">
        <v>512</v>
      </c>
      <c r="I168" t="s">
        <v>10943</v>
      </c>
      <c r="J168" t="s">
        <v>10944</v>
      </c>
      <c r="K168" t="s">
        <v>11223</v>
      </c>
    </row>
    <row r="169" spans="1:11" x14ac:dyDescent="0.3">
      <c r="A169" t="str">
        <f t="shared" si="2"/>
        <v>profil łączący H18 MAXIM 1,8m</v>
      </c>
      <c r="B169" s="6" t="s">
        <v>520</v>
      </c>
      <c r="C169" s="290" t="s">
        <v>521</v>
      </c>
      <c r="D169" t="s">
        <v>522</v>
      </c>
      <c r="E169" s="137" t="s">
        <v>523</v>
      </c>
      <c r="I169" t="s">
        <v>10945</v>
      </c>
      <c r="J169" t="s">
        <v>10946</v>
      </c>
      <c r="K169" t="s">
        <v>10947</v>
      </c>
    </row>
    <row r="170" spans="1:11" x14ac:dyDescent="0.3">
      <c r="A170" t="str">
        <f t="shared" si="2"/>
        <v>profil łączący H18 MAXIM 2,5m</v>
      </c>
      <c r="B170" s="6" t="s">
        <v>524</v>
      </c>
      <c r="C170" s="290" t="s">
        <v>525</v>
      </c>
      <c r="D170" t="s">
        <v>526</v>
      </c>
      <c r="E170" s="137" t="s">
        <v>527</v>
      </c>
      <c r="I170" t="s">
        <v>10948</v>
      </c>
      <c r="J170" t="s">
        <v>10949</v>
      </c>
      <c r="K170" t="s">
        <v>10950</v>
      </c>
    </row>
    <row r="171" spans="1:11" x14ac:dyDescent="0.3">
      <c r="A171" t="str">
        <f t="shared" si="2"/>
        <v>profil łączący H25 MAXIM 1,8m</v>
      </c>
      <c r="B171" s="6" t="s">
        <v>528</v>
      </c>
      <c r="C171" s="290" t="s">
        <v>529</v>
      </c>
      <c r="D171" t="s">
        <v>530</v>
      </c>
      <c r="E171" s="137" t="s">
        <v>531</v>
      </c>
      <c r="I171" t="s">
        <v>10951</v>
      </c>
      <c r="J171" t="s">
        <v>10952</v>
      </c>
      <c r="K171" t="s">
        <v>10953</v>
      </c>
    </row>
    <row r="172" spans="1:11" x14ac:dyDescent="0.3">
      <c r="A172" t="str">
        <f t="shared" si="2"/>
        <v>profil łączący H25 MAXIM 2,5m</v>
      </c>
      <c r="B172" s="6" t="s">
        <v>532</v>
      </c>
      <c r="C172" s="290" t="s">
        <v>533</v>
      </c>
      <c r="D172" t="s">
        <v>534</v>
      </c>
      <c r="E172" s="137" t="s">
        <v>535</v>
      </c>
      <c r="I172" t="s">
        <v>10954</v>
      </c>
      <c r="J172" t="s">
        <v>10955</v>
      </c>
      <c r="K172" t="s">
        <v>10950</v>
      </c>
    </row>
    <row r="173" spans="1:11" ht="13.2" x14ac:dyDescent="0.25">
      <c r="A173" t="str">
        <f t="shared" si="2"/>
        <v> Zalecamy dokupić jeszcze</v>
      </c>
      <c r="B173" s="130" t="s">
        <v>568</v>
      </c>
      <c r="C173" s="290" t="s">
        <v>860</v>
      </c>
      <c r="D173" t="s">
        <v>907</v>
      </c>
      <c r="E173" s="302" t="s">
        <v>874</v>
      </c>
      <c r="I173" t="s">
        <v>10956</v>
      </c>
      <c r="J173" t="s">
        <v>10957</v>
      </c>
      <c r="K173" t="s">
        <v>10958</v>
      </c>
    </row>
    <row r="174" spans="1:11" ht="13.2" x14ac:dyDescent="0.25">
      <c r="A174" t="str">
        <f t="shared" si="2"/>
        <v xml:space="preserve"> szt tłumienia, dla komletnego tłumienia zestawu </v>
      </c>
      <c r="B174" s="130" t="s">
        <v>569</v>
      </c>
      <c r="C174" s="290" t="s">
        <v>861</v>
      </c>
      <c r="D174" t="s">
        <v>908</v>
      </c>
      <c r="E174" s="302" t="s">
        <v>875</v>
      </c>
      <c r="I174" t="s">
        <v>10959</v>
      </c>
      <c r="J174" t="s">
        <v>10960</v>
      </c>
      <c r="K174" t="s">
        <v>10961</v>
      </c>
    </row>
    <row r="175" spans="1:11" x14ac:dyDescent="0.3">
      <c r="A175" t="str">
        <f t="shared" si="2"/>
        <v>Tłumienie przesuwanych drzwi SEVROLL - AKCJA</v>
      </c>
      <c r="B175" s="130" t="s">
        <v>576</v>
      </c>
      <c r="C175" s="290" t="s">
        <v>577</v>
      </c>
      <c r="D175" t="s">
        <v>575</v>
      </c>
      <c r="E175" s="136" t="s">
        <v>578</v>
      </c>
      <c r="I175" t="s">
        <v>10962</v>
      </c>
      <c r="J175" t="s">
        <v>10963</v>
      </c>
      <c r="K175" t="s">
        <v>10964</v>
      </c>
    </row>
    <row r="176" spans="1:11" ht="14.4" x14ac:dyDescent="0.3">
      <c r="A176">
        <f t="shared" si="2"/>
        <v>0</v>
      </c>
      <c r="B176" s="130" t="s">
        <v>579</v>
      </c>
      <c r="C176" s="298" t="s">
        <v>629</v>
      </c>
      <c r="D176" s="130" t="s">
        <v>580</v>
      </c>
      <c r="I176" t="s">
        <v>10965</v>
      </c>
      <c r="J176" t="s">
        <v>10966</v>
      </c>
      <c r="K176" t="s">
        <v>10967</v>
      </c>
    </row>
    <row r="177" spans="1:11" ht="14.4" x14ac:dyDescent="0.3">
      <c r="A177">
        <f t="shared" si="2"/>
        <v>0</v>
      </c>
      <c r="B177" s="130" t="s">
        <v>581</v>
      </c>
      <c r="C177" s="298" t="s">
        <v>630</v>
      </c>
      <c r="D177" t="s">
        <v>582</v>
      </c>
      <c r="I177" t="s">
        <v>10968</v>
      </c>
      <c r="J177" t="s">
        <v>10969</v>
      </c>
      <c r="K177" t="s">
        <v>10970</v>
      </c>
    </row>
    <row r="178" spans="1:11" ht="14.4" x14ac:dyDescent="0.3">
      <c r="A178">
        <f t="shared" si="2"/>
        <v>0</v>
      </c>
      <c r="B178" s="130" t="s">
        <v>587</v>
      </c>
      <c r="C178" s="298" t="s">
        <v>631</v>
      </c>
      <c r="D178" s="130" t="s">
        <v>588</v>
      </c>
      <c r="I178" t="s">
        <v>10971</v>
      </c>
      <c r="J178" t="s">
        <v>10972</v>
      </c>
      <c r="K178" t="s">
        <v>10973</v>
      </c>
    </row>
    <row r="179" spans="1:11" ht="14.4" x14ac:dyDescent="0.3">
      <c r="A179" t="str">
        <f t="shared" si="2"/>
        <v>Wkręt do dolnego toru</v>
      </c>
      <c r="B179" s="130" t="s">
        <v>595</v>
      </c>
      <c r="C179" s="298" t="s">
        <v>632</v>
      </c>
      <c r="D179" t="s">
        <v>596</v>
      </c>
      <c r="E179" s="136" t="s">
        <v>754</v>
      </c>
      <c r="I179" t="s">
        <v>10974</v>
      </c>
      <c r="J179" t="s">
        <v>10975</v>
      </c>
      <c r="K179" t="s">
        <v>10976</v>
      </c>
    </row>
    <row r="180" spans="1:11" x14ac:dyDescent="0.3">
      <c r="A180" t="str">
        <f t="shared" si="2"/>
        <v>kątownik 11x17mm - 1,7m</v>
      </c>
      <c r="B180" s="6" t="s">
        <v>788</v>
      </c>
      <c r="C180" s="290" t="s">
        <v>791</v>
      </c>
      <c r="D180" t="s">
        <v>794</v>
      </c>
      <c r="E180" s="137" t="s">
        <v>797</v>
      </c>
      <c r="I180" t="s">
        <v>10977</v>
      </c>
      <c r="J180" t="s">
        <v>10978</v>
      </c>
      <c r="K180" t="s">
        <v>10979</v>
      </c>
    </row>
    <row r="181" spans="1:11" x14ac:dyDescent="0.3">
      <c r="A181" t="str">
        <f t="shared" si="2"/>
        <v>kątownik 11x17mm - 2,35m</v>
      </c>
      <c r="B181" s="291" t="s">
        <v>789</v>
      </c>
      <c r="C181" s="290" t="s">
        <v>792</v>
      </c>
      <c r="D181" t="s">
        <v>795</v>
      </c>
      <c r="E181" s="137" t="s">
        <v>798</v>
      </c>
      <c r="I181" t="s">
        <v>10980</v>
      </c>
      <c r="J181" t="s">
        <v>10981</v>
      </c>
      <c r="K181" t="s">
        <v>10982</v>
      </c>
    </row>
    <row r="182" spans="1:11" x14ac:dyDescent="0.3">
      <c r="A182" t="str">
        <f t="shared" si="2"/>
        <v>kątownik 11x17mm - 3,0m</v>
      </c>
      <c r="B182" s="67" t="s">
        <v>790</v>
      </c>
      <c r="C182" s="290" t="s">
        <v>793</v>
      </c>
      <c r="D182" t="s">
        <v>796</v>
      </c>
      <c r="E182" s="137" t="s">
        <v>799</v>
      </c>
      <c r="I182" t="s">
        <v>10983</v>
      </c>
      <c r="J182" t="s">
        <v>10984</v>
      </c>
      <c r="K182" t="s">
        <v>10985</v>
      </c>
    </row>
    <row r="183" spans="1:11" x14ac:dyDescent="0.3">
      <c r="A183" t="str">
        <f t="shared" si="2"/>
        <v>kątownik 20x26mm - 1,8m</v>
      </c>
      <c r="B183" s="6" t="s">
        <v>776</v>
      </c>
      <c r="C183" s="290" t="s">
        <v>779</v>
      </c>
      <c r="D183" t="s">
        <v>782</v>
      </c>
      <c r="E183" s="137" t="s">
        <v>785</v>
      </c>
      <c r="I183" t="s">
        <v>10986</v>
      </c>
      <c r="J183" t="s">
        <v>10987</v>
      </c>
      <c r="K183" t="s">
        <v>10988</v>
      </c>
    </row>
    <row r="184" spans="1:11" x14ac:dyDescent="0.3">
      <c r="A184" t="str">
        <f t="shared" si="2"/>
        <v>kątownik 20x26mm - 2,7m</v>
      </c>
      <c r="B184" s="291" t="s">
        <v>777</v>
      </c>
      <c r="C184" s="290" t="s">
        <v>780</v>
      </c>
      <c r="D184" t="s">
        <v>783</v>
      </c>
      <c r="E184" s="137" t="s">
        <v>786</v>
      </c>
      <c r="I184" t="s">
        <v>10989</v>
      </c>
      <c r="J184" t="s">
        <v>10990</v>
      </c>
      <c r="K184" t="s">
        <v>10991</v>
      </c>
    </row>
    <row r="185" spans="1:11" x14ac:dyDescent="0.3">
      <c r="A185" t="str">
        <f t="shared" si="2"/>
        <v>kątownik 20x26mm - 3,6m</v>
      </c>
      <c r="B185" s="67" t="s">
        <v>778</v>
      </c>
      <c r="C185" s="290" t="s">
        <v>781</v>
      </c>
      <c r="D185" t="s">
        <v>784</v>
      </c>
      <c r="E185" s="137" t="s">
        <v>787</v>
      </c>
      <c r="I185" t="s">
        <v>10992</v>
      </c>
      <c r="J185" t="s">
        <v>10993</v>
      </c>
      <c r="K185" t="s">
        <v>10994</v>
      </c>
    </row>
    <row r="186" spans="1:11" x14ac:dyDescent="0.3">
      <c r="A186" t="str">
        <f t="shared" si="2"/>
        <v>profil łączący H - 3metry</v>
      </c>
      <c r="B186" s="6" t="s">
        <v>597</v>
      </c>
      <c r="C186" s="290" t="s">
        <v>598</v>
      </c>
      <c r="D186" t="s">
        <v>599</v>
      </c>
      <c r="E186" s="137" t="s">
        <v>600</v>
      </c>
      <c r="I186" t="s">
        <v>10995</v>
      </c>
      <c r="J186" t="s">
        <v>10996</v>
      </c>
      <c r="K186" t="s">
        <v>10997</v>
      </c>
    </row>
    <row r="187" spans="1:11" x14ac:dyDescent="0.3">
      <c r="A187" t="str">
        <f t="shared" si="2"/>
        <v>szczot.czarna</v>
      </c>
      <c r="B187" s="130" t="s">
        <v>601</v>
      </c>
      <c r="C187" t="s">
        <v>604</v>
      </c>
      <c r="D187" t="s">
        <v>605</v>
      </c>
      <c r="E187" s="136" t="s">
        <v>603</v>
      </c>
      <c r="I187" t="s">
        <v>10495</v>
      </c>
      <c r="J187" t="s">
        <v>10496</v>
      </c>
      <c r="K187" t="s">
        <v>10497</v>
      </c>
    </row>
    <row r="188" spans="1:11" x14ac:dyDescent="0.3">
      <c r="A188" t="str">
        <f t="shared" si="2"/>
        <v>szczot.oliwa ciemna</v>
      </c>
      <c r="B188" s="130" t="s">
        <v>602</v>
      </c>
      <c r="C188" t="s">
        <v>608</v>
      </c>
      <c r="D188" t="s">
        <v>606</v>
      </c>
      <c r="E188" s="136" t="s">
        <v>607</v>
      </c>
      <c r="I188" t="s">
        <v>10498</v>
      </c>
      <c r="J188" t="s">
        <v>10499</v>
      </c>
      <c r="K188" t="s">
        <v>10500</v>
      </c>
    </row>
    <row r="189" spans="1:11" x14ac:dyDescent="0.3">
      <c r="A189" t="str">
        <f t="shared" si="2"/>
        <v>profil łączący H25  2,7m</v>
      </c>
      <c r="B189" s="6" t="s">
        <v>609</v>
      </c>
      <c r="C189" s="290" t="s">
        <v>610</v>
      </c>
      <c r="D189" t="s">
        <v>612</v>
      </c>
      <c r="E189" s="137" t="s">
        <v>611</v>
      </c>
      <c r="I189" t="s">
        <v>10998</v>
      </c>
      <c r="J189" t="s">
        <v>10999</v>
      </c>
      <c r="K189" t="s">
        <v>11000</v>
      </c>
    </row>
    <row r="190" spans="1:11" ht="14.4" x14ac:dyDescent="0.3">
      <c r="A190" t="str">
        <f t="shared" si="2"/>
        <v xml:space="preserve">tutaj można znaleźć inne akcesoria </v>
      </c>
      <c r="B190" s="130" t="s">
        <v>622</v>
      </c>
      <c r="C190" s="298" t="s">
        <v>821</v>
      </c>
      <c r="D190" t="s">
        <v>621</v>
      </c>
      <c r="E190" s="136" t="s">
        <v>616</v>
      </c>
      <c r="I190" t="s">
        <v>11001</v>
      </c>
      <c r="J190" t="s">
        <v>11002</v>
      </c>
      <c r="K190" t="s">
        <v>11229</v>
      </c>
    </row>
    <row r="191" spans="1:11" ht="14.4" x14ac:dyDescent="0.3">
      <c r="A191">
        <f t="shared" si="2"/>
        <v>0</v>
      </c>
      <c r="B191" s="130" t="s">
        <v>624</v>
      </c>
      <c r="C191" s="298" t="s">
        <v>633</v>
      </c>
      <c r="D191" t="s">
        <v>625</v>
      </c>
      <c r="I191" t="s">
        <v>11003</v>
      </c>
      <c r="J191" t="s">
        <v>11004</v>
      </c>
      <c r="K191" t="s">
        <v>11005</v>
      </c>
    </row>
    <row r="192" spans="1:11" ht="14.4" x14ac:dyDescent="0.3">
      <c r="A192">
        <f t="shared" si="2"/>
        <v>0</v>
      </c>
      <c r="B192" s="130" t="s">
        <v>626</v>
      </c>
      <c r="C192" s="298" t="s">
        <v>634</v>
      </c>
      <c r="D192" t="s">
        <v>627</v>
      </c>
      <c r="I192" t="s">
        <v>11006</v>
      </c>
      <c r="J192" t="s">
        <v>11007</v>
      </c>
      <c r="K192" t="s">
        <v>11008</v>
      </c>
    </row>
    <row r="193" spans="1:11" ht="15" x14ac:dyDescent="0.25">
      <c r="A193" t="str">
        <f t="shared" si="2"/>
        <v>Powrót do strony głównej</v>
      </c>
      <c r="B193" s="130" t="s">
        <v>615</v>
      </c>
      <c r="C193" t="s">
        <v>748</v>
      </c>
      <c r="D193" t="s">
        <v>628</v>
      </c>
      <c r="E193" s="299" t="s">
        <v>755</v>
      </c>
      <c r="I193" t="s">
        <v>11009</v>
      </c>
      <c r="J193" t="s">
        <v>11010</v>
      </c>
      <c r="K193" t="s">
        <v>11011</v>
      </c>
    </row>
    <row r="194" spans="1:11" ht="14.4" x14ac:dyDescent="0.3">
      <c r="A194" t="str">
        <f t="shared" si="2"/>
        <v>Maksymalny wymiar skrzydła w lustrze 2400x700mm</v>
      </c>
      <c r="B194" s="130" t="s">
        <v>636</v>
      </c>
      <c r="C194" s="298" t="s">
        <v>639</v>
      </c>
      <c r="D194" t="s">
        <v>637</v>
      </c>
      <c r="E194" s="136" t="s">
        <v>638</v>
      </c>
      <c r="I194" t="s">
        <v>11012</v>
      </c>
      <c r="J194" t="s">
        <v>11013</v>
      </c>
      <c r="K194" t="s">
        <v>11231</v>
      </c>
    </row>
    <row r="195" spans="1:11" x14ac:dyDescent="0.3">
      <c r="A195" t="str">
        <f t="shared" ref="A195:A258" si="3">IF($G$1=1,B195,IF($G$1=2,D195,IF($G$1=3,E195,IF($G$1=4,C195,IF($G$1=5,I195,IF($G$1=6,J195,IF($G$1=7,K195,"zadat jazyk")))))))</f>
        <v>Proste tory do systemow:</v>
      </c>
      <c r="B195" s="130" t="s">
        <v>641</v>
      </c>
      <c r="C195" t="s">
        <v>642</v>
      </c>
      <c r="D195" t="s">
        <v>644</v>
      </c>
      <c r="E195" s="136" t="s">
        <v>643</v>
      </c>
      <c r="I195" t="s">
        <v>11014</v>
      </c>
      <c r="J195" t="s">
        <v>11015</v>
      </c>
      <c r="K195" t="s">
        <v>11016</v>
      </c>
    </row>
    <row r="196" spans="1:11" x14ac:dyDescent="0.3">
      <c r="A196" t="str">
        <f t="shared" si="3"/>
        <v>Klamra szczotki odbojowej</v>
      </c>
      <c r="B196" s="130" t="s">
        <v>645</v>
      </c>
      <c r="C196" t="s">
        <v>646</v>
      </c>
      <c r="D196" t="s">
        <v>647</v>
      </c>
      <c r="E196" s="136" t="s">
        <v>648</v>
      </c>
      <c r="I196" t="s">
        <v>11017</v>
      </c>
      <c r="J196" t="s">
        <v>11018</v>
      </c>
      <c r="K196" t="s">
        <v>11019</v>
      </c>
    </row>
    <row r="197" spans="1:11" ht="14.4" x14ac:dyDescent="0.3">
      <c r="A197" t="str">
        <f t="shared" si="3"/>
        <v>Moźliwosc dostarczenia kompletow okućia i profili:</v>
      </c>
      <c r="B197" s="130" t="s">
        <v>649</v>
      </c>
      <c r="C197" s="298" t="s">
        <v>716</v>
      </c>
      <c r="D197" t="s">
        <v>751</v>
      </c>
      <c r="E197" s="136" t="s">
        <v>749</v>
      </c>
      <c r="I197" t="s">
        <v>11020</v>
      </c>
      <c r="J197" t="s">
        <v>11021</v>
      </c>
      <c r="K197" t="s">
        <v>11022</v>
      </c>
    </row>
    <row r="198" spans="1:11" ht="14.4" x14ac:dyDescent="0.3">
      <c r="A198" t="str">
        <f t="shared" si="3"/>
        <v>Zestaw 2 skrz.(szer. 1,8m, zawiera komplet profili 182716 + komplet akcesoriów 95054)</v>
      </c>
      <c r="B198" s="130" t="s">
        <v>650</v>
      </c>
      <c r="C198" s="298" t="s">
        <v>717</v>
      </c>
      <c r="D198" t="s">
        <v>744</v>
      </c>
      <c r="E198" s="136" t="s">
        <v>746</v>
      </c>
      <c r="I198" t="s">
        <v>11023</v>
      </c>
      <c r="J198" t="s">
        <v>11024</v>
      </c>
      <c r="K198" t="s">
        <v>11025</v>
      </c>
    </row>
    <row r="199" spans="1:11" ht="14.4" x14ac:dyDescent="0.3">
      <c r="A199" t="str">
        <f t="shared" si="3"/>
        <v>Zestaw 3 skrz.(szer. 2,5m, zawiera komplet profili 188479 + komplet akcesoriów 100968)</v>
      </c>
      <c r="B199" s="130" t="s">
        <v>651</v>
      </c>
      <c r="C199" s="298" t="s">
        <v>718</v>
      </c>
      <c r="D199" t="s">
        <v>745</v>
      </c>
      <c r="E199" s="136" t="s">
        <v>747</v>
      </c>
      <c r="I199" t="s">
        <v>11026</v>
      </c>
      <c r="J199" t="s">
        <v>11027</v>
      </c>
      <c r="K199" t="s">
        <v>11028</v>
      </c>
    </row>
    <row r="200" spans="1:11" ht="14.4" x14ac:dyDescent="0.25">
      <c r="A200" t="str">
        <f t="shared" si="3"/>
        <v>Zamówione produkty kompletów nie są identyczne</v>
      </c>
      <c r="B200" s="130" t="s">
        <v>652</v>
      </c>
      <c r="C200" s="298" t="s">
        <v>862</v>
      </c>
      <c r="D200" t="s">
        <v>857</v>
      </c>
      <c r="E200" t="s">
        <v>876</v>
      </c>
      <c r="I200" t="s">
        <v>11029</v>
      </c>
      <c r="J200" t="s">
        <v>11030</v>
      </c>
      <c r="K200" t="s">
        <v>11031</v>
      </c>
    </row>
    <row r="201" spans="1:11" ht="14.4" x14ac:dyDescent="0.3">
      <c r="A201" t="str">
        <f t="shared" si="3"/>
        <v>szczot.czarna</v>
      </c>
      <c r="B201" s="130" t="s">
        <v>661</v>
      </c>
      <c r="C201" s="298" t="s">
        <v>604</v>
      </c>
      <c r="D201" t="s">
        <v>605</v>
      </c>
      <c r="E201" s="136" t="s">
        <v>603</v>
      </c>
      <c r="I201" t="s">
        <v>10501</v>
      </c>
      <c r="J201" t="s">
        <v>10502</v>
      </c>
      <c r="K201" t="s">
        <v>10503</v>
      </c>
    </row>
    <row r="202" spans="1:11" x14ac:dyDescent="0.3">
      <c r="A202" t="str">
        <f t="shared" si="3"/>
        <v>szczot.oliwa ciemna</v>
      </c>
      <c r="B202" s="130" t="s">
        <v>602</v>
      </c>
      <c r="C202" t="s">
        <v>608</v>
      </c>
      <c r="D202" t="s">
        <v>606</v>
      </c>
      <c r="E202" s="136" t="s">
        <v>607</v>
      </c>
      <c r="I202" t="s">
        <v>10498</v>
      </c>
      <c r="J202" t="s">
        <v>10499</v>
      </c>
      <c r="K202" t="s">
        <v>10500</v>
      </c>
    </row>
    <row r="203" spans="1:11" x14ac:dyDescent="0.3">
      <c r="A203" t="str">
        <f t="shared" si="3"/>
        <v>profil łączący H Simple 10</v>
      </c>
      <c r="B203" s="6" t="s">
        <v>702</v>
      </c>
      <c r="C203" s="290" t="s">
        <v>703</v>
      </c>
      <c r="D203" t="s">
        <v>702</v>
      </c>
      <c r="E203" s="137" t="s">
        <v>704</v>
      </c>
      <c r="I203" t="s">
        <v>11032</v>
      </c>
      <c r="J203" t="s">
        <v>11033</v>
      </c>
      <c r="K203" t="s">
        <v>11034</v>
      </c>
    </row>
    <row r="204" spans="1:11" x14ac:dyDescent="0.3">
      <c r="A204" t="str">
        <f t="shared" si="3"/>
        <v>profil łączący H21 Simple (18mm)</v>
      </c>
      <c r="B204" s="6" t="s">
        <v>3489</v>
      </c>
      <c r="C204" s="290" t="s">
        <v>3492</v>
      </c>
      <c r="D204" t="s">
        <v>3489</v>
      </c>
      <c r="E204" s="137" t="s">
        <v>3493</v>
      </c>
      <c r="I204" t="s">
        <v>11035</v>
      </c>
      <c r="J204" t="s">
        <v>11036</v>
      </c>
      <c r="K204" t="s">
        <v>11037</v>
      </c>
    </row>
    <row r="205" spans="1:11" x14ac:dyDescent="0.3">
      <c r="A205" t="str">
        <f t="shared" si="3"/>
        <v>profil łączący H28 Simple (18mm)</v>
      </c>
      <c r="B205" s="6" t="s">
        <v>3490</v>
      </c>
      <c r="C205" t="s">
        <v>3491</v>
      </c>
      <c r="D205" t="s">
        <v>3490</v>
      </c>
      <c r="E205" s="137" t="s">
        <v>3494</v>
      </c>
      <c r="I205" t="s">
        <v>11038</v>
      </c>
      <c r="J205" t="s">
        <v>11039</v>
      </c>
      <c r="K205" t="s">
        <v>11040</v>
      </c>
    </row>
    <row r="206" spans="1:11" x14ac:dyDescent="0.3">
      <c r="A206" t="str">
        <f t="shared" si="3"/>
        <v>Blue</v>
      </c>
      <c r="B206" s="130" t="s">
        <v>1002</v>
      </c>
      <c r="C206" t="s">
        <v>1003</v>
      </c>
      <c r="D206" t="s">
        <v>1004</v>
      </c>
      <c r="E206" s="136" t="s">
        <v>921</v>
      </c>
      <c r="I206" t="s">
        <v>11041</v>
      </c>
      <c r="J206" t="s">
        <v>10972</v>
      </c>
      <c r="K206" t="s">
        <v>10976</v>
      </c>
    </row>
    <row r="207" spans="1:11" ht="13.2" x14ac:dyDescent="0.25">
      <c r="A207" t="str">
        <f t="shared" si="3"/>
        <v>System Blue</v>
      </c>
      <c r="B207" s="130" t="s">
        <v>919</v>
      </c>
      <c r="C207" t="s">
        <v>921</v>
      </c>
      <c r="D207" t="s">
        <v>919</v>
      </c>
      <c r="E207" t="s">
        <v>920</v>
      </c>
      <c r="I207" t="s">
        <v>11042</v>
      </c>
      <c r="J207" t="s">
        <v>920</v>
      </c>
      <c r="K207" t="s">
        <v>920</v>
      </c>
    </row>
    <row r="208" spans="1:11" x14ac:dyDescent="0.3">
      <c r="A208" t="str">
        <f t="shared" si="3"/>
        <v>10. Mozesz napisać zmiany, komentarze w pole Uwagi</v>
      </c>
      <c r="B208" s="130" t="s">
        <v>696</v>
      </c>
      <c r="C208" t="s">
        <v>750</v>
      </c>
      <c r="D208" t="s">
        <v>697</v>
      </c>
      <c r="E208" s="136" t="s">
        <v>698</v>
      </c>
      <c r="I208" t="s">
        <v>11043</v>
      </c>
      <c r="J208" t="s">
        <v>11044</v>
      </c>
      <c r="K208" t="s">
        <v>11045</v>
      </c>
    </row>
    <row r="209" spans="1:11" x14ac:dyDescent="0.3">
      <c r="A209" t="str">
        <f t="shared" si="3"/>
        <v xml:space="preserve">wsuwana szczotka przeciwkurzowa </v>
      </c>
      <c r="B209" s="130" t="s">
        <v>709</v>
      </c>
      <c r="C209" t="s">
        <v>708</v>
      </c>
      <c r="D209" t="s">
        <v>710</v>
      </c>
      <c r="E209" s="137" t="s">
        <v>711</v>
      </c>
      <c r="I209" t="s">
        <v>10937</v>
      </c>
      <c r="J209" t="s">
        <v>11046</v>
      </c>
      <c r="K209" t="s">
        <v>11047</v>
      </c>
    </row>
    <row r="210" spans="1:11" ht="14.4" x14ac:dyDescent="0.3">
      <c r="A210" t="str">
        <f t="shared" si="3"/>
        <v>zaślepka toru dolnego</v>
      </c>
      <c r="B210" s="130" t="s">
        <v>712</v>
      </c>
      <c r="C210" s="298" t="s">
        <v>714</v>
      </c>
      <c r="D210" t="s">
        <v>715</v>
      </c>
      <c r="E210" s="136" t="s">
        <v>713</v>
      </c>
      <c r="I210" t="s">
        <v>11048</v>
      </c>
      <c r="J210" t="s">
        <v>11049</v>
      </c>
      <c r="K210" t="s">
        <v>11050</v>
      </c>
    </row>
    <row r="211" spans="1:11" ht="14.4" x14ac:dyDescent="0.3">
      <c r="A211" t="str">
        <f t="shared" si="3"/>
        <v>W wypadku dwóch zakładek (punktów nałożenia) do obliczenia rozmiaru skrzydeł można wpisać połowę szerokości oraz 2 skrzydła.</v>
      </c>
      <c r="B211" s="130" t="s">
        <v>724</v>
      </c>
      <c r="C211" s="289" t="s">
        <v>740</v>
      </c>
      <c r="D211" t="s">
        <v>726</v>
      </c>
      <c r="E211" s="298" t="s">
        <v>742</v>
      </c>
      <c r="I211" t="s">
        <v>11051</v>
      </c>
      <c r="J211" t="s">
        <v>11052</v>
      </c>
      <c r="K211" t="s">
        <v>11053</v>
      </c>
    </row>
    <row r="212" spans="1:11" ht="14.4" x14ac:dyDescent="0.25">
      <c r="A212" t="str">
        <f t="shared" si="3"/>
        <v>Skrzydła w wybranej konfiguracji są wąskie i wysokie, w wypadku wersji z tłumieniem może dochodzić do ich odbijania.</v>
      </c>
      <c r="B212" s="130" t="s">
        <v>723</v>
      </c>
      <c r="C212" s="298" t="s">
        <v>741</v>
      </c>
      <c r="D212" t="s">
        <v>725</v>
      </c>
      <c r="E212" s="298" t="s">
        <v>743</v>
      </c>
      <c r="I212" t="s">
        <v>11054</v>
      </c>
      <c r="J212" t="s">
        <v>11055</v>
      </c>
      <c r="K212" t="s">
        <v>11056</v>
      </c>
    </row>
    <row r="213" spans="1:11" x14ac:dyDescent="0.3">
      <c r="A213" t="str">
        <f t="shared" si="3"/>
        <v>FOLIE OCHRONNE DO SZYB</v>
      </c>
      <c r="B213" s="130" t="s">
        <v>736</v>
      </c>
      <c r="C213" t="s">
        <v>739</v>
      </c>
      <c r="D213" t="s">
        <v>737</v>
      </c>
      <c r="E213" s="136" t="s">
        <v>738</v>
      </c>
      <c r="I213" t="s">
        <v>11057</v>
      </c>
      <c r="J213" t="s">
        <v>11058</v>
      </c>
      <c r="K213" t="s">
        <v>11059</v>
      </c>
    </row>
    <row r="214" spans="1:11" ht="15.6" x14ac:dyDescent="0.3">
      <c r="A214" t="str">
        <f t="shared" si="3"/>
        <v>Niektóre pozycje są na zamówienie, termin dostawy wynosi około 5 tygodni</v>
      </c>
      <c r="B214" s="130" t="s">
        <v>981</v>
      </c>
      <c r="C214" s="299" t="s">
        <v>982</v>
      </c>
      <c r="D214" t="s">
        <v>983</v>
      </c>
      <c r="E214" s="136" t="s">
        <v>984</v>
      </c>
      <c r="I214" t="s">
        <v>11060</v>
      </c>
      <c r="J214" t="s">
        <v>11061</v>
      </c>
      <c r="K214" t="s">
        <v>11222</v>
      </c>
    </row>
    <row r="215" spans="1:11" ht="15.6" x14ac:dyDescent="0.3">
      <c r="A215" t="str">
        <f t="shared" si="3"/>
        <v>niektóre elementy nie są produkowane w wybranej długości</v>
      </c>
      <c r="B215" t="s">
        <v>856</v>
      </c>
      <c r="C215" s="299" t="s">
        <v>8828</v>
      </c>
      <c r="D215" t="s">
        <v>8827</v>
      </c>
      <c r="E215" s="136" t="s">
        <v>8826</v>
      </c>
      <c r="I215" t="s">
        <v>11062</v>
      </c>
      <c r="J215" t="s">
        <v>11063</v>
      </c>
      <c r="K215" t="s">
        <v>11221</v>
      </c>
    </row>
    <row r="216" spans="1:11" x14ac:dyDescent="0.3">
      <c r="A216" t="str">
        <f t="shared" si="3"/>
        <v>LAKIEROWANIE PROFILI</v>
      </c>
      <c r="B216" s="130" t="s">
        <v>760</v>
      </c>
      <c r="C216" t="s">
        <v>762</v>
      </c>
      <c r="D216" t="s">
        <v>761</v>
      </c>
      <c r="E216" s="136" t="s">
        <v>763</v>
      </c>
      <c r="I216" t="s">
        <v>11064</v>
      </c>
      <c r="J216" t="s">
        <v>11065</v>
      </c>
      <c r="K216" t="s">
        <v>11066</v>
      </c>
    </row>
    <row r="217" spans="1:11" x14ac:dyDescent="0.3">
      <c r="A217" t="str">
        <f t="shared" si="3"/>
        <v>można pomalować na jakikolwiek odcień RAL</v>
      </c>
      <c r="B217" s="130" t="s">
        <v>764</v>
      </c>
      <c r="C217" t="s">
        <v>767</v>
      </c>
      <c r="D217" t="s">
        <v>770</v>
      </c>
      <c r="E217" s="136" t="s">
        <v>773</v>
      </c>
      <c r="I217" t="s">
        <v>11067</v>
      </c>
      <c r="J217" t="s">
        <v>11068</v>
      </c>
      <c r="K217" t="s">
        <v>11069</v>
      </c>
    </row>
    <row r="218" spans="1:11" x14ac:dyDescent="0.3">
      <c r="A218" t="str">
        <f t="shared" si="3"/>
        <v> opcja połysk / matowy (należy wpisać w zamówieniu)</v>
      </c>
      <c r="B218" s="130" t="s">
        <v>765</v>
      </c>
      <c r="C218" t="s">
        <v>768</v>
      </c>
      <c r="D218" t="s">
        <v>771</v>
      </c>
      <c r="E218" s="136" t="s">
        <v>774</v>
      </c>
      <c r="I218" t="s">
        <v>11070</v>
      </c>
      <c r="J218" t="s">
        <v>11071</v>
      </c>
      <c r="K218" t="s">
        <v>11072</v>
      </c>
    </row>
    <row r="219" spans="1:11" x14ac:dyDescent="0.3">
      <c r="A219" t="str">
        <f t="shared" si="3"/>
        <v>ograniczenie do długości maks. 3,85 m</v>
      </c>
      <c r="B219" s="130" t="s">
        <v>766</v>
      </c>
      <c r="C219" t="s">
        <v>769</v>
      </c>
      <c r="D219" t="s">
        <v>772</v>
      </c>
      <c r="E219" s="136" t="s">
        <v>775</v>
      </c>
      <c r="I219" t="s">
        <v>11073</v>
      </c>
      <c r="J219" t="s">
        <v>11074</v>
      </c>
      <c r="K219" t="s">
        <v>11075</v>
      </c>
    </row>
    <row r="220" spans="1:11" ht="14.4" x14ac:dyDescent="0.3">
      <c r="A220" t="str">
        <f t="shared" si="3"/>
        <v>Blue 18 mm (bezramowe)</v>
      </c>
      <c r="B220" s="130" t="s">
        <v>927</v>
      </c>
      <c r="C220" t="s">
        <v>929</v>
      </c>
      <c r="D220" t="s">
        <v>931</v>
      </c>
      <c r="E220" s="289" t="s">
        <v>932</v>
      </c>
      <c r="I220" t="s">
        <v>11076</v>
      </c>
      <c r="J220" t="s">
        <v>11077</v>
      </c>
      <c r="K220" t="s">
        <v>11078</v>
      </c>
    </row>
    <row r="221" spans="1:11" ht="13.2" x14ac:dyDescent="0.25">
      <c r="A221" t="str">
        <f t="shared" si="3"/>
        <v>Blue 18 mm (ramowy)</v>
      </c>
      <c r="B221" s="130" t="s">
        <v>928</v>
      </c>
      <c r="C221" t="s">
        <v>930</v>
      </c>
      <c r="D221" t="s">
        <v>928</v>
      </c>
      <c r="E221" s="302" t="s">
        <v>6535</v>
      </c>
      <c r="I221" t="s">
        <v>11079</v>
      </c>
      <c r="J221" t="s">
        <v>11080</v>
      </c>
      <c r="K221" t="s">
        <v>11081</v>
      </c>
    </row>
    <row r="222" spans="1:11" ht="13.2" x14ac:dyDescent="0.25">
      <c r="A222" t="str">
        <f t="shared" si="3"/>
        <v> System Comfort</v>
      </c>
      <c r="B222" s="130" t="s">
        <v>849</v>
      </c>
      <c r="C222" t="s">
        <v>863</v>
      </c>
      <c r="D222" t="s">
        <v>909</v>
      </c>
      <c r="E222" s="302" t="s">
        <v>877</v>
      </c>
      <c r="I222" t="s">
        <v>11082</v>
      </c>
      <c r="J222" t="s">
        <v>11083</v>
      </c>
      <c r="K222" t="s">
        <v>11083</v>
      </c>
    </row>
    <row r="223" spans="1:11" ht="15" x14ac:dyDescent="0.25">
      <c r="A223" t="str">
        <f t="shared" si="3"/>
        <v>Instrukcja montażu</v>
      </c>
      <c r="B223" s="130" t="s">
        <v>801</v>
      </c>
      <c r="C223" t="s">
        <v>804</v>
      </c>
      <c r="D223" t="s">
        <v>802</v>
      </c>
      <c r="E223" s="299" t="s">
        <v>803</v>
      </c>
      <c r="I223" t="s">
        <v>11084</v>
      </c>
      <c r="J223" t="s">
        <v>11085</v>
      </c>
      <c r="K223" t="s">
        <v>11086</v>
      </c>
    </row>
    <row r="224" spans="1:11" ht="13.2" x14ac:dyDescent="0.25">
      <c r="A224" t="str">
        <f t="shared" si="3"/>
        <v>http://www.demos24plus.com/_Catalogs/pl/Kovani2014/index.html#488</v>
      </c>
      <c r="B224" s="130" t="s">
        <v>805</v>
      </c>
      <c r="C224" s="303" t="s">
        <v>806</v>
      </c>
      <c r="D224" s="303" t="s">
        <v>807</v>
      </c>
      <c r="E224" s="280" t="s">
        <v>808</v>
      </c>
      <c r="I224" t="s">
        <v>805</v>
      </c>
      <c r="J224" t="s">
        <v>805</v>
      </c>
      <c r="K224" t="s">
        <v>805</v>
      </c>
    </row>
    <row r="225" spans="1:11" ht="13.2" x14ac:dyDescent="0.25">
      <c r="A225" t="str">
        <f t="shared" si="3"/>
        <v>http://www.demos24plus.com/_Catalogs/pl/Kovani2014/index.html#484</v>
      </c>
      <c r="B225" s="130" t="s">
        <v>809</v>
      </c>
      <c r="C225" s="303" t="s">
        <v>810</v>
      </c>
      <c r="D225" s="303" t="s">
        <v>811</v>
      </c>
      <c r="E225" s="280" t="s">
        <v>812</v>
      </c>
      <c r="I225" t="s">
        <v>809</v>
      </c>
      <c r="J225" t="s">
        <v>809</v>
      </c>
      <c r="K225" t="s">
        <v>809</v>
      </c>
    </row>
    <row r="226" spans="1:11" ht="13.2" x14ac:dyDescent="0.25">
      <c r="A226" t="str">
        <f t="shared" si="3"/>
        <v>http://www.demos24plus.com/_Catalogs/pl/Kovani2014/index.html#472</v>
      </c>
      <c r="B226" s="304" t="s">
        <v>813</v>
      </c>
      <c r="C226" s="303" t="s">
        <v>814</v>
      </c>
      <c r="D226" s="303" t="s">
        <v>815</v>
      </c>
      <c r="E226" s="280" t="s">
        <v>816</v>
      </c>
      <c r="I226" t="s">
        <v>813</v>
      </c>
      <c r="J226" t="s">
        <v>813</v>
      </c>
      <c r="K226" t="s">
        <v>813</v>
      </c>
    </row>
    <row r="227" spans="1:11" ht="13.2" x14ac:dyDescent="0.25">
      <c r="A227" t="str">
        <f t="shared" si="3"/>
        <v> Jeśli wybrali Państwo 4 skrzydła, musicie wybrać również ilość przekryć (2 lub 3)</v>
      </c>
      <c r="B227" s="130" t="s">
        <v>830</v>
      </c>
      <c r="C227" t="s">
        <v>871</v>
      </c>
      <c r="D227" t="s">
        <v>910</v>
      </c>
      <c r="E227" s="302" t="s">
        <v>878</v>
      </c>
      <c r="I227" t="s">
        <v>11087</v>
      </c>
      <c r="J227" t="s">
        <v>11088</v>
      </c>
      <c r="K227" t="s">
        <v>11089</v>
      </c>
    </row>
    <row r="228" spans="1:11" ht="13.2" x14ac:dyDescent="0.25">
      <c r="A228" t="str">
        <f t="shared" si="3"/>
        <v> Tłumienie MINI do 25 kg (para)</v>
      </c>
      <c r="B228" s="130" t="s">
        <v>901</v>
      </c>
      <c r="C228" t="s">
        <v>902</v>
      </c>
      <c r="D228" t="s">
        <v>903</v>
      </c>
      <c r="E228" s="302" t="s">
        <v>936</v>
      </c>
      <c r="I228" t="s">
        <v>11090</v>
      </c>
      <c r="J228" t="s">
        <v>11091</v>
      </c>
      <c r="K228" t="s">
        <v>11092</v>
      </c>
    </row>
    <row r="229" spans="1:11" ht="13.2" x14ac:dyDescent="0.25">
      <c r="A229" t="str">
        <f t="shared" si="3"/>
        <v> Tłumienie MINI do 40 kg (para)</v>
      </c>
      <c r="B229" s="130" t="s">
        <v>831</v>
      </c>
      <c r="C229" t="s">
        <v>864</v>
      </c>
      <c r="D229" t="s">
        <v>911</v>
      </c>
      <c r="E229" s="302" t="s">
        <v>938</v>
      </c>
      <c r="I229" t="s">
        <v>11093</v>
      </c>
      <c r="J229" t="s">
        <v>11094</v>
      </c>
      <c r="K229" t="s">
        <v>11095</v>
      </c>
    </row>
    <row r="230" spans="1:11" ht="13.2" x14ac:dyDescent="0.25">
      <c r="A230" t="str">
        <f t="shared" si="3"/>
        <v> Tłumienie MINI do 60 kg (para)</v>
      </c>
      <c r="B230" s="130" t="s">
        <v>933</v>
      </c>
      <c r="C230" t="s">
        <v>934</v>
      </c>
      <c r="D230" t="s">
        <v>935</v>
      </c>
      <c r="E230" s="302" t="s">
        <v>937</v>
      </c>
      <c r="I230" t="s">
        <v>11096</v>
      </c>
      <c r="J230" t="s">
        <v>11097</v>
      </c>
      <c r="K230" t="s">
        <v>11098</v>
      </c>
    </row>
    <row r="231" spans="1:11" ht="13.2" x14ac:dyDescent="0.25">
      <c r="A231" t="str">
        <f t="shared" si="3"/>
        <v xml:space="preserve"> Tłumienie do skrzydła środkowego do 25 kg </v>
      </c>
      <c r="B231" s="130" t="s">
        <v>939</v>
      </c>
      <c r="C231" t="s">
        <v>940</v>
      </c>
      <c r="D231" t="s">
        <v>941</v>
      </c>
      <c r="E231" s="302" t="s">
        <v>942</v>
      </c>
      <c r="I231" t="s">
        <v>11099</v>
      </c>
      <c r="J231" t="s">
        <v>11100</v>
      </c>
      <c r="K231" t="s">
        <v>11101</v>
      </c>
    </row>
    <row r="232" spans="1:11" ht="13.2" x14ac:dyDescent="0.25">
      <c r="A232" t="str">
        <f t="shared" si="3"/>
        <v xml:space="preserve"> Tłumienie do skrzydła środkowego do 40 kg </v>
      </c>
      <c r="B232" s="130" t="s">
        <v>832</v>
      </c>
      <c r="C232" t="s">
        <v>865</v>
      </c>
      <c r="D232" t="s">
        <v>912</v>
      </c>
      <c r="E232" s="302" t="s">
        <v>879</v>
      </c>
      <c r="I232" t="s">
        <v>11102</v>
      </c>
      <c r="J232" t="s">
        <v>11103</v>
      </c>
      <c r="K232" t="s">
        <v>11104</v>
      </c>
    </row>
    <row r="233" spans="1:11" ht="13.2" x14ac:dyDescent="0.25">
      <c r="A233" t="str">
        <f t="shared" si="3"/>
        <v> Wzmocnienie – profil 3 m</v>
      </c>
      <c r="B233" s="130" t="s">
        <v>842</v>
      </c>
      <c r="C233" t="s">
        <v>866</v>
      </c>
      <c r="D233" t="s">
        <v>913</v>
      </c>
      <c r="E233" s="302" t="s">
        <v>880</v>
      </c>
      <c r="I233" t="s">
        <v>11105</v>
      </c>
      <c r="J233" t="s">
        <v>11106</v>
      </c>
      <c r="K233" t="s">
        <v>11107</v>
      </c>
    </row>
    <row r="234" spans="1:11" ht="13.2" x14ac:dyDescent="0.25">
      <c r="A234" t="str">
        <f t="shared" si="3"/>
        <v> Zaślepka otworu (4 szt. )</v>
      </c>
      <c r="B234" s="130" t="s">
        <v>843</v>
      </c>
      <c r="C234" t="s">
        <v>867</v>
      </c>
      <c r="D234" t="s">
        <v>914</v>
      </c>
      <c r="E234" s="302" t="s">
        <v>881</v>
      </c>
      <c r="I234" t="s">
        <v>11108</v>
      </c>
      <c r="J234" t="s">
        <v>11109</v>
      </c>
      <c r="K234" t="s">
        <v>11110</v>
      </c>
    </row>
    <row r="235" spans="1:11" ht="13.2" x14ac:dyDescent="0.25">
      <c r="A235" t="str">
        <f t="shared" si="3"/>
        <v> Maksymalna szerokość skrzydła może wynosić 1 100 mm !!!!!</v>
      </c>
      <c r="B235" s="130" t="s">
        <v>844</v>
      </c>
      <c r="C235" t="s">
        <v>6707</v>
      </c>
      <c r="D235" t="s">
        <v>915</v>
      </c>
      <c r="E235" s="302" t="s">
        <v>882</v>
      </c>
      <c r="I235" t="s">
        <v>11111</v>
      </c>
      <c r="J235" t="s">
        <v>11112</v>
      </c>
      <c r="K235" t="s">
        <v>11113</v>
      </c>
    </row>
    <row r="236" spans="1:11" ht="13.2" x14ac:dyDescent="0.25">
      <c r="A236" t="str">
        <f t="shared" si="3"/>
        <v>Uchwyt naklejany, biały połysk</v>
      </c>
      <c r="B236" s="130" t="s">
        <v>958</v>
      </c>
      <c r="C236" t="s">
        <v>959</v>
      </c>
      <c r="D236" t="s">
        <v>960</v>
      </c>
      <c r="E236" s="302" t="s">
        <v>961</v>
      </c>
      <c r="I236" t="s">
        <v>11114</v>
      </c>
      <c r="J236" t="s">
        <v>11115</v>
      </c>
      <c r="K236" t="s">
        <v>11116</v>
      </c>
    </row>
    <row r="237" spans="1:11" ht="13.2" x14ac:dyDescent="0.25">
      <c r="A237" t="str">
        <f t="shared" si="3"/>
        <v> Uchwyt naklejany, srebrny</v>
      </c>
      <c r="B237" s="130" t="s">
        <v>845</v>
      </c>
      <c r="C237" t="s">
        <v>868</v>
      </c>
      <c r="D237" t="s">
        <v>916</v>
      </c>
      <c r="E237" s="302" t="s">
        <v>883</v>
      </c>
      <c r="I237" t="s">
        <v>11117</v>
      </c>
      <c r="J237" t="s">
        <v>11118</v>
      </c>
      <c r="K237" t="s">
        <v>11119</v>
      </c>
    </row>
    <row r="238" spans="1:11" ht="13.2" x14ac:dyDescent="0.25">
      <c r="A238" t="str">
        <f t="shared" si="3"/>
        <v> Folia do dekorowania profili (naklejana)</v>
      </c>
      <c r="B238" s="130" t="s">
        <v>847</v>
      </c>
      <c r="C238" t="s">
        <v>869</v>
      </c>
      <c r="D238" t="s">
        <v>917</v>
      </c>
      <c r="E238" s="302" t="s">
        <v>884</v>
      </c>
      <c r="I238" t="s">
        <v>11120</v>
      </c>
      <c r="J238" t="s">
        <v>11121</v>
      </c>
      <c r="K238" t="s">
        <v>11122</v>
      </c>
    </row>
    <row r="239" spans="1:11" ht="13.2" x14ac:dyDescent="0.25">
      <c r="A239" t="str">
        <f t="shared" si="3"/>
        <v> w tym kolorze i długości dany profil nie jest produkowany</v>
      </c>
      <c r="B239" s="130" t="s">
        <v>848</v>
      </c>
      <c r="C239" t="s">
        <v>870</v>
      </c>
      <c r="D239" t="s">
        <v>918</v>
      </c>
      <c r="E239" s="302" t="s">
        <v>885</v>
      </c>
      <c r="I239" t="s">
        <v>11123</v>
      </c>
      <c r="J239" t="s">
        <v>11124</v>
      </c>
      <c r="K239" t="s">
        <v>11125</v>
      </c>
    </row>
    <row r="240" spans="1:11" ht="13.2" x14ac:dyDescent="0.25">
      <c r="A240" t="str">
        <f t="shared" si="3"/>
        <v>zamek do drzwi przesuwnych</v>
      </c>
      <c r="B240" s="130" t="s">
        <v>976</v>
      </c>
      <c r="C240" t="s">
        <v>1030</v>
      </c>
      <c r="D240" t="s">
        <v>1033</v>
      </c>
      <c r="E240" t="s">
        <v>1034</v>
      </c>
      <c r="I240" t="s">
        <v>11126</v>
      </c>
      <c r="J240" t="s">
        <v>11127</v>
      </c>
      <c r="K240" t="s">
        <v>11128</v>
      </c>
    </row>
    <row r="241" spans="1:11" ht="13.2" x14ac:dyDescent="0.25">
      <c r="A241" t="str">
        <f t="shared" si="3"/>
        <v>zacisk do dylatacji wypełnienia 16 mm</v>
      </c>
      <c r="B241" s="130" t="s">
        <v>979</v>
      </c>
      <c r="C241" t="s">
        <v>1031</v>
      </c>
      <c r="D241" t="s">
        <v>1032</v>
      </c>
      <c r="E241" t="s">
        <v>1035</v>
      </c>
      <c r="I241" t="s">
        <v>11129</v>
      </c>
      <c r="J241" t="s">
        <v>11130</v>
      </c>
      <c r="K241" t="s">
        <v>11131</v>
      </c>
    </row>
    <row r="242" spans="1:11" ht="13.2" x14ac:dyDescent="0.25">
      <c r="A242" t="str">
        <f t="shared" si="3"/>
        <v>dylatacja 4 mm</v>
      </c>
      <c r="B242" s="130" t="s">
        <v>989</v>
      </c>
      <c r="C242" t="s">
        <v>1040</v>
      </c>
      <c r="D242" t="s">
        <v>1041</v>
      </c>
      <c r="E242" t="s">
        <v>1036</v>
      </c>
      <c r="I242" t="s">
        <v>11132</v>
      </c>
      <c r="J242" t="s">
        <v>11133</v>
      </c>
      <c r="K242" t="s">
        <v>11134</v>
      </c>
    </row>
    <row r="243" spans="1:11" ht="13.2" x14ac:dyDescent="0.25">
      <c r="A243" t="str">
        <f t="shared" si="3"/>
        <v>Katalog Okuć meblowych 2024 str.</v>
      </c>
      <c r="B243" s="130" t="s">
        <v>6581</v>
      </c>
      <c r="C243" t="s">
        <v>6582</v>
      </c>
      <c r="D243" t="s">
        <v>6583</v>
      </c>
      <c r="E243" t="s">
        <v>6584</v>
      </c>
      <c r="I243" t="s">
        <v>11135</v>
      </c>
      <c r="J243" t="s">
        <v>11136</v>
      </c>
      <c r="K243" t="s">
        <v>11137</v>
      </c>
    </row>
    <row r="244" spans="1:11" ht="13.2" x14ac:dyDescent="0.25">
      <c r="A244" t="str">
        <f t="shared" si="3"/>
        <v>rysunek techniczny tego systemu</v>
      </c>
      <c r="B244" s="130" t="s">
        <v>1006</v>
      </c>
      <c r="C244" t="s">
        <v>1021</v>
      </c>
      <c r="D244" t="s">
        <v>1006</v>
      </c>
      <c r="E244" t="s">
        <v>1037</v>
      </c>
      <c r="I244" t="s">
        <v>11138</v>
      </c>
      <c r="J244" t="s">
        <v>11139</v>
      </c>
      <c r="K244" t="s">
        <v>11140</v>
      </c>
    </row>
    <row r="245" spans="1:11" ht="13.2" x14ac:dyDescent="0.25">
      <c r="A245" t="str">
        <f t="shared" si="3"/>
        <v>!!!! W przypadku zastosowania tłumienia centralnego należy zmniejszyć wysokość skrzydła (ale jedynie tego skrzydła, gdzie znajduje się tłumienie) o kolejne 2 mm !!!</v>
      </c>
      <c r="B245" s="130" t="s">
        <v>1007</v>
      </c>
      <c r="C245" t="s">
        <v>1022</v>
      </c>
      <c r="D245" t="s">
        <v>1038</v>
      </c>
      <c r="E245" t="s">
        <v>1023</v>
      </c>
      <c r="I245" t="s">
        <v>11141</v>
      </c>
      <c r="J245" t="s">
        <v>11142</v>
      </c>
      <c r="K245" t="s">
        <v>11143</v>
      </c>
    </row>
    <row r="246" spans="1:11" ht="13.2" x14ac:dyDescent="0.25">
      <c r="A246" t="str">
        <f t="shared" si="3"/>
        <v>!!!! W przypadku zastosowania tłumienia centralnego należy zmniejszyć wysokość skrzydła (ale jedynie tego skrzydła, gdzie znajduje się tłumienie) o kolejne 4 mm !!!</v>
      </c>
      <c r="B246" s="130" t="s">
        <v>1008</v>
      </c>
      <c r="C246" t="s">
        <v>1024</v>
      </c>
      <c r="D246" t="s">
        <v>1042</v>
      </c>
      <c r="E246" t="s">
        <v>1025</v>
      </c>
      <c r="I246" t="s">
        <v>11144</v>
      </c>
      <c r="J246" t="s">
        <v>11145</v>
      </c>
      <c r="K246" t="s">
        <v>11146</v>
      </c>
    </row>
    <row r="247" spans="1:11" ht="13.2" x14ac:dyDescent="0.25">
      <c r="A247" t="str">
        <f t="shared" si="3"/>
        <v>!!!! W przypadku zastosowania tłumienia MINI SV należy zmniejszyć wysokość skrzydła o kolejne 4 mm !!!</v>
      </c>
      <c r="B247" s="130" t="s">
        <v>1009</v>
      </c>
      <c r="C247" t="s">
        <v>1026</v>
      </c>
      <c r="D247" t="s">
        <v>1039</v>
      </c>
      <c r="E247" t="s">
        <v>1027</v>
      </c>
      <c r="I247" t="s">
        <v>11147</v>
      </c>
      <c r="J247" t="s">
        <v>11148</v>
      </c>
      <c r="K247" t="s">
        <v>11149</v>
      </c>
    </row>
    <row r="248" spans="1:11" ht="13.2" x14ac:dyDescent="0.25">
      <c r="A248" t="str">
        <f t="shared" si="3"/>
        <v>!!!! W przypadku zastosowania tłumienia centralnego należy zmniejszyć wysokość skrzydła (ale jedynie tego skrzydła, gdzie znajduje się tłumienie) o kolejne 9 mm !!!</v>
      </c>
      <c r="B248" s="130" t="s">
        <v>1010</v>
      </c>
      <c r="C248" t="s">
        <v>1028</v>
      </c>
      <c r="D248" t="s">
        <v>1043</v>
      </c>
      <c r="E248" t="s">
        <v>1029</v>
      </c>
      <c r="I248" t="s">
        <v>11150</v>
      </c>
      <c r="J248" t="s">
        <v>11151</v>
      </c>
      <c r="K248" t="s">
        <v>11152</v>
      </c>
    </row>
    <row r="249" spans="1:11" ht="13.2" x14ac:dyDescent="0.25">
      <c r="A249" t="str">
        <f t="shared" si="3"/>
        <v>!!!! W przypadku zastosowania tłumienia centralnego należy zmniejszyć wysokość skrzydła (ale jedynie tego skrzydła, gdzie znajduje się tłumienie) o kolejne 4 mm !!!</v>
      </c>
      <c r="B249" s="130" t="s">
        <v>1007</v>
      </c>
      <c r="C249" t="s">
        <v>1024</v>
      </c>
      <c r="D249" t="s">
        <v>1262</v>
      </c>
      <c r="E249" t="s">
        <v>1025</v>
      </c>
      <c r="I249" t="s">
        <v>11141</v>
      </c>
      <c r="J249" t="s">
        <v>11142</v>
      </c>
      <c r="K249" t="s">
        <v>11143</v>
      </c>
    </row>
    <row r="250" spans="1:11" x14ac:dyDescent="0.3">
      <c r="A250" t="str">
        <f t="shared" si="3"/>
        <v>Na zamówienie</v>
      </c>
      <c r="B250" s="130" t="s">
        <v>2621</v>
      </c>
      <c r="C250" t="s">
        <v>2623</v>
      </c>
      <c r="D250" t="s">
        <v>2621</v>
      </c>
      <c r="E250" s="136" t="s">
        <v>2622</v>
      </c>
      <c r="I250" t="s">
        <v>11153</v>
      </c>
      <c r="J250" t="s">
        <v>11154</v>
      </c>
      <c r="K250" t="s">
        <v>11155</v>
      </c>
    </row>
    <row r="251" spans="1:11" x14ac:dyDescent="0.3">
      <c r="A251" t="str">
        <f t="shared" si="3"/>
        <v>profil łączący H18-3metry</v>
      </c>
      <c r="B251" s="130" t="s">
        <v>230</v>
      </c>
      <c r="C251" t="s">
        <v>3547</v>
      </c>
      <c r="D251" t="s">
        <v>330</v>
      </c>
      <c r="E251" s="136" t="s">
        <v>443</v>
      </c>
      <c r="I251" t="s">
        <v>10810</v>
      </c>
      <c r="J251" t="s">
        <v>10811</v>
      </c>
      <c r="K251" t="s">
        <v>10812</v>
      </c>
    </row>
    <row r="252" spans="1:11" x14ac:dyDescent="0.3">
      <c r="A252" t="str">
        <f t="shared" si="3"/>
        <v>profil łączący H25-3metry</v>
      </c>
      <c r="B252" s="130" t="s">
        <v>3548</v>
      </c>
      <c r="C252" t="s">
        <v>3549</v>
      </c>
      <c r="D252" t="s">
        <v>3550</v>
      </c>
      <c r="E252" s="136" t="s">
        <v>3551</v>
      </c>
      <c r="I252" t="s">
        <v>11156</v>
      </c>
      <c r="J252" t="s">
        <v>11157</v>
      </c>
      <c r="K252" t="s">
        <v>11158</v>
      </c>
    </row>
    <row r="253" spans="1:11" ht="14.4" x14ac:dyDescent="0.3">
      <c r="A253" t="str">
        <f t="shared" si="3"/>
        <v>system GM 18 (kombinacja PW 18 mm i szkła) (bezramowe)</v>
      </c>
      <c r="B253" s="130" t="s">
        <v>6539</v>
      </c>
      <c r="C253" t="s">
        <v>6540</v>
      </c>
      <c r="D253" t="s">
        <v>6541</v>
      </c>
      <c r="E253" s="289" t="s">
        <v>6542</v>
      </c>
      <c r="I253" t="s">
        <v>11159</v>
      </c>
      <c r="J253" t="s">
        <v>11160</v>
      </c>
      <c r="K253" t="s">
        <v>11161</v>
      </c>
    </row>
    <row r="254" spans="1:11" x14ac:dyDescent="0.3">
      <c r="A254" t="str">
        <f t="shared" si="3"/>
        <v>Prosper GM (ramowe)</v>
      </c>
      <c r="B254" s="130" t="s">
        <v>6549</v>
      </c>
      <c r="C254" t="s">
        <v>6556</v>
      </c>
      <c r="D254" t="s">
        <v>6549</v>
      </c>
      <c r="E254" s="136" t="s">
        <v>6569</v>
      </c>
      <c r="I254" t="s">
        <v>11162</v>
      </c>
      <c r="J254" t="s">
        <v>11163</v>
      </c>
      <c r="K254" t="s">
        <v>11164</v>
      </c>
    </row>
    <row r="255" spans="1:11" x14ac:dyDescent="0.3">
      <c r="A255" t="str">
        <f t="shared" si="3"/>
        <v>Prosper GM (bezramowe)</v>
      </c>
      <c r="B255" s="130" t="s">
        <v>6550</v>
      </c>
      <c r="C255" t="s">
        <v>6557</v>
      </c>
      <c r="D255" t="s">
        <v>6565</v>
      </c>
      <c r="E255" s="136" t="s">
        <v>6570</v>
      </c>
      <c r="I255" t="s">
        <v>11165</v>
      </c>
      <c r="J255" t="s">
        <v>11166</v>
      </c>
      <c r="K255" t="s">
        <v>11167</v>
      </c>
    </row>
    <row r="256" spans="1:11" x14ac:dyDescent="0.3">
      <c r="A256" t="str">
        <f t="shared" si="3"/>
        <v>Porto GM (ramowe)</v>
      </c>
      <c r="B256" s="130" t="s">
        <v>6551</v>
      </c>
      <c r="C256" t="s">
        <v>6558</v>
      </c>
      <c r="D256" t="s">
        <v>6551</v>
      </c>
      <c r="E256" s="136" t="s">
        <v>6571</v>
      </c>
      <c r="I256" t="s">
        <v>11168</v>
      </c>
      <c r="J256" t="s">
        <v>11169</v>
      </c>
      <c r="K256" t="s">
        <v>11170</v>
      </c>
    </row>
    <row r="257" spans="1:11" x14ac:dyDescent="0.3">
      <c r="A257" t="str">
        <f t="shared" si="3"/>
        <v>Porto GM (bezramowe)</v>
      </c>
      <c r="B257" s="130" t="s">
        <v>6552</v>
      </c>
      <c r="C257" t="s">
        <v>6559</v>
      </c>
      <c r="D257" t="s">
        <v>6566</v>
      </c>
      <c r="E257" s="136" t="s">
        <v>6572</v>
      </c>
      <c r="I257" t="s">
        <v>11171</v>
      </c>
      <c r="J257" t="s">
        <v>11172</v>
      </c>
      <c r="K257" t="s">
        <v>11173</v>
      </c>
    </row>
    <row r="258" spans="1:11" x14ac:dyDescent="0.3">
      <c r="A258" t="str">
        <f t="shared" si="3"/>
        <v>Era (ramowe)</v>
      </c>
      <c r="B258" s="130" t="s">
        <v>6553</v>
      </c>
      <c r="C258" t="s">
        <v>6560</v>
      </c>
      <c r="D258" t="s">
        <v>6553</v>
      </c>
      <c r="E258" s="136" t="s">
        <v>6573</v>
      </c>
      <c r="I258" t="s">
        <v>11174</v>
      </c>
      <c r="J258" t="s">
        <v>11175</v>
      </c>
      <c r="K258" t="s">
        <v>11176</v>
      </c>
    </row>
    <row r="259" spans="1:11" x14ac:dyDescent="0.3">
      <c r="A259" t="str">
        <f t="shared" ref="A259:A276" si="4">IF($G$1=1,B259,IF($G$1=2,D259,IF($G$1=3,E259,IF($G$1=4,C259,IF($G$1=5,I259,IF($G$1=6,J259,IF($G$1=7,K259,"zadat jazyk")))))))</f>
        <v>Era (bezramowe)</v>
      </c>
      <c r="B259" s="130" t="s">
        <v>6554</v>
      </c>
      <c r="C259" t="s">
        <v>6561</v>
      </c>
      <c r="D259" t="s">
        <v>6567</v>
      </c>
      <c r="E259" s="136" t="s">
        <v>6574</v>
      </c>
      <c r="I259" t="s">
        <v>11177</v>
      </c>
      <c r="J259" t="s">
        <v>11178</v>
      </c>
      <c r="K259" t="s">
        <v>11179</v>
      </c>
    </row>
    <row r="260" spans="1:11" x14ac:dyDescent="0.3">
      <c r="A260" t="str">
        <f t="shared" si="4"/>
        <v>Rekord (ramowe)</v>
      </c>
      <c r="B260" s="130" t="s">
        <v>899</v>
      </c>
      <c r="C260" t="s">
        <v>6562</v>
      </c>
      <c r="D260" t="s">
        <v>899</v>
      </c>
      <c r="E260" s="136" t="s">
        <v>6575</v>
      </c>
      <c r="I260" t="s">
        <v>11180</v>
      </c>
      <c r="J260" t="s">
        <v>11181</v>
      </c>
      <c r="K260" t="s">
        <v>11182</v>
      </c>
    </row>
    <row r="261" spans="1:11" x14ac:dyDescent="0.3">
      <c r="A261" t="str">
        <f t="shared" si="4"/>
        <v>Rekord (bezramowe)</v>
      </c>
      <c r="B261" s="130" t="s">
        <v>904</v>
      </c>
      <c r="C261" t="s">
        <v>6563</v>
      </c>
      <c r="D261" t="s">
        <v>6568</v>
      </c>
      <c r="E261" s="136" t="s">
        <v>6576</v>
      </c>
      <c r="I261" t="s">
        <v>11183</v>
      </c>
      <c r="J261" t="s">
        <v>11184</v>
      </c>
      <c r="K261" t="s">
        <v>11185</v>
      </c>
    </row>
    <row r="262" spans="1:11" x14ac:dyDescent="0.3">
      <c r="A262" t="str">
        <f t="shared" si="4"/>
        <v>Arte (ramowe)</v>
      </c>
      <c r="B262" s="130" t="s">
        <v>6555</v>
      </c>
      <c r="C262" t="s">
        <v>6564</v>
      </c>
      <c r="D262" t="s">
        <v>6555</v>
      </c>
      <c r="E262" s="136" t="s">
        <v>6577</v>
      </c>
      <c r="I262" t="s">
        <v>11186</v>
      </c>
      <c r="J262" t="s">
        <v>11187</v>
      </c>
      <c r="K262" t="s">
        <v>11188</v>
      </c>
    </row>
    <row r="263" spans="1:11" x14ac:dyDescent="0.3">
      <c r="A263" t="str">
        <f t="shared" si="4"/>
        <v>Arte (bezramowe)</v>
      </c>
      <c r="B263" s="130" t="s">
        <v>6545</v>
      </c>
      <c r="C263" t="s">
        <v>6546</v>
      </c>
      <c r="D263" t="s">
        <v>6547</v>
      </c>
      <c r="E263" s="136" t="s">
        <v>6548</v>
      </c>
      <c r="I263" t="s">
        <v>11189</v>
      </c>
      <c r="J263" t="s">
        <v>11190</v>
      </c>
      <c r="K263" t="s">
        <v>11191</v>
      </c>
    </row>
    <row r="264" spans="1:11" x14ac:dyDescent="0.3">
      <c r="A264" t="str">
        <f t="shared" si="4"/>
        <v>czarny lakier strukturalny</v>
      </c>
      <c r="B264" s="130" t="s">
        <v>6703</v>
      </c>
      <c r="C264" t="s">
        <v>6704</v>
      </c>
      <c r="D264" t="s">
        <v>6706</v>
      </c>
      <c r="E264" s="136" t="s">
        <v>6705</v>
      </c>
      <c r="I264" t="s">
        <v>11192</v>
      </c>
      <c r="J264" t="s">
        <v>10515</v>
      </c>
      <c r="K264" t="s">
        <v>10513</v>
      </c>
    </row>
    <row r="265" spans="1:11" ht="13.2" x14ac:dyDescent="0.25">
      <c r="A265" t="str">
        <f t="shared" si="4"/>
        <v>profil łączący H08/18 - 3metry</v>
      </c>
      <c r="B265" s="130" t="s">
        <v>6726</v>
      </c>
      <c r="C265" s="130" t="s">
        <v>6727</v>
      </c>
      <c r="D265" s="130" t="s">
        <v>6728</v>
      </c>
      <c r="E265" s="130" t="s">
        <v>6729</v>
      </c>
      <c r="I265" t="s">
        <v>11193</v>
      </c>
      <c r="J265" t="s">
        <v>11194</v>
      </c>
      <c r="K265" t="s">
        <v>11195</v>
      </c>
    </row>
    <row r="266" spans="1:11" x14ac:dyDescent="0.3">
      <c r="A266">
        <f t="shared" si="4"/>
        <v>0</v>
      </c>
    </row>
    <row r="267" spans="1:11" x14ac:dyDescent="0.3">
      <c r="A267" t="str">
        <f t="shared" si="4"/>
        <v>Alfa II rączka 100mm czarny mat</v>
      </c>
      <c r="B267" s="130" t="s">
        <v>8808</v>
      </c>
      <c r="C267" t="s">
        <v>8793</v>
      </c>
      <c r="D267" t="s">
        <v>8816</v>
      </c>
      <c r="E267" s="136" t="s">
        <v>8794</v>
      </c>
      <c r="I267" t="s">
        <v>10457</v>
      </c>
      <c r="J267" t="s">
        <v>10458</v>
      </c>
      <c r="K267" t="s">
        <v>10461</v>
      </c>
    </row>
    <row r="268" spans="1:11" x14ac:dyDescent="0.3">
      <c r="A268" t="str">
        <f t="shared" si="4"/>
        <v>Faworyt II rączka 100 mm, biała matowa</v>
      </c>
      <c r="B268" s="130" t="s">
        <v>8809</v>
      </c>
      <c r="C268" t="s">
        <v>8795</v>
      </c>
      <c r="D268" t="s">
        <v>8796</v>
      </c>
      <c r="E268" s="136" t="s">
        <v>8821</v>
      </c>
      <c r="I268" t="s">
        <v>10459</v>
      </c>
      <c r="J268" t="s">
        <v>10463</v>
      </c>
      <c r="K268" t="s">
        <v>10460</v>
      </c>
    </row>
    <row r="269" spans="1:11" x14ac:dyDescent="0.3">
      <c r="A269" t="str">
        <f t="shared" si="4"/>
        <v>Fox II rączka 100mm czarny połysk</v>
      </c>
      <c r="B269" s="130" t="s">
        <v>8810</v>
      </c>
      <c r="C269" t="s">
        <v>8797</v>
      </c>
      <c r="D269" t="s">
        <v>8817</v>
      </c>
      <c r="E269" s="136" t="s">
        <v>8822</v>
      </c>
      <c r="I269" t="s">
        <v>10462</v>
      </c>
      <c r="J269" t="s">
        <v>10464</v>
      </c>
      <c r="K269" t="s">
        <v>10465</v>
      </c>
    </row>
    <row r="270" spans="1:11" x14ac:dyDescent="0.3">
      <c r="A270" t="str">
        <f t="shared" si="4"/>
        <v>Vitara rączka 100mm srebrna</v>
      </c>
      <c r="B270" s="130" t="s">
        <v>8811</v>
      </c>
      <c r="C270" t="s">
        <v>8798</v>
      </c>
      <c r="D270" s="130" t="s">
        <v>8818</v>
      </c>
      <c r="E270" s="136" t="s">
        <v>8823</v>
      </c>
      <c r="I270" t="s">
        <v>10466</v>
      </c>
      <c r="J270" t="s">
        <v>10470</v>
      </c>
      <c r="K270" t="s">
        <v>10467</v>
      </c>
    </row>
    <row r="271" spans="1:11" x14ac:dyDescent="0.3">
      <c r="A271" t="str">
        <f t="shared" si="4"/>
        <v>Lynx rączka 100mm oliva</v>
      </c>
      <c r="B271" s="130" t="s">
        <v>8812</v>
      </c>
      <c r="C271" t="s">
        <v>8799</v>
      </c>
      <c r="D271" s="130" t="s">
        <v>8812</v>
      </c>
      <c r="E271" s="136" t="s">
        <v>8824</v>
      </c>
      <c r="I271" t="s">
        <v>10468</v>
      </c>
      <c r="J271" t="s">
        <v>10469</v>
      </c>
      <c r="K271" t="s">
        <v>10471</v>
      </c>
    </row>
    <row r="272" spans="1:11" x14ac:dyDescent="0.3">
      <c r="A272" t="str">
        <f t="shared" si="4"/>
        <v>Alfa II rączka 100mm grafit</v>
      </c>
      <c r="B272" s="130" t="s">
        <v>8813</v>
      </c>
      <c r="C272" t="s">
        <v>8800</v>
      </c>
      <c r="D272" t="s">
        <v>8819</v>
      </c>
      <c r="E272" s="136" t="s">
        <v>8801</v>
      </c>
      <c r="I272" t="s">
        <v>10457</v>
      </c>
      <c r="J272" t="s">
        <v>10477</v>
      </c>
      <c r="K272" t="s">
        <v>10461</v>
      </c>
    </row>
    <row r="273" spans="1:11" x14ac:dyDescent="0.3">
      <c r="A273" t="str">
        <f t="shared" si="4"/>
        <v>Victoria II rączka 100mm  oliwka ciemna szczotkowana</v>
      </c>
      <c r="B273" s="130" t="s">
        <v>8814</v>
      </c>
      <c r="C273" t="s">
        <v>8802</v>
      </c>
      <c r="D273" s="130" t="s">
        <v>8814</v>
      </c>
      <c r="E273" s="136" t="s">
        <v>8825</v>
      </c>
      <c r="I273" t="s">
        <v>10472</v>
      </c>
      <c r="J273" t="s">
        <v>10474</v>
      </c>
      <c r="K273" t="s">
        <v>10473</v>
      </c>
    </row>
    <row r="274" spans="1:11" x14ac:dyDescent="0.3">
      <c r="A274" t="str">
        <f t="shared" si="4"/>
        <v>Alfa II rączka 100mm czarny lakier strukturalny</v>
      </c>
      <c r="B274" s="130" t="s">
        <v>8815</v>
      </c>
      <c r="C274" t="s">
        <v>8792</v>
      </c>
      <c r="D274" t="s">
        <v>8820</v>
      </c>
      <c r="E274" s="136" t="s">
        <v>8803</v>
      </c>
      <c r="I274" t="s">
        <v>10457</v>
      </c>
      <c r="J274" t="s">
        <v>10476</v>
      </c>
      <c r="K274" t="s">
        <v>10461</v>
      </c>
    </row>
    <row r="275" spans="1:11" x14ac:dyDescent="0.3">
      <c r="A275" t="str">
        <f t="shared" si="4"/>
        <v>Male probki profilowe</v>
      </c>
      <c r="B275" s="130" t="s">
        <v>8804</v>
      </c>
      <c r="C275" t="s">
        <v>8806</v>
      </c>
      <c r="D275" t="s">
        <v>8807</v>
      </c>
      <c r="E275" s="136" t="s">
        <v>8805</v>
      </c>
      <c r="I275" t="s">
        <v>11196</v>
      </c>
      <c r="J275" t="s">
        <v>10475</v>
      </c>
      <c r="K275" t="s">
        <v>10478</v>
      </c>
    </row>
    <row r="276" spans="1:11" x14ac:dyDescent="0.3">
      <c r="A276" t="str">
        <f t="shared" si="4"/>
        <v>kod</v>
      </c>
      <c r="B276" s="130" t="s">
        <v>3</v>
      </c>
      <c r="C276" s="130" t="s">
        <v>3</v>
      </c>
      <c r="D276" s="130" t="s">
        <v>3</v>
      </c>
      <c r="E276" s="136" t="s">
        <v>19</v>
      </c>
      <c r="I276" t="s">
        <v>11199</v>
      </c>
      <c r="J276" t="s">
        <v>11198</v>
      </c>
      <c r="K276" t="s">
        <v>11210</v>
      </c>
    </row>
    <row r="277" spans="1:11" ht="14.4" x14ac:dyDescent="0.25">
      <c r="D277" s="574">
        <v>462140</v>
      </c>
      <c r="E277" s="130" t="str">
        <f>A267</f>
        <v>Alfa II rączka 100mm czarny mat</v>
      </c>
    </row>
    <row r="278" spans="1:11" ht="14.4" x14ac:dyDescent="0.25">
      <c r="D278" s="574">
        <v>462141</v>
      </c>
      <c r="E278" s="130" t="str">
        <f t="shared" ref="E278:E280" si="5">A268</f>
        <v>Faworyt II rączka 100 mm, biała matowa</v>
      </c>
    </row>
    <row r="279" spans="1:11" ht="14.4" x14ac:dyDescent="0.25">
      <c r="D279" s="574">
        <v>462142</v>
      </c>
      <c r="E279" s="130" t="str">
        <f t="shared" si="5"/>
        <v>Fox II rączka 100mm czarny połysk</v>
      </c>
    </row>
    <row r="280" spans="1:11" ht="14.4" x14ac:dyDescent="0.25">
      <c r="D280" s="574">
        <v>462153</v>
      </c>
      <c r="E280" s="130" t="str">
        <f t="shared" si="5"/>
        <v>Vitara rączka 100mm srebrna</v>
      </c>
    </row>
    <row r="281" spans="1:11" ht="14.4" x14ac:dyDescent="0.25">
      <c r="D281" s="574">
        <v>495479</v>
      </c>
      <c r="E281" s="130" t="str">
        <f>$A$272</f>
        <v>Alfa II rączka 100mm grafit</v>
      </c>
    </row>
    <row r="282" spans="1:11" ht="14.4" x14ac:dyDescent="0.25">
      <c r="D282" s="574">
        <v>524036</v>
      </c>
      <c r="E282" s="130" t="str">
        <f>$A$273</f>
        <v>Victoria II rączka 100mm  oliwka ciemna szczotkowana</v>
      </c>
    </row>
    <row r="283" spans="1:11" ht="14.4" x14ac:dyDescent="0.3">
      <c r="D283" s="575">
        <v>526554</v>
      </c>
      <c r="E283" s="130" t="str">
        <f>$A$274</f>
        <v>Alfa II rączka 100mm czarny lakier strukturalny</v>
      </c>
    </row>
    <row r="284" spans="1:11" ht="14.4" x14ac:dyDescent="0.3">
      <c r="D284" s="614" t="s">
        <v>11410</v>
      </c>
      <c r="E284" s="130" t="str">
        <f>A288</f>
        <v>Alfa II rączka 100mm złoty/mosiądz</v>
      </c>
    </row>
    <row r="285" spans="1:11" ht="14.4" x14ac:dyDescent="0.3">
      <c r="D285" s="614" t="s">
        <v>11411</v>
      </c>
      <c r="E285" s="130" t="str">
        <f>A289</f>
        <v>Tytan rączka 100mm 18mm oliwka</v>
      </c>
    </row>
    <row r="287" spans="1:11" ht="14.4" x14ac:dyDescent="0.3">
      <c r="D287" s="572"/>
      <c r="E287" s="572"/>
      <c r="F287" s="572"/>
      <c r="G287" s="572"/>
      <c r="H287" s="572"/>
    </row>
    <row r="288" spans="1:11" ht="13.2" x14ac:dyDescent="0.25">
      <c r="A288" t="str">
        <f t="shared" ref="A288:A289" si="6">IF($G$1=1,B288,IF($G$1=2,D288,IF($G$1=3,E288,IF($G$1=4,C288,IF($G$1=5,I288,IF($G$1=6,J288,IF($G$1=7,K288,"zadat jazyk")))))))</f>
        <v>Alfa II rączka 100mm złoty/mosiądz</v>
      </c>
      <c r="B288" s="613" t="s">
        <v>11420</v>
      </c>
      <c r="C288" s="613" t="s">
        <v>11412</v>
      </c>
      <c r="D288" s="613" t="s">
        <v>11414</v>
      </c>
      <c r="E288" s="613" t="s">
        <v>11422</v>
      </c>
      <c r="I288" s="613" t="s">
        <v>11417</v>
      </c>
      <c r="J288" s="613" t="s">
        <v>11423</v>
      </c>
    </row>
    <row r="289" spans="1:10" ht="13.2" x14ac:dyDescent="0.25">
      <c r="A289" t="str">
        <f t="shared" si="6"/>
        <v>Tytan rączka 100mm 18mm oliwka</v>
      </c>
      <c r="B289" s="613" t="s">
        <v>11421</v>
      </c>
      <c r="C289" s="613" t="s">
        <v>11413</v>
      </c>
      <c r="D289" s="613" t="s">
        <v>11415</v>
      </c>
      <c r="E289" s="613" t="s">
        <v>11416</v>
      </c>
      <c r="I289" s="613" t="s">
        <v>11418</v>
      </c>
      <c r="J289" s="613" t="s">
        <v>11419</v>
      </c>
    </row>
    <row r="290" spans="1:10" ht="14.4" x14ac:dyDescent="0.3">
      <c r="D290" s="573"/>
      <c r="E290" s="572"/>
      <c r="G290" s="572"/>
    </row>
    <row r="291" spans="1:10" ht="14.4" x14ac:dyDescent="0.3">
      <c r="D291" s="573"/>
      <c r="E291" s="572"/>
      <c r="G291" s="572"/>
    </row>
    <row r="292" spans="1:10" ht="14.4" x14ac:dyDescent="0.3">
      <c r="D292" s="573"/>
      <c r="E292" s="572"/>
      <c r="G292" s="572"/>
    </row>
    <row r="293" spans="1:10" ht="14.4" x14ac:dyDescent="0.3">
      <c r="D293" s="573"/>
      <c r="E293" s="572"/>
      <c r="G293" s="572"/>
    </row>
    <row r="294" spans="1:10" ht="14.4" x14ac:dyDescent="0.3">
      <c r="D294" s="573"/>
      <c r="E294" s="572"/>
      <c r="G294" s="572"/>
    </row>
    <row r="295" spans="1:10" ht="14.4" x14ac:dyDescent="0.3">
      <c r="D295" s="573"/>
      <c r="E295" s="572"/>
      <c r="G295" s="572"/>
    </row>
    <row r="296" spans="1:10" ht="14.4" x14ac:dyDescent="0.3">
      <c r="D296" s="573"/>
      <c r="E296" s="572"/>
      <c r="G296" s="572"/>
    </row>
    <row r="297" spans="1:10" ht="14.4" x14ac:dyDescent="0.3">
      <c r="D297" s="573"/>
      <c r="E297" s="572"/>
      <c r="G297" s="572"/>
    </row>
  </sheetData>
  <autoFilter ref="A1:L284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899B-D372-4480-8941-E88022419A63}">
  <sheetPr codeName="List14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texty!A263</f>
        <v>Arte (bezramowe)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",7,".",35)</f>
        <v>Katalog Okuć meblowych 2024 str. 7.35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7" t="str">
        <f>IF(B4&gt;0,B4-40,"")</f>
        <v/>
      </c>
      <c r="C7" s="172" t="str">
        <f>IFERROR(((C4-3+(36*(D4-1)))/D4+IF(AND(D4=4,D6=2),M1,0)),"")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rozmiar wypełnienia 18mm:</v>
      </c>
      <c r="B8" s="63" t="str">
        <f>IFERROR((B7-2),"")</f>
        <v/>
      </c>
      <c r="C8" s="64" t="str">
        <f>IFERROR((C7-32),"")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/>
      <c r="B9" s="60"/>
      <c r="C9" s="80"/>
      <c r="D9" s="15"/>
      <c r="E9" s="15"/>
      <c r="F9" s="15"/>
      <c r="G9" s="330" t="str">
        <f>texty!A41</f>
        <v>ew. zabezpieczyć ją folią ochronną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63"/>
      <c r="C10" s="49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494"/>
      <c r="C11" s="495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dodatkowe zmniejszenie wysokośći wyliczonych wypełnień przy wykorzystaniu profili dzielących: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2.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6.5" customHeight="1" x14ac:dyDescent="0.25">
      <c r="A20" s="320"/>
      <c r="B20" s="376"/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Tor górny: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Tor dolny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 maskujący (maskownica):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górne wózki</v>
      </c>
      <c r="B31" s="447">
        <v>496997</v>
      </c>
      <c r="C31" s="23" t="str">
        <f>+VLOOKUP(B31,cennik!A:G,2,FALSE)</f>
        <v>SEVROLL 05689 GM 18 wózek górny 18mm - 2 szt.</v>
      </c>
      <c r="D31" s="15">
        <f>IF((D50+D51)&gt;D4,0,D4-(D50+D51))</f>
        <v>0</v>
      </c>
      <c r="E31" s="86">
        <f>+VLOOKUP(B31,cennik!A:G,3,FALSE)</f>
        <v>16.1568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dolne wózki</v>
      </c>
      <c r="B32" s="447">
        <f>IF(F4=M68,362316,229440)</f>
        <v>229440</v>
      </c>
      <c r="C32" s="23" t="str">
        <f>+VLOOKUP(B32,cennik!A:G,2,FALSE)</f>
        <v>SEVROLL wózek dolny WD 18C HI-TEC - 2szt</v>
      </c>
      <c r="D32" s="15">
        <f>+D4</f>
        <v>0</v>
      </c>
      <c r="E32" s="86">
        <f>+VLOOKUP(B32,cennik!A:G,3,FALSE)</f>
        <v>17.546399999999998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szczotka odbojowa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rączka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/>
      <c r="B35" s="447"/>
      <c r="C35" s="23"/>
      <c r="D35" s="15"/>
      <c r="E35" s="86"/>
      <c r="F35" s="86"/>
      <c r="G35" s="87"/>
      <c r="H35" s="22"/>
      <c r="I35" s="363"/>
      <c r="K35" s="174"/>
      <c r="L35" s="3"/>
    </row>
    <row r="36" spans="1:12" ht="12.75" customHeight="1" x14ac:dyDescent="0.25">
      <c r="A36" s="320"/>
      <c r="B36" s="447"/>
      <c r="C36" s="23"/>
      <c r="D36" s="60"/>
      <c r="E36" s="86"/>
      <c r="F36" s="86"/>
      <c r="G36" s="87"/>
      <c r="H36" s="22"/>
      <c r="I36" s="363"/>
      <c r="K36" s="174"/>
      <c r="L36" s="3"/>
    </row>
    <row r="37" spans="1:12" ht="12.75" customHeight="1" x14ac:dyDescent="0.25">
      <c r="A37" s="320"/>
      <c r="B37" s="415"/>
      <c r="C37" s="341"/>
      <c r="D37" s="60"/>
      <c r="E37" s="342"/>
      <c r="F37" s="86"/>
      <c r="G37" s="87"/>
      <c r="H37" s="22"/>
      <c r="I37" s="363"/>
      <c r="K37" s="174"/>
      <c r="L37" s="3"/>
    </row>
    <row r="38" spans="1:12" ht="12.75" customHeight="1" x14ac:dyDescent="0.25">
      <c r="A38" s="320"/>
      <c r="B38" s="447"/>
      <c r="C38" s="23"/>
      <c r="D38" s="60"/>
      <c r="E38" s="86"/>
      <c r="F38" s="86"/>
      <c r="G38" s="87"/>
      <c r="H38" s="22"/>
      <c r="I38" s="363"/>
      <c r="K38" s="174"/>
      <c r="L38" s="3"/>
    </row>
    <row r="39" spans="1:12" ht="12.75" customHeight="1" x14ac:dyDescent="0.25">
      <c r="A39" s="320"/>
      <c r="B39" s="415"/>
      <c r="C39" s="23"/>
      <c r="D39" s="60"/>
      <c r="E39" s="342"/>
      <c r="F39" s="86"/>
      <c r="G39" s="87"/>
      <c r="H39" s="22"/>
      <c r="I39" s="363"/>
      <c r="K39" s="174"/>
      <c r="L39" s="3"/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Akcesoria:</v>
      </c>
      <c r="B41" s="15"/>
      <c r="C41" s="19"/>
      <c r="D41" s="343" t="str">
        <f>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pozycjoner wózka górnego</v>
      </c>
      <c r="B42" s="447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pozycjoner</v>
      </c>
      <c r="B43" s="447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Tłumienie MINI do 25 kg (para)</v>
      </c>
      <c r="B44" s="447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Tłumienie MINI do 40 kg (para)</v>
      </c>
      <c r="B45" s="415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Tłumienie MINI do 60 kg (para)</v>
      </c>
      <c r="B46" s="415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 xml:space="preserve"> Tłumienie do skrzydła środkowego do 25 kg </v>
      </c>
      <c r="B47" s="415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 xml:space="preserve"> Tłumienie do skrzydła środkowego do 40 kg </v>
      </c>
      <c r="B48" s="415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Wkręt do dolnego toru</v>
      </c>
      <c r="B49" s="447">
        <v>98019</v>
      </c>
      <c r="C49" s="23" t="str">
        <f>+VLOOKUP(B49,cennik!A:G,2,FALSE)</f>
        <v>SEVROLL wkręt 2,5x18mm</v>
      </c>
      <c r="D49" s="278"/>
      <c r="E49" s="86">
        <f>+VLOOKUP(B49,cennik!A:G,3,FALSE)</f>
        <v>0.10996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tłumienie (para)25 kg</v>
      </c>
      <c r="B50" s="415">
        <v>227185</v>
      </c>
      <c r="C50" s="23" t="str">
        <f>+VLOOKUP(B50,cennik!A:G,2,FALSE)</f>
        <v>K-SEVROLL tłumienie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tłumienie (para) 50 kg</v>
      </c>
      <c r="B51" s="415">
        <v>227187</v>
      </c>
      <c r="C51" s="23" t="str">
        <f>+VLOOKUP(B51,cennik!A:G,2,FALSE)</f>
        <v>K-SEVROLL tłumienie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zł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 łączący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 łączący H25-3metry</v>
      </c>
      <c r="B53" s="447" t="str">
        <f>IFERROR(VLOOKUP(P7,data!C891:D893,2,0),"N/A")</f>
        <v>N/A</v>
      </c>
      <c r="C53" s="23" t="str">
        <f>IF(B53=data!D64,texty!A239,+VLOOKUP(B53,cennik!A:G,2,FALSE))</f>
        <v> w tym kolorze i długości dany profil nie jest produkowany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śruba łącząca</v>
      </c>
      <c r="B54" s="447">
        <v>89244</v>
      </c>
      <c r="C54" s="23" t="str">
        <f>+VLOOKUP(B54,cennik!A:G,2,FALSE)</f>
        <v>SEVROLL blachowkręt 6,3x32 SEVROLL i Simple</v>
      </c>
      <c r="D54" s="354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Długość uszczelki w przypadku całkowitego zaszklenia (należy zamówić całe metry)</v>
      </c>
      <c r="D59" s="334">
        <f>IFERROR((CEILING(((B9+C9)*2/1000*D4),1)),"")</f>
        <v>0</v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(w przypadku kombinacji z profilami H należy dodać odpowiednią długość - uszczelka musi być na całym obwodzie każdego szkła)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uszczelka na szkło 4mm</v>
      </c>
      <c r="B61" s="447" t="s">
        <v>67</v>
      </c>
      <c r="C61" s="23" t="str">
        <f>+VLOOKUP(B61,cennik!A:G,2,FALSE)</f>
        <v>SEVROLL uszczelka bezbarwna 18/4-4,5 mm asymetryczna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 xml:space="preserve">tutaj można znaleźć inne akcesoria 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4" t="str" cm="1">
        <f t="array" ref="L64:L65">IF(E4=L70,M68,M68:M69)</f>
        <v>Elegant II</v>
      </c>
    </row>
    <row r="65" spans="1:14" ht="12.75" customHeight="1" x14ac:dyDescent="0.25">
      <c r="A65" s="209" t="str">
        <f>texty!A244</f>
        <v>rysunek techniczny tego systemu</v>
      </c>
      <c r="B65" s="476">
        <v>129677</v>
      </c>
      <c r="C65" s="478" t="str">
        <f>VLOOKUP(B65,cennik!A:C,2,0)</f>
        <v>SEVROLL element montażowy do płyty laminowanej 10mm mały</v>
      </c>
      <c r="D65" s="355"/>
      <c r="E65" s="86">
        <f>+VLOOKUP(B65,cennik!A:G,3,FALSE)</f>
        <v>51.590769999999999</v>
      </c>
      <c r="F65" s="91">
        <f>+CEILING(D65,1)*E65</f>
        <v>0</v>
      </c>
      <c r="G65" s="87">
        <f>+F65</f>
        <v>0</v>
      </c>
      <c r="H65" s="22" t="str">
        <f>cennik!B2</f>
        <v>zł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4" t="str">
        <v>Gemini</v>
      </c>
    </row>
    <row r="66" spans="1:14" ht="12.75" customHeight="1" x14ac:dyDescent="0.25">
      <c r="A66" s="19"/>
      <c r="B66" s="476">
        <v>128842</v>
      </c>
      <c r="C66" s="478" t="str">
        <f>VLOOKUP(B66,cennik!A:C,2,0)</f>
        <v>SEVROLL wiertło stopniowe 6,5/9,5mm</v>
      </c>
      <c r="D66" s="355"/>
      <c r="E66" s="86">
        <f>+VLOOKUP(B66,cennik!A:G,3,FALSE)</f>
        <v>116.85122</v>
      </c>
      <c r="F66" s="91">
        <f>+CEILING(D66,1)*E66</f>
        <v>0</v>
      </c>
      <c r="G66" s="87">
        <f>+F66</f>
        <v>0</v>
      </c>
      <c r="H66" s="22" t="str">
        <f>cennik!B2</f>
        <v>zł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w sumie (bez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zł</v>
      </c>
      <c r="I68" s="22"/>
      <c r="J68" s="166"/>
      <c r="K68" s="166"/>
      <c r="L68" s="4" t="str">
        <f>data!J4</f>
        <v>srebrny</v>
      </c>
      <c r="M68" s="19" t="s">
        <v>968</v>
      </c>
    </row>
    <row r="69" spans="1:14" ht="12.75" customHeight="1" x14ac:dyDescent="0.25">
      <c r="A69" s="337" t="str">
        <f>System10!A67</f>
        <v>Uwagi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j.brąz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data!J17</f>
        <v> czarny mat</v>
      </c>
      <c r="M70" s="19"/>
    </row>
    <row r="71" spans="1:14" ht="12.75" hidden="1" customHeight="1" x14ac:dyDescent="0.25">
      <c r="A71" s="680" t="str">
        <f>IF(N71=1,texty!A215,IF(K71&gt;0,texty!A214,""))</f>
        <v>niektóre elementy nie są produkowane w wybranej długości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KCLLqTGbleJS1ikIdKN4zpJTthHF1SAyPp+69afltwXmkPUmZ/pAFnqg3TMDhqtaoc5xBQN6chjBs5qjqerKEQ==" saltValue="7g9PA8LiLqGZe40Rvd8OAg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19:I20"/>
    <mergeCell ref="I21:I22"/>
    <mergeCell ref="A67:I67"/>
    <mergeCell ref="B69:G69"/>
    <mergeCell ref="A70:H70"/>
  </mergeCells>
  <conditionalFormatting sqref="A14">
    <cfRule type="expression" dxfId="155" priority="2">
      <formula>SUM($D$47:$D$48)&gt;0</formula>
    </cfRule>
  </conditionalFormatting>
  <conditionalFormatting sqref="D6">
    <cfRule type="expression" dxfId="153" priority="6">
      <formula>$D$4=4</formula>
    </cfRule>
    <cfRule type="expression" dxfId="152" priority="7">
      <formula>$D$4&lt;&gt;4</formula>
    </cfRule>
  </conditionalFormatting>
  <conditionalFormatting sqref="D54">
    <cfRule type="expression" dxfId="151" priority="8" stopIfTrue="1">
      <formula>IF($D$53&gt;0,IF($D$54=0,1,0),0)</formula>
    </cfRule>
  </conditionalFormatting>
  <conditionalFormatting sqref="G4">
    <cfRule type="expression" dxfId="150" priority="5">
      <formula>$D$4=4</formula>
    </cfRule>
  </conditionalFormatting>
  <conditionalFormatting sqref="I19:I20">
    <cfRule type="expression" dxfId="149" priority="3">
      <formula>$F$4=$M$69</formula>
    </cfRule>
  </conditionalFormatting>
  <conditionalFormatting sqref="I21:I22">
    <cfRule type="expression" dxfId="148" priority="4">
      <formula>$F$4=$M$68</formula>
    </cfRule>
  </conditionalFormatting>
  <dataValidations count="6">
    <dataValidation type="list" allowBlank="1" showInputMessage="1" showErrorMessage="1" sqref="F4" xr:uid="{3250B308-7E9A-4D43-BAE4-208AFDFD054C}">
      <formula1>IF(E4=L70,M68,M68:M69)</formula1>
    </dataValidation>
    <dataValidation type="list" allowBlank="1" showInputMessage="1" showErrorMessage="1" sqref="D6" xr:uid="{2DCD649C-6348-4001-BE3E-BF0D902AFE5C}">
      <formula1>$L$1:$L$2</formula1>
    </dataValidation>
    <dataValidation type="whole" allowBlank="1" showInputMessage="1" showErrorMessage="1" errorTitle="Musí být celé číslo" sqref="D4" xr:uid="{8441095F-F5E0-46AC-9F5F-88C088C8805A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D0804D68-3870-47C1-BCE5-F70E9652DDF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3BD68997-2EC3-47B9-94C0-E77D1444AD28}">
      <formula1>0</formula1>
      <formula2>6000</formula2>
    </dataValidation>
    <dataValidation type="list" allowBlank="1" showInputMessage="1" showErrorMessage="1" sqref="E4" xr:uid="{24114993-5534-4059-AF9A-1DC0907DD41A}">
      <formula1>$L$68:$L$70</formula1>
    </dataValidation>
  </dataValidations>
  <hyperlinks>
    <hyperlink ref="A2" location="profil!A1" display="FOX" xr:uid="{3DBF43D0-BB83-41AD-A7B7-689DA83D31A8}"/>
    <hyperlink ref="A64" location="příslušenství!A56" display="příslušenství!A56" xr:uid="{C0C3B425-206B-4A16-9D95-56A71FB71922}"/>
    <hyperlink ref="A65" location="sys.10mm!A56" display="sys.10mm!A56" xr:uid="{0121425C-AA62-4CD2-A8CD-FB69D11B3FBC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83A8F-AB65-4CFD-B11F-245A6D26290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749-DA06-46E2-8E24-DF754BFCDA2E}">
  <sheetPr codeName="List3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53.5546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texty!A256</f>
        <v>Porto GM (ramowe)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Katalog Okuć meblowych 2024 str. 7.56</v>
      </c>
      <c r="B3" s="318" t="str">
        <f>CONCATENATE(texty!A34," / max.         3 040 mm /")</f>
        <v>wysokość / max.         3 040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/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IFERROR((((C4-3+(30*(D4-1)))/D4+IF(AND(D4=4,D6=2),M1,0))),"")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rozmiar wypełnienia 18mm: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1.5" customHeight="1" x14ac:dyDescent="0.25">
      <c r="A14" s="683" t="str">
        <f>IF(SUM(D47:D48)&gt;0,texty!A245,"")</f>
        <v/>
      </c>
      <c r="B14" s="683"/>
      <c r="C14" s="382" t="str">
        <f>texty!A78</f>
        <v>dodatkowe zmniejszenie wysokośći wyliczonych wypełnień przy wykorzystaniu profili dzielących: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6.2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376" t="str">
        <f>texty!A242</f>
        <v>dylatacja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Tor górny: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Tor dolny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 maskujący (maskownica):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górne wózki</v>
      </c>
      <c r="B31" s="447">
        <v>228009</v>
      </c>
      <c r="C31" s="23" t="str">
        <f>+VLOOKUP(B31,cennik!A3:G984,2,FALSE)</f>
        <v>SEVROLL wózek górny Gemini symetryczny 10mm - 2szt</v>
      </c>
      <c r="D31" s="15">
        <f>IF((D50+D51)&gt;D4,0,D4-(D50+D51))</f>
        <v>0</v>
      </c>
      <c r="E31" s="86">
        <f>+VLOOKUP(B31,cennik!A:G,3,FALSE)</f>
        <v>23.174399999999999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dolne wózki</v>
      </c>
      <c r="B32" s="447">
        <f>IF(F4=M68,328321,229441)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szczotka odbojowa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rączka</v>
      </c>
      <c r="B34" s="447" t="e">
        <f>IF(B12&gt;2700, VLOOKUP(P7,data!C899:D900,2,0),IF(B12&lt;1501, VLOOKUP(P7,data!C899:D900,2,0),IF(B12&gt;1347, VLOOKUP(P7,data!C897:D898,2,0), VLOOKUP(P7,data!C897:D898,2,0))))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śruba łącząca</v>
      </c>
      <c r="B35" s="447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listwa pozioma górna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listwa pozioma górna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poziomy dolny profil ramy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poziomy dolny profil ramy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Akcesoria:</v>
      </c>
      <c r="B41" s="15"/>
      <c r="C41" s="19"/>
      <c r="D41" s="343" t="str">
        <f>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pozycjoner wózka górnego</v>
      </c>
      <c r="B42" s="447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pozycjoner</v>
      </c>
      <c r="B43" s="447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Tłumienie MINI do 25 kg (para)</v>
      </c>
      <c r="B44" s="447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Tłumienie MINI do 40 kg (para)</v>
      </c>
      <c r="B45" s="415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Tłumienie MINI do 60 kg (para)</v>
      </c>
      <c r="B46" s="415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 xml:space="preserve"> Tłumienie do skrzydła środkowego do 25 kg </v>
      </c>
      <c r="B47" s="415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 xml:space="preserve"> Tłumienie do skrzydła środkowego do 40 kg </v>
      </c>
      <c r="B48" s="415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Wkręt do dolnego toru</v>
      </c>
      <c r="B49" s="447">
        <v>98019</v>
      </c>
      <c r="C49" s="23" t="str">
        <f>+VLOOKUP(B49,cennik!A:G,2,FALSE)</f>
        <v>SEVROLL wkręt 2,5x18mm</v>
      </c>
      <c r="D49" s="278"/>
      <c r="E49" s="86">
        <f>+VLOOKUP(B49,cennik!A:G,3,FALSE)</f>
        <v>0.10996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tłumienie (para)25 kg</v>
      </c>
      <c r="B50" s="415">
        <v>227185</v>
      </c>
      <c r="C50" s="23" t="str">
        <f>+VLOOKUP(B50,cennik!A:G,2,FALSE)</f>
        <v>K-SEVROLL tłumienie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tłumienie (para) 50 kg</v>
      </c>
      <c r="B51" s="415">
        <v>227187</v>
      </c>
      <c r="C51" s="23" t="str">
        <f>+VLOOKUP(B51,cennik!A:G,2,FALSE)</f>
        <v>K-SEVROLL tłumienie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zł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 łączący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 łączący H25-3metry</v>
      </c>
      <c r="B53" s="447" t="str">
        <f>IFERROR(VLOOKUP(P7,data!C891:D893,2,0),"N/A")</f>
        <v>N/A</v>
      </c>
      <c r="C53" s="23" t="str">
        <f>IF(B53=data!D64,texty!A239,+VLOOKUP(B53,cennik!A:G,2,FALSE))</f>
        <v> w tym kolorze i długości dany profil nie jest produkowany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śruba łącząca</v>
      </c>
      <c r="B54" s="447">
        <v>89244</v>
      </c>
      <c r="C54" s="23" t="str">
        <f>+VLOOKUP(B54,cennik!A:G,2,FALSE)</f>
        <v>SEVROLL blachowkręt 6,3x32 SEVROLL i Simple</v>
      </c>
      <c r="D54" s="354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Długość uszczelki w przypadku całkowitego zaszklenia (należy zamówić całe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(w przypadku kombinacji z profilami H należy dodać odpowiednią długość - uszczelka musi być na całym obwodzie każdego szkła)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uszczelka na szkło 4mm</v>
      </c>
      <c r="B61" s="447" t="s">
        <v>67</v>
      </c>
      <c r="C61" s="23" t="str">
        <f>+VLOOKUP(B61,cennik!A:G,2,FALSE)</f>
        <v>SEVROLL uszczelka bezbarwna 18/4-4,5 mm asymetryczna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 xml:space="preserve">tutaj można znaleźć inne akcesoria 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rysunek techniczny tego systemu</v>
      </c>
      <c r="B65" s="479">
        <v>129677</v>
      </c>
      <c r="C65" s="480" t="str">
        <f>VLOOKUP(B65,cennik!A:C,2,0)</f>
        <v>SEVROLL element montażowy do płyty laminowanej 10mm mały</v>
      </c>
      <c r="D65" s="355"/>
      <c r="E65" s="86">
        <f>+VLOOKUP(B65,cennik!A:G,3,FALSE)</f>
        <v>51.590769999999999</v>
      </c>
      <c r="F65" s="91">
        <f>+CEILING(D65,1)*E65</f>
        <v>0</v>
      </c>
      <c r="G65" s="87">
        <f>+F65</f>
        <v>0</v>
      </c>
      <c r="H65" s="22" t="str">
        <f>cennik!B2</f>
        <v>zł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wiertło stopniowe 6,5/9,5mm</v>
      </c>
      <c r="D66" s="355"/>
      <c r="E66" s="86">
        <f>+VLOOKUP(B66,cennik!A:G,3,FALSE)</f>
        <v>116.85122</v>
      </c>
      <c r="F66" s="91">
        <f>+CEILING(D66,1)*E66</f>
        <v>0</v>
      </c>
      <c r="G66" s="87">
        <f>+F66</f>
        <v>0</v>
      </c>
      <c r="H66" s="22" t="str">
        <f>cennik!B2</f>
        <v>zł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w sumie (bez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zł</v>
      </c>
      <c r="I68" s="22"/>
      <c r="J68" s="166"/>
      <c r="K68" s="166"/>
      <c r="L68" s="4" t="str">
        <f>data!J4</f>
        <v>srebrny</v>
      </c>
      <c r="M68" s="19" t="s">
        <v>968</v>
      </c>
    </row>
    <row r="69" spans="1:14" ht="12.75" customHeight="1" x14ac:dyDescent="0.25">
      <c r="A69" s="337" t="str">
        <f>System10!A67</f>
        <v>Uwagi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j.brąz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M70" s="19"/>
    </row>
    <row r="71" spans="1:14" ht="12.75" customHeight="1" x14ac:dyDescent="0.25">
      <c r="A71" s="680" t="str">
        <f>IF(N71=1,texty!A215,IF(K71&gt;0,texty!A214,""))</f>
        <v>niektóre elementy nie są produkowane w wybranej długości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hLtg0A/eVikQuKQh1Du8VkJm7ksly64lUcsa2AhHJ/p6tMQF6Am2omlgAyiR8wJ5vqDymEylwittaP6ePi5CaA==" saltValue="IVXYbXa7bDitwmi+NXAQpQ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20:I21"/>
    <mergeCell ref="I22:I23"/>
    <mergeCell ref="A67:I67"/>
    <mergeCell ref="B69:G69"/>
    <mergeCell ref="A70:H70"/>
  </mergeCells>
  <conditionalFormatting sqref="A14">
    <cfRule type="expression" dxfId="147" priority="2">
      <formula>SUM($D$47:$D$48)&gt;0</formula>
    </cfRule>
  </conditionalFormatting>
  <conditionalFormatting sqref="D6">
    <cfRule type="expression" dxfId="145" priority="6">
      <formula>$D$4=4</formula>
    </cfRule>
    <cfRule type="expression" dxfId="144" priority="7">
      <formula>$D$4&lt;&gt;4</formula>
    </cfRule>
  </conditionalFormatting>
  <conditionalFormatting sqref="D54">
    <cfRule type="expression" dxfId="143" priority="8" stopIfTrue="1">
      <formula>IF($D$53&gt;0,IF($D$54=0,1,0),0)</formula>
    </cfRule>
  </conditionalFormatting>
  <conditionalFormatting sqref="G4">
    <cfRule type="expression" dxfId="142" priority="5">
      <formula>$D$4=4</formula>
    </cfRule>
  </conditionalFormatting>
  <conditionalFormatting sqref="I20">
    <cfRule type="expression" dxfId="141" priority="3">
      <formula>$F$4=$M$69</formula>
    </cfRule>
  </conditionalFormatting>
  <conditionalFormatting sqref="I22">
    <cfRule type="expression" dxfId="140" priority="4">
      <formula>$F$4=$M$68</formula>
    </cfRule>
  </conditionalFormatting>
  <dataValidations count="6">
    <dataValidation type="list" allowBlank="1" showInputMessage="1" showErrorMessage="1" sqref="E4" xr:uid="{D3548293-BAB7-48F3-9036-99A296BC35A3}">
      <formula1>$L$68:$L$69</formula1>
    </dataValidation>
    <dataValidation type="decimal" allowBlank="1" showInputMessage="1" showErrorMessage="1" errorTitle="Nelze tuto šířku" error="Šířka je omezena na maximálně 6000 mm" promptTitle="Maximální šířka je 6000 mm" sqref="C4" xr:uid="{30B3DF8C-27ED-4690-B125-0894CA967FFA}">
      <formula1>0</formula1>
      <formula2>6000</formula2>
    </dataValidation>
    <dataValidation type="decimal" allowBlank="1" showInputMessage="1" showErrorMessage="1" errorTitle="Nelze" error="Max 3040 mm" promptTitle="Maximální výška je 2738 mm" sqref="B4" xr:uid="{74C14462-F15E-4270-AB06-5EDD38A866F5}">
      <formula1>0</formula1>
      <formula2>3040</formula2>
    </dataValidation>
    <dataValidation type="whole" allowBlank="1" showInputMessage="1" showErrorMessage="1" errorTitle="Musí být celé číslo" sqref="D4" xr:uid="{E1E1255F-2E8F-4E1D-97FD-7114C3863F00}">
      <formula1>0</formula1>
      <formula2>9</formula2>
    </dataValidation>
    <dataValidation type="list" allowBlank="1" showInputMessage="1" showErrorMessage="1" sqref="D6" xr:uid="{8129EE2D-37F1-4B8A-897C-B181E1F39C56}">
      <formula1>$L$1:$L$2</formula1>
    </dataValidation>
    <dataValidation type="list" allowBlank="1" showInputMessage="1" showErrorMessage="1" sqref="F4" xr:uid="{25DF7337-983D-4377-A903-D0A5869723A0}">
      <formula1>$M$68:$M$69</formula1>
    </dataValidation>
  </dataValidations>
  <hyperlinks>
    <hyperlink ref="A2" location="profil!A1" display="FOX" xr:uid="{68B5A383-1F87-4122-BD78-8B740ACCEEA3}"/>
    <hyperlink ref="A64" location="příslušenství!A56" display="příslušenství!A56" xr:uid="{4324F6C8-4066-4FFF-89BD-D81DE117FA76}"/>
    <hyperlink ref="A65" location="sys.10mm!A56" display="sys.10mm!A56" xr:uid="{30FA4FE5-DEE2-4375-AEEF-C37FEF96F1ED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7058D-5004-408E-A4C6-EEAE5BB7577A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8931-D67F-431A-8E8E-135D068B3AA1}">
  <sheetPr codeName="List50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texty!A257</f>
        <v>Porto GM (bezramowe)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9.75" customHeight="1" thickBot="1" x14ac:dyDescent="0.3">
      <c r="A3" s="582" t="str">
        <f>CONCATENATE(texty!A243," ",7,".",56)</f>
        <v>Katalog Okuć meblowych 2024 str. 7.56</v>
      </c>
      <c r="B3" s="318" t="str">
        <f>CONCATENATE(texty!A34," / max.         3 040 mm /")</f>
        <v>wysokość / max.         3 040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493" t="str">
        <f>IFERROR(((C4-3+(30*(D4-1)))/D4+IF(AND(D4=4,D6=2),M1,0)),"")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>
        <f>IF(L11="jiné",M12,L11)</f>
        <v>1700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rozmiar wypełnienia 18mm:</v>
      </c>
      <c r="B8" s="53" t="str">
        <f>IFERROR((B7-2),"")</f>
        <v/>
      </c>
      <c r="C8" s="172" t="str">
        <f>IFERROR((C7-41),"")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Tor górny / dolny</v>
      </c>
      <c r="B9" s="491"/>
      <c r="C9" s="64" t="str">
        <f>TRIM(C4)</f>
        <v/>
      </c>
      <c r="D9" s="15"/>
      <c r="E9" s="15"/>
      <c r="F9" s="15"/>
      <c r="G9" s="330" t="str">
        <f>texty!A41</f>
        <v>ew. zabezpieczyć ją folią ochronną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rączka</v>
      </c>
      <c r="B10" s="63" t="str">
        <f>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2.75" customHeight="1" x14ac:dyDescent="0.25">
      <c r="B11" s="60"/>
      <c r="D11" s="15"/>
      <c r="E11" s="15"/>
      <c r="F11" s="15"/>
      <c r="G11" s="21" t="str">
        <f>texty!A43</f>
        <v>Maksymalna waga skrzydła to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2.75" customHeight="1" x14ac:dyDescent="0.25"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32.25" customHeight="1" x14ac:dyDescent="0.25">
      <c r="A13" s="709" t="str">
        <f>IF(SUM(D42:D43)&gt;0,texty!A245,"")</f>
        <v/>
      </c>
      <c r="B13" s="709"/>
      <c r="C13" s="599" t="str">
        <f>texty!A78</f>
        <v>dodatkowe zmniejszenie wysokośći wyliczonych wypełnień przy wykorzystaniu profili dzielących:</v>
      </c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6.75" customHeight="1" x14ac:dyDescent="0.25">
      <c r="A14" s="709"/>
      <c r="B14" s="709"/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A15" s="597"/>
      <c r="B15" s="59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Tor górny: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Tor dolny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profil maskujący (maskownica):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górne wózki</v>
      </c>
      <c r="B31" s="447">
        <v>496944</v>
      </c>
      <c r="C31" s="23" t="str">
        <f>+VLOOKUP(B31,cennik!A:G,2,FALSE)</f>
        <v>SEVROLL 05689 GM 18 wózek górny 18mm - 2 szt.</v>
      </c>
      <c r="D31" s="15">
        <f>IF((D45+D46)&gt;D4,0,D4-(D45+D46))</f>
        <v>0</v>
      </c>
      <c r="E31" s="86">
        <f>+VLOOKUP(B31,cennik!A:G,3,FALSE)</f>
        <v>16.1568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dolne wózki</v>
      </c>
      <c r="B32" s="447">
        <v>229440</v>
      </c>
      <c r="C32" s="23" t="str">
        <f>+VLOOKUP(B32,cennik!A:G,2,FALSE)</f>
        <v>SEVROLL wózek dolny WD 18C HI-TEC - 2szt</v>
      </c>
      <c r="D32" s="15">
        <f>+D4</f>
        <v>0</v>
      </c>
      <c r="E32" s="86">
        <f>+VLOOKUP(B32,cennik!A:G,3,FALSE)</f>
        <v>17.546399999999998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szczotka odbojowa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rączka</v>
      </c>
      <c r="B34" s="447" t="e">
        <f>IF(B10&gt;2700, VLOOKUP(P7,data!C899:D900,2,0),IF(B10&lt;1501, VLOOKUP(P7,data!C899:D900,2,0),IF(B10&gt;1347, VLOOKUP(P7,data!C897:D898,2,0), VLOOKUP(P7,data!C897:D898,2,0))))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Akcesoria:</v>
      </c>
      <c r="B36" s="15"/>
      <c r="C36" s="19"/>
      <c r="D36" s="343" t="str">
        <f>System10!D41</f>
        <v>podaj ilość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pozycjoner wózka górnego</v>
      </c>
      <c r="B37" s="447">
        <v>298035</v>
      </c>
      <c r="C37" s="23" t="str">
        <f>+VLOOKUP(B37,cennik!A:G,2,FALSE)</f>
        <v>SEVROLL Fix pozycjoner wózka górnego transparentny</v>
      </c>
      <c r="D37" s="278"/>
      <c r="E37" s="86">
        <f>+VLOOKUP(B37,cennik!A:G,3,FALSE)</f>
        <v>3.74519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zł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pozycjoner</v>
      </c>
      <c r="B38" s="447">
        <f>IF(F4="Gemini",387424,89063)</f>
        <v>89063</v>
      </c>
      <c r="C38" s="23" t="str">
        <f>+VLOOKUP(B38,cennik!A:G,2,FALSE)</f>
        <v>SEVROLL pozycjoner wózka dolnego HI-TEC</v>
      </c>
      <c r="D38" s="278"/>
      <c r="E38" s="86">
        <f>+VLOOKUP(B38,cennik!A:G,3,FALSE)</f>
        <v>1.071</v>
      </c>
      <c r="F38" s="91">
        <f t="shared" si="1"/>
        <v>0</v>
      </c>
      <c r="G38" s="87">
        <f>+F38*(100-G26)/100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 Tłumienie MINI do 25 kg (para)</v>
      </c>
      <c r="B39" s="447">
        <v>318662</v>
      </c>
      <c r="C39" s="23" t="str">
        <f>+VLOOKUP(B39,cennik!A:G,2,FALSE)</f>
        <v>SEVROLL tłumienie Mini SV25 (14-25kg)</v>
      </c>
      <c r="D39" s="278"/>
      <c r="E39" s="86">
        <f>+VLOOKUP(B39,cennik!A:G,3,FALSE)</f>
        <v>96.889799999999994</v>
      </c>
      <c r="F39" s="91">
        <f t="shared" si="1"/>
        <v>0</v>
      </c>
      <c r="G39" s="87">
        <f>+F39*(100-G26)/100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 Tłumienie MINI do 40 kg (para)</v>
      </c>
      <c r="B40" s="415">
        <v>283956</v>
      </c>
      <c r="C40" s="23" t="str">
        <f>+VLOOKUP(B40,cennik!A:G,2,FALSE)</f>
        <v>SEVROLL tłumienie Mini SV40 (25 - 40kg)</v>
      </c>
      <c r="D40" s="278"/>
      <c r="E40" s="86">
        <f>+VLOOKUP(B40,cennik!A:G,3,FALSE)</f>
        <v>96.889799999999994</v>
      </c>
      <c r="F40" s="91">
        <f t="shared" si="1"/>
        <v>0</v>
      </c>
      <c r="G40" s="87">
        <f>+F40*(100-G26)/100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 Tłumienie MINI do 60 kg (para)</v>
      </c>
      <c r="B41" s="415">
        <v>351743</v>
      </c>
      <c r="C41" s="23" t="str">
        <f>+VLOOKUP(B41,cennik!A:G,2,FALSE)</f>
        <v>SEVROLL tłumienie Mini SV60 (40 - 60kg)</v>
      </c>
      <c r="D41" s="278"/>
      <c r="E41" s="86">
        <f>+VLOOKUP(B41,cennik!A:G,3,FALSE)</f>
        <v>96.889799999999994</v>
      </c>
      <c r="F41" s="91">
        <f t="shared" si="1"/>
        <v>0</v>
      </c>
      <c r="G41" s="87">
        <f>+F41*(100-G26)/100</f>
        <v>0</v>
      </c>
      <c r="H41" s="22" t="str">
        <f>cennik!B2</f>
        <v>zł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 xml:space="preserve"> Tłumienie do skrzydła środkowego do 25 kg </v>
      </c>
      <c r="B42" s="415">
        <v>318663</v>
      </c>
      <c r="C42" s="23" t="str">
        <f>+VLOOKUP(B42,cennik!A:G,2,FALSE)</f>
        <v>SEVROLL tłumienie Central 10/18mm obustronne 25kg</v>
      </c>
      <c r="D42" s="278"/>
      <c r="E42" s="86">
        <f>+VLOOKUP(B42,cennik!A:G,3,FALSE)</f>
        <v>206.958</v>
      </c>
      <c r="F42" s="91">
        <f t="shared" si="1"/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 xml:space="preserve"> Tłumienie do skrzydła środkowego do 40 kg </v>
      </c>
      <c r="B43" s="415">
        <v>283955</v>
      </c>
      <c r="C43" s="23" t="str">
        <f>+VLOOKUP(B43,cennik!A:G,2,FALSE)</f>
        <v>SEVROLL tłumienie Central 10/18mm obustronne 25-40kg</v>
      </c>
      <c r="D43" s="278"/>
      <c r="E43" s="86">
        <f>+VLOOKUP(B43,cennik!A:G,3,FALSE)</f>
        <v>206.958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Wkręt do dolnego toru</v>
      </c>
      <c r="B44" s="447">
        <v>98019</v>
      </c>
      <c r="C44" s="23" t="str">
        <f>+VLOOKUP(B44,cennik!A:G,2,FALSE)</f>
        <v>SEVROLL wkręt 2,5x18mm</v>
      </c>
      <c r="D44" s="278"/>
      <c r="E44" s="86">
        <f>+VLOOKUP(B44,cennik!A:G,3,FALSE)</f>
        <v>0.10996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tłumienie (para)25 kg</v>
      </c>
      <c r="B45" s="415">
        <v>227185</v>
      </c>
      <c r="C45" s="23" t="str">
        <f>+VLOOKUP(B45,cennik!A:G,2,FALSE)</f>
        <v>K-SEVROLL tłumienie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tłumienie (para) 50 kg</v>
      </c>
      <c r="B46" s="415">
        <v>227187</v>
      </c>
      <c r="C46" s="23" t="str">
        <f>+VLOOKUP(B46,cennik!A:G,2,FALSE)</f>
        <v>K-SEVROLL tłumienie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profil łączący H18-3metry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profil łączący H25-3metry</v>
      </c>
      <c r="B48" s="447" t="str">
        <f>IFERROR(VLOOKUP(P7,data!C891:D893,2,0),"N/A")</f>
        <v>N/A</v>
      </c>
      <c r="C48" s="23" t="str">
        <f>IF(B48=data!D64,texty!A239,+VLOOKUP(B48,cennik!A:G,2,FALSE))</f>
        <v> w tym kolorze i długości dany profil nie jest produkowany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śruba łącząca</v>
      </c>
      <c r="B49" s="447">
        <v>89244</v>
      </c>
      <c r="C49" s="23" t="str">
        <f>+VLOOKUP(B49,cennik!A:G,2,FALSE)</f>
        <v>SEVROLL blachowkręt 6,3x32 SEVROLL i Simple</v>
      </c>
      <c r="D49" s="354"/>
      <c r="E49" s="86">
        <f>+VLOOKUP(B49,cennik!A:G,3,FALSE)</f>
        <v>0.52500000000000002</v>
      </c>
      <c r="F49" s="86">
        <f>+E49*D49</f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 t="str">
        <f>IFERROR((CEILING(((B9+#REF!)*2/1000*D4),1)),"")</f>
        <v/>
      </c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320"/>
      <c r="B57" s="15"/>
      <c r="C57" s="23"/>
      <c r="D57" s="338"/>
      <c r="E57" s="86"/>
      <c r="F57" s="91"/>
      <c r="G57" s="488"/>
      <c r="H57" s="22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 xml:space="preserve">tutaj można znaleźć inne akcesoria 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rysunek techniczny tego systemu</v>
      </c>
      <c r="B60" s="479">
        <v>129677</v>
      </c>
      <c r="C60" s="480" t="str">
        <f>VLOOKUP(B60,cennik!A:C,2,0)</f>
        <v>SEVROLL element montażowy do płyty laminowanej 10mm mały</v>
      </c>
      <c r="D60" s="355"/>
      <c r="E60" s="86">
        <f>+VLOOKUP(B60,cennik!A:G,3,FALSE)</f>
        <v>51.590769999999999</v>
      </c>
      <c r="F60" s="91">
        <f>+CEILING(D60,1)*E60</f>
        <v>0</v>
      </c>
      <c r="G60" s="87">
        <f>+F60</f>
        <v>0</v>
      </c>
      <c r="H60" s="22" t="str">
        <f>cennik!B2</f>
        <v>zł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wiertło stopniowe 6,5/9,5mm</v>
      </c>
      <c r="D61" s="355"/>
      <c r="E61" s="86">
        <f>+VLOOKUP(B61,cennik!A:G,3,FALSE)</f>
        <v>116.85122</v>
      </c>
      <c r="F61" s="91">
        <f>+CEILING(D61,1)*E61</f>
        <v>0</v>
      </c>
      <c r="G61" s="87">
        <f>+F61</f>
        <v>0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85" t="str">
        <f>IF(SUM(D45:D46)&gt;0,IF(C7&lt;(B4/3),texty!A212,""),"")</f>
        <v/>
      </c>
      <c r="B62" s="685"/>
      <c r="C62" s="685"/>
      <c r="D62" s="685"/>
      <c r="E62" s="685"/>
      <c r="F62" s="685"/>
      <c r="G62" s="685"/>
      <c r="H62" s="685"/>
      <c r="I62" s="68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w sumie (bez VAT)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zł</v>
      </c>
      <c r="I63" s="22"/>
      <c r="J63" s="166"/>
      <c r="K63" s="166"/>
      <c r="L63" s="4" t="str">
        <f>data!J4</f>
        <v>srebrny</v>
      </c>
      <c r="M63" s="19" t="s">
        <v>968</v>
      </c>
    </row>
    <row r="64" spans="1:13" ht="12.75" customHeight="1" x14ac:dyDescent="0.25">
      <c r="A64" s="337" t="str">
        <f>System10!A67</f>
        <v>Uwagi</v>
      </c>
      <c r="B64" s="690"/>
      <c r="C64" s="691"/>
      <c r="D64" s="691"/>
      <c r="E64" s="691"/>
      <c r="F64" s="691"/>
      <c r="G64" s="692"/>
      <c r="H64" s="22"/>
      <c r="I64" s="22"/>
      <c r="L64" s="4" t="str">
        <f>data!J6</f>
        <v>j.brąz</v>
      </c>
      <c r="M64" s="19" t="s">
        <v>42</v>
      </c>
    </row>
    <row r="65" spans="1:14" ht="12.75" customHeight="1" x14ac:dyDescent="0.25">
      <c r="A65" s="689" t="str">
        <f>profil!U15</f>
        <v/>
      </c>
      <c r="B65" s="679"/>
      <c r="C65" s="679"/>
      <c r="D65" s="679"/>
      <c r="E65" s="679"/>
      <c r="F65" s="679"/>
      <c r="G65" s="679"/>
      <c r="H65" s="679"/>
      <c r="I65" s="22"/>
      <c r="M65" s="19"/>
    </row>
    <row r="66" spans="1:14" ht="12.75" customHeight="1" x14ac:dyDescent="0.25">
      <c r="A66" s="680" t="str">
        <f>IF(N66=1,texty!A215,IF(K66&gt;0,texty!A214,""))</f>
        <v>niektóre elementy nie są produkowane w wybranej długości</v>
      </c>
      <c r="B66" s="680"/>
      <c r="C66" s="680"/>
      <c r="D66" s="680"/>
      <c r="E66" s="680"/>
      <c r="F66" s="680"/>
      <c r="G66" s="680"/>
      <c r="H66" s="680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xgWdRfMIiar1yEppv50pwWWKl0zJOpBLe9rFoevczgg3VKnVwK2905hSkyLM2tBmGRCz+bet84T0vnWPf1Zw9A==" saltValue="0iCkWsEqoHQQtSGatTQ7aQ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13:B14"/>
    <mergeCell ref="A66:H66"/>
    <mergeCell ref="I20:I21"/>
    <mergeCell ref="I22:I23"/>
    <mergeCell ref="A62:I62"/>
    <mergeCell ref="B64:G64"/>
    <mergeCell ref="A65:H65"/>
  </mergeCells>
  <conditionalFormatting sqref="A13:B14">
    <cfRule type="expression" dxfId="139" priority="1">
      <formula>SUM(D42:D43)&gt;0</formula>
    </cfRule>
  </conditionalFormatting>
  <conditionalFormatting sqref="D6">
    <cfRule type="expression" dxfId="137" priority="6">
      <formula>$D$4=4</formula>
    </cfRule>
    <cfRule type="expression" dxfId="136" priority="7">
      <formula>$D$4&lt;&gt;4</formula>
    </cfRule>
  </conditionalFormatting>
  <conditionalFormatting sqref="D49">
    <cfRule type="expression" dxfId="135" priority="8" stopIfTrue="1">
      <formula>IF($D$48&gt;0,IF($D$49=0,1,0),0)</formula>
    </cfRule>
  </conditionalFormatting>
  <conditionalFormatting sqref="G4">
    <cfRule type="expression" dxfId="134" priority="5">
      <formula>$D$4=4</formula>
    </cfRule>
  </conditionalFormatting>
  <conditionalFormatting sqref="I20">
    <cfRule type="expression" dxfId="133" priority="9">
      <formula>$F$4=$M$64</formula>
    </cfRule>
  </conditionalFormatting>
  <conditionalFormatting sqref="I22">
    <cfRule type="expression" dxfId="132" priority="10">
      <formula>$F$4=$M$63</formula>
    </cfRule>
  </conditionalFormatting>
  <dataValidations count="6">
    <dataValidation type="list" allowBlank="1" showInputMessage="1" showErrorMessage="1" sqref="F4" xr:uid="{990D285B-1D64-4CF9-95FA-265CFCA264D9}">
      <formula1>$M$63:$M$64</formula1>
    </dataValidation>
    <dataValidation type="list" allowBlank="1" showInputMessage="1" showErrorMessage="1" sqref="D6" xr:uid="{60346DDA-7297-484C-AE0F-08349AFC3DEB}">
      <formula1>$L$1:$L$2</formula1>
    </dataValidation>
    <dataValidation type="whole" allowBlank="1" showInputMessage="1" showErrorMessage="1" errorTitle="Musí být celé číslo" sqref="D4" xr:uid="{CA022D96-6E75-4DF0-8A43-F6E4EE01E7D1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FA2E4778-8242-4923-B1DC-3FF632C89BCA}">
      <formula1>0</formula1>
      <formula2>3040</formula2>
    </dataValidation>
    <dataValidation type="decimal" allowBlank="1" showInputMessage="1" showErrorMessage="1" errorTitle="Nelze tuto šířku" error="Šířka je omezena na maximálně 6000 mm" promptTitle="Maximální šířka je 6000 mm" sqref="C4" xr:uid="{E3A02CD7-F3C7-4FCF-9900-3231704D9AD4}">
      <formula1>0</formula1>
      <formula2>6000</formula2>
    </dataValidation>
    <dataValidation type="list" allowBlank="1" showInputMessage="1" showErrorMessage="1" sqref="E4" xr:uid="{7B825782-EC6E-446E-97D4-BC752AAF216F}">
      <formula1>$L$63:$L$64</formula1>
    </dataValidation>
  </dataValidations>
  <hyperlinks>
    <hyperlink ref="A2" location="profil!A1" display="FOX" xr:uid="{C88F8D02-CF5B-4763-B506-81F60A286CBD}"/>
    <hyperlink ref="A59" location="příslušenství!A56" display="příslušenství!A56" xr:uid="{16DC31D0-8CAA-4707-AE79-96762D0E51AA}"/>
    <hyperlink ref="A60" location="sys.10mm!A56" display="sys.10mm!A56" xr:uid="{987017AB-9A8C-44B1-8A1D-F75836D21C54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CC98E5-29F8-4A32-A307-4BAEB4BF1D39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DAD4-10BD-4910-9D3C-B7164AF0F152}">
  <sheetPr codeName="List48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texty!A254</f>
        <v>Prosper GM (ramowe)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8.25" customHeight="1" thickBot="1" x14ac:dyDescent="0.3">
      <c r="A3" s="582" t="str">
        <f>CONCATENATE(texty!A243," ",7,".",56)</f>
        <v>Katalog Okuć meblowych 2024 str. 7.56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IFERROR((((C4-3+(25*(D4-1)))/D4+IF(AND(D4=4,D6=2),M1,0))),"")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rozmiar wypełnienia 18mm: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IFERROR((B7-64),"")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dodatkowe zmniejszenie wysokośći wyliczonych wypełnień przy wykorzystaniu profili dzielących: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3.2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dylatacja 4 mm</v>
      </c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Tor górny: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Tor dolny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 maskujący (maskownica):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górne wózki</v>
      </c>
      <c r="B31" s="447">
        <v>228009</v>
      </c>
      <c r="C31" s="23" t="str">
        <f>+VLOOKUP(B31,cennik!A3:G984,2,FALSE)</f>
        <v>SEVROLL wózek górny Gemini symetryczny 10mm - 2szt</v>
      </c>
      <c r="D31" s="15">
        <f>IF((D50+D51)&gt;D4,0,D4-(D50+D51))</f>
        <v>0</v>
      </c>
      <c r="E31" s="86">
        <f>+VLOOKUP(B31,cennik!A:G,3,FALSE)</f>
        <v>23.174399999999999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dolne wózki</v>
      </c>
      <c r="B32" s="447">
        <f>IF(F4=M68,328321,229441)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szczotka odbojowa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rączka</v>
      </c>
      <c r="B34" s="447" t="e">
        <f>+VLOOKUP(P7,data!C886:D887,2,0)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śruba łącząca</v>
      </c>
      <c r="B35" s="447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listwa pozioma górna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listwa pozioma górna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poziomy dolny profil ramy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poziomy dolny profil ramy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Akcesoria:</v>
      </c>
      <c r="B41" s="15"/>
      <c r="C41" s="19"/>
      <c r="D41" s="343" t="str">
        <f>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pozycjoner wózka górnego</v>
      </c>
      <c r="B42" s="447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pozycjoner</v>
      </c>
      <c r="B43" s="447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Tłumienie MINI do 25 kg (para)</v>
      </c>
      <c r="B44" s="447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Tłumienie MINI do 40 kg (para)</v>
      </c>
      <c r="B45" s="415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Tłumienie MINI do 60 kg (para)</v>
      </c>
      <c r="B46" s="415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 xml:space="preserve"> Tłumienie do skrzydła środkowego do 25 kg </v>
      </c>
      <c r="B47" s="415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 xml:space="preserve"> Tłumienie do skrzydła środkowego do 40 kg </v>
      </c>
      <c r="B48" s="415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Wkręt do dolnego toru</v>
      </c>
      <c r="B49" s="447">
        <v>98019</v>
      </c>
      <c r="C49" s="23" t="str">
        <f>+VLOOKUP(B49,cennik!A:G,2,FALSE)</f>
        <v>SEVROLL wkręt 2,5x18mm</v>
      </c>
      <c r="D49" s="278"/>
      <c r="E49" s="86">
        <f>+VLOOKUP(B49,cennik!A:G,3,FALSE)</f>
        <v>0.10996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tłumienie (para)25 kg</v>
      </c>
      <c r="B50" s="415">
        <v>227185</v>
      </c>
      <c r="C50" s="23" t="str">
        <f>+VLOOKUP(B50,cennik!A:G,2,FALSE)</f>
        <v>K-SEVROLL tłumienie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tłumienie (para) 50 kg</v>
      </c>
      <c r="B51" s="415">
        <v>227187</v>
      </c>
      <c r="C51" s="23" t="str">
        <f>+VLOOKUP(B51,cennik!A:G,2,FALSE)</f>
        <v>K-SEVROLL tłumienie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zł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 łączący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 łączący H25-3metry</v>
      </c>
      <c r="B53" s="447" t="str">
        <f>IFERROR(VLOOKUP(P7,data!C891:D893,2,0),"N/A")</f>
        <v>N/A</v>
      </c>
      <c r="C53" s="23" t="str">
        <f>IF(B53=data!D64,texty!A239,+VLOOKUP(B53,cennik!A:G,2,FALSE))</f>
        <v> w tym kolorze i długości dany profil nie jest produkowany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śruba łącząca</v>
      </c>
      <c r="B54" s="447">
        <v>89244</v>
      </c>
      <c r="C54" s="23" t="str">
        <f>+VLOOKUP(B54,cennik!A:G,2,FALSE)</f>
        <v>SEVROLL blachowkręt 6,3x32 SEVROLL i Simple</v>
      </c>
      <c r="D54" s="354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Długość uszczelki w przypadku całkowitego zaszklenia (należy zamówić całe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(w przypadku kombinacji z profilami H należy dodać odpowiednią długość - uszczelka musi być na całym obwodzie każdego szkła)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uszczelka na szkło 4mm</v>
      </c>
      <c r="B61" s="447" t="s">
        <v>67</v>
      </c>
      <c r="C61" s="23" t="str">
        <f>+VLOOKUP(B61,cennik!A:G,2,FALSE)</f>
        <v>SEVROLL uszczelka bezbarwna 18/4-4,5 mm asymetryczna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 xml:space="preserve">tutaj można znaleźć inne akcesoria 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rysunek techniczny tego systemu</v>
      </c>
      <c r="B65" s="479">
        <v>129677</v>
      </c>
      <c r="C65" s="480" t="str">
        <f>VLOOKUP(B65,cennik!A:C,2,0)</f>
        <v>SEVROLL element montażowy do płyty laminowanej 10mm mały</v>
      </c>
      <c r="D65" s="355"/>
      <c r="E65" s="86">
        <f>+VLOOKUP(B65,cennik!A:G,3,FALSE)</f>
        <v>51.590769999999999</v>
      </c>
      <c r="F65" s="91">
        <f>+CEILING(D65,1)*E65</f>
        <v>0</v>
      </c>
      <c r="G65" s="87">
        <f>+F65</f>
        <v>0</v>
      </c>
      <c r="H65" s="22" t="str">
        <f>cennik!B2</f>
        <v>zł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wiertło stopniowe 6,5/9,5mm</v>
      </c>
      <c r="D66" s="355"/>
      <c r="E66" s="86">
        <f>+VLOOKUP(B66,cennik!A:G,3,FALSE)</f>
        <v>116.85122</v>
      </c>
      <c r="F66" s="91">
        <f>+CEILING(D66,1)*E66</f>
        <v>0</v>
      </c>
      <c r="G66" s="87">
        <f>+F66</f>
        <v>0</v>
      </c>
      <c r="H66" s="22" t="str">
        <f>cennik!B2</f>
        <v>zł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w sumie (bez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zł</v>
      </c>
      <c r="I68" s="22"/>
      <c r="J68" s="166"/>
      <c r="K68" s="166"/>
      <c r="L68" s="4" t="str">
        <f>data!J4</f>
        <v>srebrny</v>
      </c>
      <c r="M68" s="19" t="s">
        <v>968</v>
      </c>
    </row>
    <row r="69" spans="1:14" ht="12.75" customHeight="1" x14ac:dyDescent="0.25">
      <c r="A69" s="337" t="str">
        <f>System10!A67</f>
        <v>Uwagi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j.brąz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M70" s="19"/>
    </row>
    <row r="71" spans="1:14" ht="12.75" customHeight="1" x14ac:dyDescent="0.25">
      <c r="A71" s="680" t="str">
        <f>IF(N71=1,texty!A215,IF(K71&gt;0,texty!A214,""))</f>
        <v>niektóre elementy nie są produkowane w wybranej długości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BQeRTQnmrsZsRKhOE+TD0MVsbEuwtQqIa5Ay8FEsXTknEohJNJupFeuX30yDMB47UaYGbN8K8DAYF2ZJGcDI6Q==" saltValue="Hq/qEERYdjCEV6IC1utl3A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A67:I67"/>
    <mergeCell ref="B69:G69"/>
    <mergeCell ref="A70:H70"/>
    <mergeCell ref="I22:I23"/>
    <mergeCell ref="I20:I21"/>
  </mergeCells>
  <conditionalFormatting sqref="A14">
    <cfRule type="expression" dxfId="131" priority="3">
      <formula>SUM($D$47:$D$48)&gt;0</formula>
    </cfRule>
  </conditionalFormatting>
  <conditionalFormatting sqref="D6">
    <cfRule type="expression" dxfId="129" priority="7">
      <formula>$D$4=4</formula>
    </cfRule>
    <cfRule type="expression" dxfId="128" priority="8">
      <formula>$D$4&lt;&gt;4</formula>
    </cfRule>
  </conditionalFormatting>
  <conditionalFormatting sqref="D54">
    <cfRule type="expression" dxfId="127" priority="9" stopIfTrue="1">
      <formula>IF($D$53&gt;0,IF($D$54=0,1,0),0)</formula>
    </cfRule>
  </conditionalFormatting>
  <conditionalFormatting sqref="G4">
    <cfRule type="expression" dxfId="126" priority="6">
      <formula>$D$4=4</formula>
    </cfRule>
  </conditionalFormatting>
  <conditionalFormatting sqref="I20">
    <cfRule type="expression" dxfId="125" priority="4">
      <formula>$F$4=$M$69</formula>
    </cfRule>
  </conditionalFormatting>
  <conditionalFormatting sqref="I22">
    <cfRule type="expression" dxfId="124" priority="5">
      <formula>$F$4=$M$68</formula>
    </cfRule>
  </conditionalFormatting>
  <dataValidations count="6">
    <dataValidation type="list" allowBlank="1" showInputMessage="1" showErrorMessage="1" sqref="F4" xr:uid="{00037425-2DFC-44FC-8E38-1FA69DD5EC3F}">
      <formula1>$M$68:$M$69</formula1>
    </dataValidation>
    <dataValidation type="list" allowBlank="1" showInputMessage="1" showErrorMessage="1" sqref="D6" xr:uid="{0DCA943E-ABE9-4C16-9249-5BAE8FDEA51F}">
      <formula1>$L$1:$L$2</formula1>
    </dataValidation>
    <dataValidation type="whole" allowBlank="1" showInputMessage="1" showErrorMessage="1" errorTitle="Musí být celé číslo" sqref="D4" xr:uid="{CCC97A13-0ED5-4971-A0A9-3C4011437E53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9E51C5A0-2D98-4868-8C67-4BB909A0FAC3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CD9F199D-35D4-4182-8766-697EAF770B46}">
      <formula1>0</formula1>
      <formula2>6000</formula2>
    </dataValidation>
    <dataValidation type="list" allowBlank="1" showInputMessage="1" showErrorMessage="1" sqref="E4" xr:uid="{56563E21-7A00-408B-A6C2-164B221C5661}">
      <formula1>$L$68:$L$69</formula1>
    </dataValidation>
  </dataValidations>
  <hyperlinks>
    <hyperlink ref="A2" location="profil!A1" display="FOX" xr:uid="{666B556F-12D9-4856-A63B-938FBA726B8C}"/>
    <hyperlink ref="A64" location="příslušenství!A56" display="příslušenství!A56" xr:uid="{BBC7305F-2C58-42B5-821F-95E42A0035C2}"/>
    <hyperlink ref="A65" location="sys.10mm!A56" display="sys.10mm!A56" xr:uid="{0028A3C0-4147-456C-A4D9-D97D240985C9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E4C88-DC7D-430E-BE65-7D7FBC2F8FD2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02B-B5F0-40F2-AB10-8C06D6AD8E05}">
  <sheetPr codeName="List51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10937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texty!A255</f>
        <v>Prosper GM (bezramowe)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1.25" customHeight="1" thickBot="1" x14ac:dyDescent="0.3">
      <c r="A3" s="582" t="str">
        <f>CONCATENATE(texty!A243," ",7,".",56)</f>
        <v>Katalog Okuć meblowych 2024 str. 7.56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IFERROR(((C4-3+(25*(D4-1)))/D4+IF(AND(D4=4,D6=2),M1,0)),"")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>
        <f>IF(L11="jiné",M12,L11)</f>
        <v>1700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rozmiar wypełnienia 18mm:</v>
      </c>
      <c r="B8" s="53" t="str">
        <f>IFERROR((B7-2),"")</f>
        <v/>
      </c>
      <c r="C8" s="172" t="str">
        <f>IFERROR((C7-31),"")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Tor górny / dolny</v>
      </c>
      <c r="B9" s="491"/>
      <c r="C9" s="64" t="str">
        <f>TRIM(C4)</f>
        <v/>
      </c>
      <c r="D9" s="15"/>
      <c r="E9" s="15"/>
      <c r="F9" s="15"/>
      <c r="G9" s="330" t="str">
        <f>texty!A41</f>
        <v>ew. zabezpieczyć ją folią ochronną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rączka</v>
      </c>
      <c r="B10" s="63" t="str">
        <f>+B7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1.25" customHeight="1" x14ac:dyDescent="0.25">
      <c r="B11" s="492"/>
      <c r="D11" s="15"/>
      <c r="E11" s="15"/>
      <c r="F11" s="15"/>
      <c r="G11" s="21" t="str">
        <f>texty!A43</f>
        <v>Maksymalna waga skrzydła to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8.75" customHeight="1" x14ac:dyDescent="0.25">
      <c r="A12" s="710" t="str">
        <f>IF(SUM(D42:D43)&gt;0,texty!A246,"")</f>
        <v/>
      </c>
      <c r="B12" s="710"/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12.75" customHeight="1" x14ac:dyDescent="0.25">
      <c r="A13" s="710"/>
      <c r="B13" s="710"/>
      <c r="C13" s="60"/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4.5" customHeight="1" x14ac:dyDescent="0.25">
      <c r="A14" s="710"/>
      <c r="B14" s="710"/>
      <c r="C14" s="382" t="str">
        <f>texty!A78</f>
        <v>dodatkowe zmniejszenie wysokośći wyliczonych wypełnień przy wykorzystaniu profili dzielących:</v>
      </c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Tor górny: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Tor dolny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profil maskujący (maskownica):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górne wózki</v>
      </c>
      <c r="B31" s="447">
        <v>496944</v>
      </c>
      <c r="C31" s="23" t="str">
        <f>+VLOOKUP(B31,cennik!A:G,2,FALSE)</f>
        <v>SEVROLL 05689 GM 18 wózek górny 18mm - 2 szt.</v>
      </c>
      <c r="D31" s="15">
        <f>IF((D45+D46)&gt;D4,0,D4-(D45+D46))</f>
        <v>0</v>
      </c>
      <c r="E31" s="86">
        <f>+VLOOKUP(B31,cennik!A:G,3,FALSE)</f>
        <v>16.1568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dolne wózki</v>
      </c>
      <c r="B32" s="447">
        <v>229440</v>
      </c>
      <c r="C32" s="23" t="str">
        <f>+VLOOKUP(B32,cennik!A:G,2,FALSE)</f>
        <v>SEVROLL wózek dolny WD 18C HI-TEC - 2szt</v>
      </c>
      <c r="D32" s="15">
        <f>+D4</f>
        <v>0</v>
      </c>
      <c r="E32" s="86">
        <f>+VLOOKUP(B32,cennik!A:G,3,FALSE)</f>
        <v>17.546399999999998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szczotka odbojowa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rączka</v>
      </c>
      <c r="B34" s="447" t="e">
        <f>+VLOOKUP(P7,data!C886:D887,2,0)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Akcesoria:</v>
      </c>
      <c r="B36" s="15"/>
      <c r="C36" s="19"/>
      <c r="D36" s="343" t="str">
        <f>System10!D41</f>
        <v>podaj ilość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pozycjoner wózka górnego</v>
      </c>
      <c r="B37" s="447">
        <v>298035</v>
      </c>
      <c r="C37" s="23" t="str">
        <f>+VLOOKUP(B37,cennik!A:G,2,FALSE)</f>
        <v>SEVROLL Fix pozycjoner wózka górnego transparentny</v>
      </c>
      <c r="D37" s="278"/>
      <c r="E37" s="86">
        <f>+VLOOKUP(B37,cennik!A:G,3,FALSE)</f>
        <v>3.74519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zł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pozycjoner</v>
      </c>
      <c r="B38" s="447">
        <f>IF(F4="Gemini",387424,89063)</f>
        <v>89063</v>
      </c>
      <c r="C38" s="23" t="str">
        <f>+VLOOKUP(B38,cennik!A:G,2,FALSE)</f>
        <v>SEVROLL pozycjoner wózka dolnego HI-TEC</v>
      </c>
      <c r="D38" s="278"/>
      <c r="E38" s="86">
        <f>+VLOOKUP(B38,cennik!A:G,3,FALSE)</f>
        <v>1.071</v>
      </c>
      <c r="F38" s="91">
        <f t="shared" si="1"/>
        <v>0</v>
      </c>
      <c r="G38" s="87">
        <f>+F38*(100-G26)/100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 Tłumienie MINI do 25 kg (para)</v>
      </c>
      <c r="B39" s="447">
        <v>318662</v>
      </c>
      <c r="C39" s="23" t="str">
        <f>+VLOOKUP(B39,cennik!A:G,2,FALSE)</f>
        <v>SEVROLL tłumienie Mini SV25 (14-25kg)</v>
      </c>
      <c r="D39" s="278"/>
      <c r="E39" s="86">
        <f>+VLOOKUP(B39,cennik!A:G,3,FALSE)</f>
        <v>96.889799999999994</v>
      </c>
      <c r="F39" s="91">
        <f t="shared" si="1"/>
        <v>0</v>
      </c>
      <c r="G39" s="87">
        <f>+F39*(100-G26)/100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 Tłumienie MINI do 40 kg (para)</v>
      </c>
      <c r="B40" s="415">
        <v>283956</v>
      </c>
      <c r="C40" s="23" t="str">
        <f>+VLOOKUP(B40,cennik!A:G,2,FALSE)</f>
        <v>SEVROLL tłumienie Mini SV40 (25 - 40kg)</v>
      </c>
      <c r="D40" s="278"/>
      <c r="E40" s="86">
        <f>+VLOOKUP(B40,cennik!A:G,3,FALSE)</f>
        <v>96.889799999999994</v>
      </c>
      <c r="F40" s="91">
        <f t="shared" si="1"/>
        <v>0</v>
      </c>
      <c r="G40" s="87">
        <f>+F40*(100-G26)/100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 Tłumienie MINI do 60 kg (para)</v>
      </c>
      <c r="B41" s="415">
        <v>351743</v>
      </c>
      <c r="C41" s="23" t="str">
        <f>+VLOOKUP(B41,cennik!A:G,2,FALSE)</f>
        <v>SEVROLL tłumienie Mini SV60 (40 - 60kg)</v>
      </c>
      <c r="D41" s="278"/>
      <c r="E41" s="86">
        <f>+VLOOKUP(B41,cennik!A:G,3,FALSE)</f>
        <v>96.889799999999994</v>
      </c>
      <c r="F41" s="91">
        <f t="shared" si="1"/>
        <v>0</v>
      </c>
      <c r="G41" s="87">
        <f>+F41*(100-G26)/100</f>
        <v>0</v>
      </c>
      <c r="H41" s="22" t="str">
        <f>cennik!B2</f>
        <v>zł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 xml:space="preserve"> Tłumienie do skrzydła środkowego do 25 kg </v>
      </c>
      <c r="B42" s="415">
        <v>318663</v>
      </c>
      <c r="C42" s="23" t="str">
        <f>+VLOOKUP(B42,cennik!A:G,2,FALSE)</f>
        <v>SEVROLL tłumienie Central 10/18mm obustronne 25kg</v>
      </c>
      <c r="D42" s="278"/>
      <c r="E42" s="86">
        <f>+VLOOKUP(B42,cennik!A:G,3,FALSE)</f>
        <v>206.958</v>
      </c>
      <c r="F42" s="91">
        <f t="shared" si="1"/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 xml:space="preserve"> Tłumienie do skrzydła środkowego do 40 kg </v>
      </c>
      <c r="B43" s="415">
        <v>283955</v>
      </c>
      <c r="C43" s="23" t="str">
        <f>+VLOOKUP(B43,cennik!A:G,2,FALSE)</f>
        <v>SEVROLL tłumienie Central 10/18mm obustronne 25-40kg</v>
      </c>
      <c r="D43" s="278"/>
      <c r="E43" s="86">
        <f>+VLOOKUP(B43,cennik!A:G,3,FALSE)</f>
        <v>206.958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Wkręt do dolnego toru</v>
      </c>
      <c r="B44" s="447">
        <v>98019</v>
      </c>
      <c r="C44" s="23" t="str">
        <f>+VLOOKUP(B44,cennik!A:G,2,FALSE)</f>
        <v>SEVROLL wkręt 2,5x18mm</v>
      </c>
      <c r="D44" s="278"/>
      <c r="E44" s="86">
        <f>+VLOOKUP(B44,cennik!A:G,3,FALSE)</f>
        <v>0.10996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tłumienie (para)25 kg</v>
      </c>
      <c r="B45" s="415">
        <v>227185</v>
      </c>
      <c r="C45" s="23" t="str">
        <f>+VLOOKUP(B45,cennik!A:G,2,FALSE)</f>
        <v>K-SEVROLL tłumienie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tłumienie (para) 50 kg</v>
      </c>
      <c r="B46" s="415">
        <v>227187</v>
      </c>
      <c r="C46" s="23" t="str">
        <f>+VLOOKUP(B46,cennik!A:G,2,FALSE)</f>
        <v>K-SEVROLL tłumienie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profil łączący H18-3metry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profil łączący H25-3metry</v>
      </c>
      <c r="B48" s="447" t="str">
        <f>IFERROR(VLOOKUP(P7,data!C891:D893,2,0),"N/A")</f>
        <v>N/A</v>
      </c>
      <c r="C48" s="23" t="str">
        <f>IF(B48=data!D64,texty!A239,+VLOOKUP(B48,cennik!A:G,2,FALSE))</f>
        <v> w tym kolorze i długości dany profil nie jest produkowany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śruba łącząca</v>
      </c>
      <c r="B49" s="447">
        <v>89244</v>
      </c>
      <c r="C49" s="23" t="str">
        <f>+VLOOKUP(B49,cennik!A:G,2,FALSE)</f>
        <v>SEVROLL blachowkręt 6,3x32 SEVROLL i Simple</v>
      </c>
      <c r="D49" s="354"/>
      <c r="E49" s="86">
        <f>+VLOOKUP(B49,cennik!A:G,3,FALSE)</f>
        <v>0.52500000000000002</v>
      </c>
      <c r="F49" s="86">
        <f>+E49*D49</f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/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410"/>
      <c r="B57" s="447"/>
      <c r="C57" s="411"/>
      <c r="D57" s="448"/>
      <c r="E57" s="412"/>
      <c r="F57" s="416"/>
      <c r="G57" s="413"/>
      <c r="H57" s="41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 xml:space="preserve">tutaj można znaleźć inne akcesoria 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rysunek techniczny tego systemu</v>
      </c>
      <c r="B60" s="479">
        <v>129677</v>
      </c>
      <c r="C60" s="480" t="str">
        <f>VLOOKUP(B60,cennik!A:C,2,0)</f>
        <v>SEVROLL element montażowy do płyty laminowanej 10mm mały</v>
      </c>
      <c r="D60" s="355"/>
      <c r="E60" s="86">
        <f>+VLOOKUP(B60,cennik!A:G,3,FALSE)</f>
        <v>51.590769999999999</v>
      </c>
      <c r="F60" s="91">
        <f>+CEILING(D60,1)*E60</f>
        <v>0</v>
      </c>
      <c r="G60" s="87">
        <f>+F60</f>
        <v>0</v>
      </c>
      <c r="H60" s="22" t="str">
        <f>cennik!B2</f>
        <v>zł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wiertło stopniowe 6,5/9,5mm</v>
      </c>
      <c r="D61" s="355"/>
      <c r="E61" s="86">
        <f>+VLOOKUP(B61,cennik!A:G,3,FALSE)</f>
        <v>116.85122</v>
      </c>
      <c r="F61" s="91">
        <f>+CEILING(D61,1)*E61</f>
        <v>0</v>
      </c>
      <c r="G61" s="87">
        <f>+F61</f>
        <v>0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85" t="str">
        <f>IF(SUM(D45:D46)&gt;0,IF(C7&lt;(B4/3),texty!A212,""),"")</f>
        <v/>
      </c>
      <c r="B62" s="685"/>
      <c r="C62" s="685"/>
      <c r="D62" s="685"/>
      <c r="E62" s="685"/>
      <c r="F62" s="685"/>
      <c r="G62" s="685"/>
      <c r="H62" s="685"/>
      <c r="I62" s="68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w sumie (bez VAT)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zł</v>
      </c>
      <c r="I63" s="22"/>
      <c r="J63" s="166"/>
      <c r="K63" s="166"/>
      <c r="L63" s="4" t="str">
        <f>data!J4</f>
        <v>srebrny</v>
      </c>
      <c r="M63" s="19" t="s">
        <v>968</v>
      </c>
    </row>
    <row r="64" spans="1:13" ht="12.75" customHeight="1" x14ac:dyDescent="0.25">
      <c r="A64" s="337" t="str">
        <f>System10!A67</f>
        <v>Uwagi</v>
      </c>
      <c r="B64" s="690"/>
      <c r="C64" s="691"/>
      <c r="D64" s="691"/>
      <c r="E64" s="691"/>
      <c r="F64" s="691"/>
      <c r="G64" s="692"/>
      <c r="H64" s="22"/>
      <c r="I64" s="22"/>
      <c r="L64" s="4" t="str">
        <f>data!J6</f>
        <v>j.brąz</v>
      </c>
      <c r="M64" s="19" t="s">
        <v>42</v>
      </c>
    </row>
    <row r="65" spans="1:14" ht="12.75" customHeight="1" x14ac:dyDescent="0.25">
      <c r="A65" s="689" t="str">
        <f>profil!U15</f>
        <v/>
      </c>
      <c r="B65" s="679"/>
      <c r="C65" s="679"/>
      <c r="D65" s="679"/>
      <c r="E65" s="679"/>
      <c r="F65" s="679"/>
      <c r="G65" s="679"/>
      <c r="H65" s="679"/>
      <c r="I65" s="22"/>
      <c r="M65" s="19"/>
    </row>
    <row r="66" spans="1:14" ht="12.75" customHeight="1" x14ac:dyDescent="0.25">
      <c r="A66" s="680" t="str">
        <f>IF(N66=1,texty!A215,IF(K66&gt;0,texty!A214,""))</f>
        <v>niektóre elementy nie są produkowane w wybranej długości</v>
      </c>
      <c r="B66" s="680"/>
      <c r="C66" s="680"/>
      <c r="D66" s="680"/>
      <c r="E66" s="680"/>
      <c r="F66" s="680"/>
      <c r="G66" s="680"/>
      <c r="H66" s="680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SdSk5zb71gIN28AChRKy0I/edu929URdgiMjg7lKu9lCo5BNoC7HiihWO9mn+2cwZSxDBZcM0sbo+OIbdF+G5A==" saltValue="xgRmMOXR3H8+Fy3IcUWiPA==" spinCount="100000" sheet="1" objects="1" scenarios="1"/>
  <mergeCells count="13">
    <mergeCell ref="A66:H66"/>
    <mergeCell ref="A62:I62"/>
    <mergeCell ref="B64:G64"/>
    <mergeCell ref="A65:H65"/>
    <mergeCell ref="U6:U7"/>
    <mergeCell ref="I22:I23"/>
    <mergeCell ref="I20:I21"/>
    <mergeCell ref="G4:I6"/>
    <mergeCell ref="B5:F5"/>
    <mergeCell ref="R6:R7"/>
    <mergeCell ref="S6:S7"/>
    <mergeCell ref="T6:T7"/>
    <mergeCell ref="A12:B14"/>
  </mergeCells>
  <conditionalFormatting sqref="A12">
    <cfRule type="expression" dxfId="123" priority="2">
      <formula>SUM($D$42:$D$43)&gt;0</formula>
    </cfRule>
  </conditionalFormatting>
  <conditionalFormatting sqref="D6">
    <cfRule type="expression" dxfId="121" priority="6">
      <formula>$D$4=4</formula>
    </cfRule>
    <cfRule type="expression" dxfId="120" priority="7">
      <formula>$D$4&lt;&gt;4</formula>
    </cfRule>
  </conditionalFormatting>
  <conditionalFormatting sqref="D49">
    <cfRule type="expression" dxfId="119" priority="8" stopIfTrue="1">
      <formula>IF($D$48&gt;0,IF($D$49=0,1,0),0)</formula>
    </cfRule>
  </conditionalFormatting>
  <conditionalFormatting sqref="G4">
    <cfRule type="expression" dxfId="118" priority="5">
      <formula>$D$4=4</formula>
    </cfRule>
  </conditionalFormatting>
  <conditionalFormatting sqref="I20">
    <cfRule type="expression" dxfId="117" priority="405">
      <formula>$F$4=$M$64</formula>
    </cfRule>
  </conditionalFormatting>
  <conditionalFormatting sqref="I22">
    <cfRule type="expression" dxfId="116" priority="406">
      <formula>$F$4=$M$63</formula>
    </cfRule>
  </conditionalFormatting>
  <dataValidations count="6">
    <dataValidation type="list" allowBlank="1" showInputMessage="1" showErrorMessage="1" sqref="E4" xr:uid="{119390AB-C3DA-4188-BB13-9D754650B45A}">
      <formula1>$L$63:$L$64</formula1>
    </dataValidation>
    <dataValidation type="decimal" allowBlank="1" showInputMessage="1" showErrorMessage="1" errorTitle="Nelze tuto šířku" error="Šířka je omezena na maximálně 6000 mm" promptTitle="Maximální šířka je 6000 mm" sqref="C4" xr:uid="{E36232B4-A39B-4FE5-9CB8-9F388AC21085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C3304D04-24FA-465D-A9BA-EC53C83DD3A7}">
      <formula1>0</formula1>
      <formula2>2740</formula2>
    </dataValidation>
    <dataValidation type="whole" allowBlank="1" showInputMessage="1" showErrorMessage="1" errorTitle="Musí být celé číslo" sqref="D4" xr:uid="{5781BBAD-05CC-49CD-AF6B-7CD892B363D2}">
      <formula1>0</formula1>
      <formula2>9</formula2>
    </dataValidation>
    <dataValidation type="list" allowBlank="1" showInputMessage="1" showErrorMessage="1" sqref="D6" xr:uid="{D0A7E80A-0245-43A8-99F4-D5F19DF6DD1D}">
      <formula1>$L$1:$L$2</formula1>
    </dataValidation>
    <dataValidation type="list" allowBlank="1" showInputMessage="1" showErrorMessage="1" sqref="F4" xr:uid="{A1E6E261-C4D1-4DD7-BA01-C655B80CBDAA}">
      <formula1>$M$63:$M$64</formula1>
    </dataValidation>
  </dataValidations>
  <hyperlinks>
    <hyperlink ref="A2" location="profil!A1" display="FOX" xr:uid="{A1E2D70E-5EB6-4A83-8E78-D092CC23D24A}"/>
    <hyperlink ref="A59" location="příslušenství!A56" display="příslušenství!A56" xr:uid="{EC37291E-7E00-46FC-B959-2CE84A026DA0}"/>
    <hyperlink ref="A60" location="sys.10mm!A56" display="sys.10mm!A56" xr:uid="{CDA2018C-9E85-4558-8873-F8820834FD3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7A678C-06F3-4A3A-A91B-340EF38F8145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10485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8.6640625" style="4" bestFit="1" customWidth="1"/>
    <col min="7" max="7" width="14.6640625" style="4" customWidth="1"/>
    <col min="8" max="8" width="4.6640625" style="4" customWidth="1"/>
    <col min="9" max="9" width="24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8.664062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-9.75</v>
      </c>
    </row>
    <row r="2" spans="1:16" ht="18.75" customHeight="1" x14ac:dyDescent="0.25">
      <c r="A2" s="405" t="s">
        <v>707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42.7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2 742 mm /")</f>
        <v>wysokość / max.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699" t="str">
        <f>texty!A45</f>
        <v>wypełnij 5 pól !!!!! informacje w mm</v>
      </c>
      <c r="C5" s="699"/>
      <c r="D5" s="699"/>
      <c r="E5" s="699"/>
      <c r="F5" s="699"/>
      <c r="G5" s="695"/>
      <c r="H5" s="695"/>
      <c r="I5" s="695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skrzydło drzwi:</v>
      </c>
      <c r="B7" s="53" t="str">
        <f>IF(B4&gt;0,B4-42,"")</f>
        <v/>
      </c>
      <c r="C7" s="55" t="str">
        <f>IFERROR(((C4-3+36*(D4-1))/D4+IF(AND(D4=4,D6=2),M1,0)),"")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4" t="str">
        <f>System10!G11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rozmiar wypełnienia 12mm:</v>
      </c>
      <c r="B9" s="591" t="str">
        <f>IFERROR((B8+2),"")</f>
        <v/>
      </c>
      <c r="C9" s="172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rozmiar lustra / na DTD 12mm/</v>
      </c>
      <c r="B10" s="63" t="str">
        <f>IFERROR((B8-4),"")</f>
        <v/>
      </c>
      <c r="C10" s="592" t="str">
        <f>IFERROR((C9-20),"")</f>
        <v/>
      </c>
      <c r="D10" s="7"/>
      <c r="E10" s="7"/>
      <c r="F10" s="7"/>
      <c r="G10" s="46"/>
      <c r="H10" s="5"/>
      <c r="L10" s="33"/>
      <c r="M10" s="32"/>
    </row>
    <row r="11" spans="1:16" ht="12.75" customHeight="1" x14ac:dyDescent="0.25">
      <c r="A11" s="9" t="str">
        <f>texty!A51</f>
        <v>długość rączki (+ 2 mm )</v>
      </c>
      <c r="B11" s="63" t="str">
        <f>IFERROR((B8+2),"")</f>
        <v/>
      </c>
      <c r="C11" s="80"/>
      <c r="D11" s="7"/>
      <c r="E11" s="7"/>
      <c r="F11" s="7"/>
      <c r="G11" s="46"/>
      <c r="H11" s="5"/>
      <c r="L11" s="33"/>
      <c r="M11" s="32"/>
    </row>
    <row r="12" spans="1:16" ht="12.75" customHeight="1" x14ac:dyDescent="0.25">
      <c r="A12" s="9"/>
      <c r="B12" s="60"/>
      <c r="C12" s="62"/>
      <c r="D12" s="7"/>
      <c r="E12" s="7"/>
      <c r="F12" s="7"/>
      <c r="G12" s="45"/>
      <c r="H12" s="5"/>
      <c r="O12" s="15"/>
      <c r="P12" s="19"/>
    </row>
    <row r="13" spans="1:16" ht="13.2" x14ac:dyDescent="0.25">
      <c r="D13" s="7"/>
      <c r="E13" s="7"/>
      <c r="F13" s="7"/>
      <c r="G13" s="3"/>
      <c r="H13" s="5"/>
      <c r="L13" s="32"/>
      <c r="O13" s="21"/>
      <c r="P13" s="19"/>
    </row>
    <row r="14" spans="1:16" ht="12.75" customHeight="1" x14ac:dyDescent="0.25">
      <c r="A14" s="9"/>
      <c r="B14" s="378" t="str">
        <f>IF(B7&gt;2400,texty!A194,IF(C7&gt;700,texty!A194,""))</f>
        <v>Maksymalny wymiar skrzydła w lustrze 2400x700mm</v>
      </c>
      <c r="C14" s="155"/>
      <c r="D14" s="7"/>
      <c r="E14" s="7"/>
      <c r="F14" s="7"/>
      <c r="G14" s="3"/>
      <c r="H14" s="5"/>
      <c r="L14" s="32"/>
      <c r="O14" s="21"/>
      <c r="P14" s="19"/>
    </row>
    <row r="15" spans="1:16" ht="22.8" x14ac:dyDescent="0.25">
      <c r="A15" s="683" t="str">
        <f>IF(SUM(D41:D42)&gt;0,texty!A246,"")</f>
        <v/>
      </c>
      <c r="B15" s="683"/>
      <c r="C15" s="375" t="str">
        <f>texty!A78</f>
        <v>dodatkowe zmniejszenie wysokośći wyliczonych wypełnień przy wykorzystaniu profili dzielących:</v>
      </c>
      <c r="D15" s="7"/>
      <c r="E15" s="7"/>
      <c r="F15" s="7"/>
      <c r="G15" s="5"/>
      <c r="H15" s="5"/>
      <c r="L15" s="5"/>
    </row>
    <row r="16" spans="1:16" ht="34.5" customHeight="1" x14ac:dyDescent="0.25">
      <c r="A16" s="683"/>
      <c r="B16" s="683"/>
      <c r="C16" s="375"/>
      <c r="D16" s="7"/>
      <c r="E16" s="7"/>
      <c r="F16" s="7"/>
      <c r="G16" s="5"/>
      <c r="H16" s="5"/>
      <c r="L16" s="5"/>
    </row>
    <row r="17" spans="1:12" ht="12.75" customHeight="1" x14ac:dyDescent="0.25">
      <c r="B17" s="54"/>
      <c r="C17" s="81"/>
      <c r="D17" s="7"/>
      <c r="E17" s="7"/>
      <c r="F17" s="7"/>
      <c r="H17" s="5"/>
      <c r="L17" s="31"/>
    </row>
    <row r="18" spans="1:12" ht="12.75" customHeight="1" x14ac:dyDescent="0.25">
      <c r="A18" s="9"/>
      <c r="B18" s="7"/>
      <c r="C18" s="10"/>
      <c r="D18" s="7"/>
      <c r="E18" s="7"/>
      <c r="F18" s="7"/>
      <c r="H18" s="36"/>
      <c r="I18" s="686" t="s">
        <v>974</v>
      </c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86"/>
      <c r="L19" s="5"/>
    </row>
    <row r="20" spans="1:12" ht="12.75" customHeight="1" x14ac:dyDescent="0.25">
      <c r="A20" s="9"/>
      <c r="B20" s="7"/>
      <c r="C20" s="10"/>
      <c r="D20" s="7"/>
      <c r="E20" s="7"/>
      <c r="F20" s="7"/>
      <c r="G20" s="5"/>
      <c r="H20" s="5"/>
      <c r="I20" s="687" t="s">
        <v>975</v>
      </c>
      <c r="L20" s="5"/>
    </row>
    <row r="21" spans="1:12" ht="14.25" customHeight="1" x14ac:dyDescent="0.25">
      <c r="A21" s="9"/>
      <c r="B21" s="7"/>
      <c r="C21" s="25"/>
      <c r="D21" s="7"/>
      <c r="E21" s="7"/>
      <c r="F21" s="7"/>
      <c r="G21" s="5"/>
      <c r="H21" s="5"/>
      <c r="I21" s="687"/>
      <c r="L21" s="5"/>
    </row>
    <row r="22" spans="1:12" ht="16.5" customHeight="1" x14ac:dyDescent="0.25">
      <c r="A22" s="6"/>
      <c r="B22" s="7"/>
      <c r="C22" s="7"/>
      <c r="E22" s="7"/>
      <c r="F22" s="7"/>
      <c r="G22" s="5"/>
      <c r="H22" s="5"/>
      <c r="L22" s="5"/>
    </row>
    <row r="23" spans="1:12" ht="16.5" customHeight="1" x14ac:dyDescent="0.25">
      <c r="A23" s="377" t="s">
        <v>992</v>
      </c>
      <c r="B23" s="396" t="s">
        <v>999</v>
      </c>
      <c r="C23" s="7"/>
      <c r="D23" s="11"/>
      <c r="E23" s="7"/>
      <c r="F23" s="7"/>
      <c r="G23" s="5"/>
      <c r="H23" s="5"/>
      <c r="L23" s="4">
        <v>4.8</v>
      </c>
    </row>
    <row r="24" spans="1:12" ht="12.75" customHeight="1" x14ac:dyDescent="0.25">
      <c r="A24" s="6"/>
      <c r="B24" s="7"/>
      <c r="C24" s="7"/>
      <c r="D24" s="7"/>
      <c r="E24" s="7"/>
      <c r="F24" s="5"/>
      <c r="G24" s="126" t="str">
        <f>+System10!G25</f>
        <v>partnerska zniżka:</v>
      </c>
      <c r="H24" s="5"/>
      <c r="L24" s="4" t="str">
        <f>CONCATENATE(L23,"-",E4)</f>
        <v>4,8-</v>
      </c>
    </row>
    <row r="25" spans="1:12" ht="12.75" customHeight="1" x14ac:dyDescent="0.25">
      <c r="A25" s="123" t="str">
        <f>texty!A80</f>
        <v>Kody zamówieniowe, ceny:</v>
      </c>
      <c r="B25" s="7"/>
      <c r="C25" s="7"/>
      <c r="D25" s="7"/>
      <c r="E25" s="7"/>
      <c r="F25" s="5"/>
      <c r="G25" s="587">
        <f>profil!C15</f>
        <v>0</v>
      </c>
      <c r="H25" s="5" t="s">
        <v>55</v>
      </c>
      <c r="L25" s="5"/>
    </row>
    <row r="26" spans="1:12" s="77" customFormat="1" ht="12.75" customHeight="1" x14ac:dyDescent="0.25">
      <c r="A26" s="75"/>
      <c r="B26" s="76" t="str">
        <f>texty!A276</f>
        <v>kod</v>
      </c>
      <c r="C26" s="76" t="str">
        <f>+System10!C27</f>
        <v>nazwa</v>
      </c>
      <c r="D26" s="76" t="str">
        <f>+System10!D27</f>
        <v>szt.</v>
      </c>
      <c r="E26" s="76" t="str">
        <f>+System10!E27</f>
        <v>cena/szt.</v>
      </c>
      <c r="F26" s="16" t="str">
        <f>+System10!F27</f>
        <v>cena w sumie</v>
      </c>
      <c r="G26" s="16" t="str">
        <f>+System10!G27</f>
        <v>w sumie netto:</v>
      </c>
      <c r="H26" s="16"/>
      <c r="I26" s="16" t="str">
        <f>texty!A29</f>
        <v>Uwagi:</v>
      </c>
      <c r="K26" s="16"/>
      <c r="L26" s="16"/>
    </row>
    <row r="27" spans="1:12" ht="12.75" customHeight="1" x14ac:dyDescent="0.25">
      <c r="A27" s="6" t="str">
        <f>texty!A106</f>
        <v>tor górny:</v>
      </c>
      <c r="B27" s="7" t="e">
        <f>+VLOOKUP(L6,data!C211:D284,2,0)</f>
        <v>#N/A</v>
      </c>
      <c r="C27" s="23" t="e">
        <f>+VLOOKUP(B27,cennik!A:G,2,FALSE)</f>
        <v>#N/A</v>
      </c>
      <c r="D27" s="15" t="e">
        <f>IF(B27="N/A",0,1)</f>
        <v>#N/A</v>
      </c>
      <c r="E27" s="86" t="e">
        <f>+VLOOKUP(B27,cennik!A:G,3,FALSE)</f>
        <v>#N/A</v>
      </c>
      <c r="F27" s="86" t="e">
        <f t="shared" ref="F27:F33" si="0">+E27*D27</f>
        <v>#N/A</v>
      </c>
      <c r="G27" s="87" t="e">
        <f>+F27*(100-G25)/100</f>
        <v>#N/A</v>
      </c>
      <c r="H27" s="5" t="str">
        <f>cennik!B2</f>
        <v>zł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texty!A107</f>
        <v>Tor dolny</v>
      </c>
      <c r="B28" s="15" t="e">
        <f>+VLOOKUP(N6,data!C4:D113,2,0)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+F28*(100-G25)/100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</row>
    <row r="29" spans="1:12" ht="12.75" customHeight="1" x14ac:dyDescent="0.25">
      <c r="A29" s="320" t="str">
        <f>texty!A83</f>
        <v>profil maskujący (maskownica):</v>
      </c>
      <c r="B29" s="15" t="e">
        <f>+VLOOKUP(N6,data!C115:D210,2,0)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+F29*(100-G25)/100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/>
    </row>
    <row r="30" spans="1:12" ht="12.75" customHeight="1" x14ac:dyDescent="0.25">
      <c r="A30" s="6" t="str">
        <f>texty!A109</f>
        <v>górne wózki</v>
      </c>
      <c r="B30" s="15">
        <v>228023</v>
      </c>
      <c r="C30" s="23" t="str">
        <f>+VLOOKUP(B30,cennik!A3:G984,2,FALSE)</f>
        <v>SEVROLL Focus wózek górny 18mm 2szt</v>
      </c>
      <c r="D30" s="15">
        <f>IF((D43+D44)&gt;D4,0,D4-(D43+D44))</f>
        <v>0</v>
      </c>
      <c r="E30" s="86">
        <f>+VLOOKUP(B30,cennik!A:G,3,FALSE)</f>
        <v>13.907170000000001</v>
      </c>
      <c r="F30" s="86">
        <f t="shared" si="0"/>
        <v>0</v>
      </c>
      <c r="G30" s="87">
        <f>+F30*(100-G25)/100</f>
        <v>0</v>
      </c>
      <c r="H30" s="5" t="str">
        <f>cennik!B2</f>
        <v>zł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texty!A110</f>
        <v>dolne wózki</v>
      </c>
      <c r="B31" s="15">
        <f>IF(F4=M66,362316,229440)</f>
        <v>229440</v>
      </c>
      <c r="C31" s="23" t="str">
        <f>+VLOOKUP(B31,cennik!A:G,2,FALSE)</f>
        <v>SEVROLL wózek dolny WD 18C HI-TEC - 2szt</v>
      </c>
      <c r="D31" s="15">
        <f>+D4</f>
        <v>0</v>
      </c>
      <c r="E31" s="86">
        <f>+VLOOKUP(B31,cennik!A:G,3,FALSE)</f>
        <v>17.546399999999998</v>
      </c>
      <c r="F31" s="86">
        <f t="shared" si="0"/>
        <v>0</v>
      </c>
      <c r="G31" s="87">
        <f>+F31*(100-G25)/100</f>
        <v>0</v>
      </c>
      <c r="H31" s="5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 t="str">
        <f>texty!A89</f>
        <v>szczotka odbojowa</v>
      </c>
      <c r="B32" s="15" t="e">
        <f>+VLOOKUP(L24,data!C839:D863,2,0)</f>
        <v>#N/A</v>
      </c>
      <c r="C32" s="23" t="e">
        <f>+VLOOKUP(B32,cennik!A:G,2,FALSE)</f>
        <v>#N/A</v>
      </c>
      <c r="D32" s="15">
        <f>CEILING((B4*D4*2/1000),1)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+F32*(100-G25)/100</f>
        <v>#N/A</v>
      </c>
      <c r="H32" s="5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texty!A113</f>
        <v>rączka</v>
      </c>
      <c r="B33" s="15" t="e">
        <f>+VLOOKUP(P7,data!C568:D576,2,0)</f>
        <v>#N/A</v>
      </c>
      <c r="C33" s="475" t="e">
        <f>+VLOOKUP(B33,cennik!A:G,2,FALSE)</f>
        <v>#N/A</v>
      </c>
      <c r="D33" s="15">
        <f>IF(B9&lt;=1347,D4*2/2,D4*2)</f>
        <v>0</v>
      </c>
      <c r="E33" s="193" t="e">
        <f>+VLOOKUP(B33,cennik!A:G,3,FALSE)</f>
        <v>#N/A</v>
      </c>
      <c r="F33" s="99" t="e">
        <f t="shared" si="0"/>
        <v>#N/A</v>
      </c>
      <c r="G33" s="87" t="e">
        <f>+F33*(100-G25)/100</f>
        <v>#N/A</v>
      </c>
      <c r="H33" s="5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6"/>
      <c r="B34" s="15"/>
      <c r="C34" s="23"/>
      <c r="D34" s="15"/>
      <c r="E34" s="86"/>
      <c r="F34" s="99"/>
      <c r="G34" s="98"/>
      <c r="H34" s="5"/>
      <c r="I34" s="363" t="str">
        <f>IFERROR(IF((VLOOKUP(B34,cennik!A:L,12,0))="O",texty!A250,""),"")</f>
        <v/>
      </c>
      <c r="K34" s="166"/>
      <c r="L34" s="5"/>
    </row>
    <row r="35" spans="1:12" s="120" customFormat="1" ht="12.75" customHeight="1" x14ac:dyDescent="0.25">
      <c r="A35" s="12" t="str">
        <f>texty!A66</f>
        <v>Akcesoria:</v>
      </c>
      <c r="B35" s="319"/>
      <c r="C35" s="116"/>
      <c r="D35" s="370" t="str">
        <f>System10!D41</f>
        <v>podaj ilość</v>
      </c>
      <c r="E35" s="124"/>
      <c r="F35" s="117"/>
      <c r="G35" s="118"/>
      <c r="H35" s="119"/>
      <c r="I35" s="363" t="str">
        <f>IFERROR(IF((VLOOKUP(B35,cennik!A:L,12,0))="O",texty!A250,""),"")</f>
        <v/>
      </c>
      <c r="K35" s="167"/>
    </row>
    <row r="36" spans="1:12" s="120" customFormat="1" ht="12.75" customHeight="1" x14ac:dyDescent="0.25">
      <c r="A36" s="6" t="str">
        <f>texty!A88</f>
        <v>pozycjoner wózka górnego</v>
      </c>
      <c r="B36" s="66">
        <v>298035</v>
      </c>
      <c r="C36" s="475" t="str">
        <f>+VLOOKUP(B36,cennik!A:G,2,FALSE)</f>
        <v>SEVROLL Fix pozycjoner wózka górnego transparentny</v>
      </c>
      <c r="D36" s="27"/>
      <c r="E36" s="193">
        <f>+VLOOKUP(B36,cennik!A:G,3,FALSE)</f>
        <v>3.74519</v>
      </c>
      <c r="F36" s="99">
        <f>+E36*D36</f>
        <v>0</v>
      </c>
      <c r="G36" s="98">
        <f>+F36*(100-G25)/100</f>
        <v>0</v>
      </c>
      <c r="H36" s="5" t="str">
        <f>cennik!B2</f>
        <v>zł</v>
      </c>
      <c r="I36" s="363" t="str">
        <f>IFERROR(IF((VLOOKUP(B36,cennik!A:L,12,0))="O",texty!A250,""),"")</f>
        <v/>
      </c>
      <c r="J36" s="174"/>
      <c r="K36" s="174" t="str">
        <f>IF(D36&gt;0,IF(VLOOKUP(B36,cennik!A:L,12,FALSE)="O",1,""),"")</f>
        <v/>
      </c>
    </row>
    <row r="37" spans="1:12" ht="12.75" customHeight="1" x14ac:dyDescent="0.25">
      <c r="A37" s="6" t="str">
        <f>texty!A111</f>
        <v>pozycjoner</v>
      </c>
      <c r="B37" s="15">
        <f>IF(F4="Gemini",387424,89063)</f>
        <v>89063</v>
      </c>
      <c r="C37" s="475" t="str">
        <f>+VLOOKUP(B37,cennik!A:G,2,FALSE)</f>
        <v>SEVROLL pozycjoner wózka dolnego HI-TEC</v>
      </c>
      <c r="D37" s="27"/>
      <c r="E37" s="193">
        <f>+VLOOKUP(B37,cennik!A:G,3,FALSE)</f>
        <v>1.071</v>
      </c>
      <c r="F37" s="99">
        <f t="shared" ref="F37:F59" si="1">+E37*D37</f>
        <v>0</v>
      </c>
      <c r="G37" s="98">
        <f>+F37*(100-G25)/100</f>
        <v>0</v>
      </c>
      <c r="H37" s="5" t="str">
        <f>cennik!B2</f>
        <v>zł</v>
      </c>
      <c r="I37" s="363" t="str">
        <f>IFERROR(IF((VLOOKUP(B37,cennik!A:L,12,0))="O",texty!A250,""),"")</f>
        <v/>
      </c>
      <c r="J37" s="174"/>
      <c r="K37" s="174" t="str">
        <f>IF(D37&gt;0,IF(VLOOKUP(B37,cennik!A:L,12,FALSE)="O",1,""),"")</f>
        <v/>
      </c>
    </row>
    <row r="38" spans="1:12" ht="12.75" customHeight="1" x14ac:dyDescent="0.25">
      <c r="A38" s="320" t="str">
        <f>texty!A228</f>
        <v> Tłumienie MINI do 25 kg (para)</v>
      </c>
      <c r="B38" s="15">
        <v>318662</v>
      </c>
      <c r="C38" s="23" t="str">
        <f>+VLOOKUP(B38,cennik!A:G,2,FALSE)</f>
        <v>SEVROLL tłumienie Mini SV25 (14-25kg)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+F38*(100-G25)/100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/>
      <c r="K38" s="174" t="str">
        <f>IF(D38&gt;0,IF(VLOOKUP(B38,cennik!A:L,12,FALSE)="O",1,""),"")</f>
        <v/>
      </c>
    </row>
    <row r="39" spans="1:12" ht="12.75" customHeight="1" x14ac:dyDescent="0.25">
      <c r="A39" s="320" t="str">
        <f>texty!A229</f>
        <v> Tłumienie MINI do 40 kg (para)</v>
      </c>
      <c r="B39" s="22">
        <v>283956</v>
      </c>
      <c r="C39" s="23" t="str">
        <f>+VLOOKUP(B39,cennik!A:G,2,FALSE)</f>
        <v>SEVROLL tłumienie Mini SV40 (25 - 40kg)</v>
      </c>
      <c r="D39" s="278"/>
      <c r="E39" s="86">
        <f>+VLOOKUP(B39,cennik!A:G,3,FALSE)</f>
        <v>96.889799999999994</v>
      </c>
      <c r="F39" s="91">
        <f>+CEILING(D39,1)*E39</f>
        <v>0</v>
      </c>
      <c r="G39" s="98">
        <f>+F39*(100-G25)/100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/>
      <c r="K39" s="174" t="str">
        <f>IF(D39&gt;0,IF(VLOOKUP(B39,cennik!A:L,12,FALSE)="O",1,""),"")</f>
        <v/>
      </c>
    </row>
    <row r="40" spans="1:12" ht="12.75" customHeight="1" x14ac:dyDescent="0.25">
      <c r="A40" s="320" t="str">
        <f>texty!A230</f>
        <v> Tłumienie MINI do 60 kg (para)</v>
      </c>
      <c r="B40" s="22">
        <v>351743</v>
      </c>
      <c r="C40" s="23" t="str">
        <f>+VLOOKUP(B40,cennik!A:G,2,FALSE)</f>
        <v>SEVROLL tłumienie Mini SV60 (40 - 60kg)</v>
      </c>
      <c r="D40" s="278"/>
      <c r="E40" s="86">
        <f>+VLOOKUP(B40,cennik!A:G,3,FALSE)</f>
        <v>96.889799999999994</v>
      </c>
      <c r="F40" s="91">
        <f>+CEILING(D40,1)*E40</f>
        <v>0</v>
      </c>
      <c r="G40" s="98">
        <f>+F40*(100-G25)/100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/>
      <c r="K40" s="174" t="str">
        <f>IF(D40&gt;0,IF(VLOOKUP(B40,cennik!A:L,12,FALSE)="O",1,""),"")</f>
        <v/>
      </c>
    </row>
    <row r="41" spans="1:12" ht="12.75" customHeight="1" x14ac:dyDescent="0.25">
      <c r="A41" s="320" t="str">
        <f>texty!A231</f>
        <v xml:space="preserve"> Tłumienie do skrzydła środkowego do 25 kg </v>
      </c>
      <c r="B41" s="22">
        <v>318663</v>
      </c>
      <c r="C41" s="23" t="str">
        <f>+VLOOKUP(B41,cennik!A:G,2,FALSE)</f>
        <v>SEVROLL tłumienie Central 10/18mm obustronne 25kg</v>
      </c>
      <c r="D41" s="278"/>
      <c r="E41" s="86">
        <f>+VLOOKUP(B41,cennik!A:G,3,FALSE)</f>
        <v>206.958</v>
      </c>
      <c r="F41" s="91">
        <f>+CEILING(D41,1)*E41</f>
        <v>0</v>
      </c>
      <c r="G41" s="98">
        <f>+F41*(100-G25)/100</f>
        <v>0</v>
      </c>
      <c r="H41" s="22" t="str">
        <f>cennik!B2</f>
        <v>zł</v>
      </c>
      <c r="I41" s="363" t="str">
        <f>IFERROR(IF((VLOOKUP(B41,cennik!A:L,12,0))="O",texty!A250,""),"")</f>
        <v/>
      </c>
      <c r="J41" s="174"/>
      <c r="K41" s="174" t="str">
        <f>IF(D41&gt;0,IF(VLOOKUP(B41,cennik!A:L,12,FALSE)="O",1,""),"")</f>
        <v/>
      </c>
    </row>
    <row r="42" spans="1:12" ht="12.75" customHeight="1" x14ac:dyDescent="0.25">
      <c r="A42" s="320" t="str">
        <f>texty!A232</f>
        <v xml:space="preserve"> Tłumienie do skrzydła środkowego do 40 kg </v>
      </c>
      <c r="B42" s="22">
        <v>283955</v>
      </c>
      <c r="C42" s="23" t="str">
        <f>+VLOOKUP(B42,cennik!A:G,2,FALSE)</f>
        <v>SEVROLL tłumienie Central 10/18mm obustronne 25-40kg</v>
      </c>
      <c r="D42" s="278"/>
      <c r="E42" s="86">
        <f>+VLOOKUP(B42,cennik!A:G,3,FALSE)</f>
        <v>206.958</v>
      </c>
      <c r="F42" s="91">
        <f>+CEILING(D42,1)*E42</f>
        <v>0</v>
      </c>
      <c r="G42" s="98">
        <f>+F42*(100-G25)/100</f>
        <v>0</v>
      </c>
      <c r="H42" s="22" t="str">
        <f>cennik!B2</f>
        <v>zł</v>
      </c>
      <c r="I42" s="363" t="str">
        <f>IFERROR(IF((VLOOKUP(B42,cennik!A:L,12,0))="O",texty!A250,""),"")</f>
        <v/>
      </c>
      <c r="J42" s="174"/>
      <c r="K42" s="174" t="str">
        <f>IF(D42&gt;0,IF(VLOOKUP(B42,cennik!A:L,12,FALSE)="O",1,""),"")</f>
        <v/>
      </c>
    </row>
    <row r="43" spans="1:12" ht="12.75" customHeight="1" x14ac:dyDescent="0.25">
      <c r="A43" s="6" t="str">
        <f>texty!A97</f>
        <v>tłumienie (para)25 kg</v>
      </c>
      <c r="B43" s="22">
        <v>227185</v>
      </c>
      <c r="C43" s="475" t="str">
        <f>+VLOOKUP(B43,cennik!A:G,2,FALSE)</f>
        <v>K-SEVROLL tłumienie 10/18mm 14-25kg L+P</v>
      </c>
      <c r="D43" s="27"/>
      <c r="E43" s="193">
        <f>+VLOOKUP(B43,cennik!A:G,3,FALSE)</f>
        <v>0</v>
      </c>
      <c r="F43" s="99">
        <f>+E43*D43</f>
        <v>0</v>
      </c>
      <c r="G43" s="98">
        <f>+F43*(100-G25)/100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/>
      <c r="K43" s="174" t="str">
        <f>IF(D43&gt;0,IF(VLOOKUP(B43,cennik!A:L,12,FALSE)="O",1,""),"")</f>
        <v/>
      </c>
    </row>
    <row r="44" spans="1:12" ht="12.75" customHeight="1" x14ac:dyDescent="0.25">
      <c r="A44" s="6" t="str">
        <f>texty!A98</f>
        <v>tłumienie (para) 50 kg</v>
      </c>
      <c r="B44" s="22">
        <v>227187</v>
      </c>
      <c r="C44" s="475" t="str">
        <f>+VLOOKUP(B44,cennik!A:G,2,FALSE)</f>
        <v>K-SEVROLL tłumienie 10/18mm 25-50kg L+P</v>
      </c>
      <c r="D44" s="27"/>
      <c r="E44" s="193">
        <f>+VLOOKUP(B44,cennik!A:G,3,FALSE)</f>
        <v>0</v>
      </c>
      <c r="F44" s="99">
        <f>+E44*D44</f>
        <v>0</v>
      </c>
      <c r="G44" s="98">
        <f>+F44*(100-G25)/100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/>
      <c r="K44" s="174" t="str">
        <f>IF(D44&gt;0,IF(VLOOKUP(B44,cennik!A:L,12,FALSE)="O",1,""),"")</f>
        <v/>
      </c>
    </row>
    <row r="45" spans="1:12" ht="12.75" customHeight="1" x14ac:dyDescent="0.25">
      <c r="A45" s="6" t="str">
        <f>texty!A196</f>
        <v>Klamra szczotki odbojowej</v>
      </c>
      <c r="B45" s="15">
        <v>223569</v>
      </c>
      <c r="C45" s="475" t="str">
        <f>+VLOOKUP(B45,cennik!A:G,2,FALSE)</f>
        <v>SEVROLL klips do szczotki przeciwkurzowej</v>
      </c>
      <c r="D45" s="27"/>
      <c r="E45" s="193">
        <f>+VLOOKUP(B45,cennik!A:G,3,FALSE)</f>
        <v>0.23857999999999999</v>
      </c>
      <c r="F45" s="99">
        <f t="shared" si="1"/>
        <v>0</v>
      </c>
      <c r="G45" s="98">
        <f>+F45*(100-G25)/100</f>
        <v>0</v>
      </c>
      <c r="H45" s="5" t="str">
        <f>cennik!B2</f>
        <v>zł</v>
      </c>
      <c r="I45" s="363" t="str">
        <f>IFERROR(IF((VLOOKUP(B45,cennik!A:L,12,0))="O",texty!A250,""),"")</f>
        <v/>
      </c>
      <c r="J45" s="174"/>
      <c r="K45" s="174" t="str">
        <f>IF(D45&gt;0,IF(VLOOKUP(B45,cennik!A:L,12,FALSE)="O",1,""),"")</f>
        <v/>
      </c>
    </row>
    <row r="46" spans="1:12" ht="12.75" customHeight="1" x14ac:dyDescent="0.25">
      <c r="A46" s="134" t="str">
        <f>texty!A114</f>
        <v>profil łączący H18-3metry</v>
      </c>
      <c r="B46" s="15" t="e">
        <f>+VLOOKUP(P7,data!C577:D588,2,0)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+F46*(100-G25)/100</f>
        <v>#N/A</v>
      </c>
      <c r="H46" s="5" t="str">
        <f>cennik!B2</f>
        <v>zł</v>
      </c>
      <c r="I46" s="363" t="str">
        <f>IFERROR(IF((VLOOKUP(B46,cennik!A:L,12,0))="O",texty!A250,""),"")</f>
        <v/>
      </c>
      <c r="J46" s="174"/>
      <c r="K46" s="174" t="str">
        <f>IF(D46&gt;0,IF(VLOOKUP(B46,cennik!A:L,12,FALSE)="O",1,""),"")</f>
        <v/>
      </c>
    </row>
    <row r="47" spans="1:12" ht="12.75" customHeight="1" x14ac:dyDescent="0.25">
      <c r="A47" s="134" t="str">
        <f>texty!A115</f>
        <v>Teownik -3metry</v>
      </c>
      <c r="B47" s="15" t="str">
        <f>IFERROR(VLOOKUP(P7,data!C589:D598,2,0),"N/A")</f>
        <v>N/A</v>
      </c>
      <c r="C47" s="475" t="str">
        <f>IF(B47=data!D64,texty!A239,+VLOOKUP(B47,cennik!A:G,2,FALSE))</f>
        <v> w tym kolorze i długości dany profil nie jest produkowany</v>
      </c>
      <c r="D47" s="27"/>
      <c r="E47" s="86">
        <f>IF(B47=data!D73,0,+VLOOKUP(B47,cennik!A:G,3,FALSE))</f>
        <v>0</v>
      </c>
      <c r="F47" s="86">
        <f t="shared" si="1"/>
        <v>0</v>
      </c>
      <c r="G47" s="98">
        <f>+F47*(100-G25)/100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174"/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texty!A116</f>
        <v>Teownik decor -3metry</v>
      </c>
      <c r="B48" s="15" t="str">
        <f>IFERROR(VLOOKUP(P7,data!C599:D608,2,0),"N/A")</f>
        <v>N/A</v>
      </c>
      <c r="C48" s="475" t="str">
        <f>IF(B48=data!D64,texty!A239,+VLOOKUP(B48,cennik!A:G,2,FALSE))</f>
        <v> w tym kolorze i długości dany profil nie jest produkowany</v>
      </c>
      <c r="D48" s="27"/>
      <c r="E48" s="86">
        <f>IF(B48=data!D73,0,+VLOOKUP(B48,cennik!A:G,3,FALSE))</f>
        <v>0</v>
      </c>
      <c r="F48" s="86">
        <f t="shared" si="1"/>
        <v>0</v>
      </c>
      <c r="G48" s="98">
        <f>+F48*(100-G25)/100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174"/>
      <c r="K48" s="174" t="str">
        <f>IF(D48&gt;0,IF(VLOOKUP(B48,cennik!A:L,12,FALSE)="O",1,""),"")</f>
        <v/>
      </c>
    </row>
    <row r="49" spans="1:12" ht="12.75" customHeight="1" x14ac:dyDescent="0.25">
      <c r="A49" s="134" t="str">
        <f>texty!A117</f>
        <v>"U" profil na DTD 18mm- 3 metry /gładki/</v>
      </c>
      <c r="B49" s="15" t="e">
        <f>+VLOOKUP(P7,data!C609:D619,2,0)</f>
        <v>#N/A</v>
      </c>
      <c r="C49" s="475" t="e">
        <f>+VLOOKUP(B49,cennik!A:G,2,FALSE)</f>
        <v>#N/A</v>
      </c>
      <c r="D49" s="27"/>
      <c r="E49" s="193" t="e">
        <f>+VLOOKUP(B49,cennik!A:G,3,FALSE)</f>
        <v>#N/A</v>
      </c>
      <c r="F49" s="99" t="e">
        <f t="shared" si="1"/>
        <v>#N/A</v>
      </c>
      <c r="G49" s="98" t="e">
        <f>+F49*(100-G25)/100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/>
      <c r="K49" s="174" t="str">
        <f>IF(D49&gt;0,IF(VLOOKUP(B49,cennik!A:L,12,FALSE)="O",1,""),"")</f>
        <v/>
      </c>
    </row>
    <row r="50" spans="1:12" ht="12.75" customHeight="1" x14ac:dyDescent="0.25">
      <c r="A50" s="134" t="str">
        <f>texty!A118</f>
        <v>"U" profil na DTD 18mm- 3 metry</v>
      </c>
      <c r="B50" s="15" t="str">
        <f>IFERROR(VLOOKUP(P7,data!C620:D629,2,0),"N/A")</f>
        <v>N/A</v>
      </c>
      <c r="C50" s="475" t="str">
        <f>IF(B50=data!D64,texty!A239,+VLOOKUP(B50,cennik!A:G,2,FALSE))</f>
        <v> w tym kolorze i długości dany profil nie jest produkowany</v>
      </c>
      <c r="D50" s="27"/>
      <c r="E50" s="86">
        <f>IF(B50=data!D73,0,+VLOOKUP(B50,cennik!A:G,3,FALSE))</f>
        <v>0</v>
      </c>
      <c r="F50" s="86">
        <f t="shared" si="1"/>
        <v>0</v>
      </c>
      <c r="G50" s="98">
        <f>+F50*(100-G25)/100</f>
        <v>0</v>
      </c>
      <c r="H50" s="5" t="str">
        <f>cennik!B2</f>
        <v>zł</v>
      </c>
      <c r="I50" s="363" t="str">
        <f>IFERROR(IF((VLOOKUP(B50,cennik!A:L,12,0))="O",texty!A250,""),"")</f>
        <v/>
      </c>
      <c r="J50" s="174"/>
      <c r="K50" s="174" t="str">
        <f>IF(D50&gt;0,IF(VLOOKUP(B50,cennik!A:L,12,FALSE)="O",1,""),"")</f>
        <v/>
      </c>
    </row>
    <row r="51" spans="1:12" ht="12.75" customHeight="1" x14ac:dyDescent="0.25">
      <c r="A51" s="134" t="str">
        <f>texty!A119</f>
        <v>kątownik mini 11x17mm - 1,7m</v>
      </c>
      <c r="B51" s="5" t="e">
        <f>+VLOOKUP(P7,data!C630:D641,2,0)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+F51*(100-G25)/100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/>
      <c r="K51" s="174" t="str">
        <f>IF(D51&gt;0,IF(VLOOKUP(B51,cennik!A:L,12,FALSE)="O",1,""),"")</f>
        <v/>
      </c>
      <c r="L51" s="3"/>
    </row>
    <row r="52" spans="1:12" ht="12.75" customHeight="1" x14ac:dyDescent="0.25">
      <c r="A52" s="134" t="str">
        <f>texty!A120</f>
        <v>kątownik mini 11x17mm - 2,35m</v>
      </c>
      <c r="B52" s="5" t="e">
        <f>+VLOOKUP(P7,data!C642:D653,2,0)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+F52*(100-G25)/100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/>
      <c r="K52" s="174" t="str">
        <f>IF(D52&gt;0,IF(VLOOKUP(B52,cennik!A:L,12,FALSE)="O",1,""),"")</f>
        <v/>
      </c>
      <c r="L52" s="3"/>
    </row>
    <row r="53" spans="1:12" ht="12.75" customHeight="1" x14ac:dyDescent="0.25">
      <c r="A53" s="134" t="str">
        <f>texty!A121</f>
        <v>kątownik mini 11x17mm - 3,00m</v>
      </c>
      <c r="B53" s="7" t="e">
        <f>+VLOOKUP(P7,data!C654:D665,2,0)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+F53*(100-G25)/100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/>
      <c r="K53" s="174" t="str">
        <f>IF(D53&gt;0,IF(VLOOKUP(B53,cennik!A:L,12,FALSE)="O",1,""),"")</f>
        <v/>
      </c>
      <c r="L53" s="3"/>
    </row>
    <row r="54" spans="1:12" ht="12.75" customHeight="1" x14ac:dyDescent="0.25">
      <c r="A54" s="134" t="str">
        <f>texty!A122</f>
        <v>kątownik K2 19x18mm - 1,7m</v>
      </c>
      <c r="B54" s="22" t="str">
        <f>IFERROR(VLOOKUP(P7,data!C666:D675,2,0),"N/A")</f>
        <v>N/A</v>
      </c>
      <c r="C54" s="475" t="str">
        <f>IF(B54=data!D64,texty!A239,+VLOOKUP(B54,cennik!A:G,2,FALSE))</f>
        <v> w tym kolorze i długości dany profil nie jest produkowany</v>
      </c>
      <c r="D54" s="27"/>
      <c r="E54" s="86">
        <f>IF(B54=data!D73,0,+VLOOKUP(B54,cennik!A:G,3,FALSE))</f>
        <v>0</v>
      </c>
      <c r="F54" s="86">
        <f>+E54*D54</f>
        <v>0</v>
      </c>
      <c r="G54" s="98">
        <f>+F54*(100-G25)/100</f>
        <v>0</v>
      </c>
      <c r="H54" s="5" t="str">
        <f>cennik!B2</f>
        <v>zł</v>
      </c>
      <c r="I54" s="363" t="str">
        <f>IFERROR(IF((VLOOKUP(B54,cennik!A:L,12,0))="O",texty!A250,""),"")</f>
        <v/>
      </c>
      <c r="J54" s="174"/>
      <c r="K54" s="174" t="str">
        <f>IF(D54&gt;0,IF(VLOOKUP(B54,cennik!A:L,12,FALSE)="O",1,""),"")</f>
        <v/>
      </c>
      <c r="L54" s="5"/>
    </row>
    <row r="55" spans="1:12" ht="12.75" customHeight="1" x14ac:dyDescent="0.25">
      <c r="A55" s="134" t="str">
        <f>texty!A123</f>
        <v>kątownik K2 19x18mm - 2,35m</v>
      </c>
      <c r="B55" s="15" t="str">
        <f>IFERROR(VLOOKUP(P7,data!C676:D685,2,0),"N/A")</f>
        <v>N/A</v>
      </c>
      <c r="C55" s="475" t="str">
        <f>IF(B55=data!D64,texty!A239,+VLOOKUP(B55,cennik!A:G,2,FALSE))</f>
        <v> w tym kolorze i długości dany profil nie jest produkowany</v>
      </c>
      <c r="D55" s="28"/>
      <c r="E55" s="86">
        <f>IF(B55=data!D73,0,+VLOOKUP(B55,cennik!A:G,3,FALSE))</f>
        <v>0</v>
      </c>
      <c r="F55" s="86">
        <f t="shared" si="1"/>
        <v>0</v>
      </c>
      <c r="G55" s="98">
        <f>+F55*(100-G25)/100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2" ht="12.75" customHeight="1" x14ac:dyDescent="0.25">
      <c r="A56" s="134" t="str">
        <f>texty!A124</f>
        <v>kątownik K2 19x18mm - 3,00m</v>
      </c>
      <c r="B56" s="15" t="str">
        <f>IFERROR(VLOOKUP(P7,data!C686:D695,2,0),"N/A")</f>
        <v>N/A</v>
      </c>
      <c r="C56" s="475" t="str">
        <f>IF(B56=data!D64,texty!A239,+VLOOKUP(B56,cennik!A:G,2,FALSE))</f>
        <v> w tym kolorze i długości dany profil nie jest produkowany</v>
      </c>
      <c r="D56" s="28"/>
      <c r="E56" s="86">
        <f>IF(B56=data!D73,0,+VLOOKUP(B56,cennik!A:G,3,FALSE))</f>
        <v>0</v>
      </c>
      <c r="F56" s="86">
        <f t="shared" si="1"/>
        <v>0</v>
      </c>
      <c r="G56" s="98">
        <f>+F56*(100-G25)/100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/>
      <c r="K56" s="174" t="str">
        <f>IF(D56&gt;0,IF(VLOOKUP(B56,cennik!A:L,12,FALSE)="O",1,""),"")</f>
        <v/>
      </c>
      <c r="L56" s="5"/>
    </row>
    <row r="57" spans="1:12" ht="12.75" customHeight="1" x14ac:dyDescent="0.25">
      <c r="A57" s="134" t="str">
        <f>texty!A241</f>
        <v>zacisk do dylatacji wypełnienia 16 mm</v>
      </c>
      <c r="B57" s="15">
        <v>308631</v>
      </c>
      <c r="C57" s="475" t="str">
        <f>+VLOOKUP(B57,cennik!A:G,2,FALSE)</f>
        <v>SEVROLL klin do płyty laminowanej grubość 2 mm (100 szt.)</v>
      </c>
      <c r="D57" s="27"/>
      <c r="E57" s="193">
        <f>+VLOOKUP(B57,cennik!A:G,3,FALSE)</f>
        <v>30.24597</v>
      </c>
      <c r="F57" s="99">
        <f>+E57*D57</f>
        <v>0</v>
      </c>
      <c r="G57" s="98">
        <f>+F57*(100-G25)/100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/>
      <c r="K57" s="174" t="str">
        <f>IF(D57&gt;0,IF(VLOOKUP(B57,cennik!A:L,12,FALSE)="O",1,""),"")</f>
        <v/>
      </c>
      <c r="L57" s="5"/>
    </row>
    <row r="58" spans="1:12" ht="12.75" customHeight="1" x14ac:dyDescent="0.25">
      <c r="A58" s="320" t="str">
        <f>texty!A240</f>
        <v>zamek do drzwi przesuwnych</v>
      </c>
      <c r="B58" s="22">
        <v>216363</v>
      </c>
      <c r="C58" s="475" t="str">
        <f>+VLOOKUP(B58,cennik!A:G,2,FALSE)</f>
        <v>SEVROLL zamek do drzwi przesuwnych 10/18mm</v>
      </c>
      <c r="D58" s="27"/>
      <c r="E58" s="193">
        <f>+VLOOKUP(B58,cennik!A:G,3,FALSE)</f>
        <v>66.840599999999995</v>
      </c>
      <c r="F58" s="99">
        <f t="shared" si="1"/>
        <v>0</v>
      </c>
      <c r="G58" s="98">
        <f>+F58*(100-G25)/100</f>
        <v>0</v>
      </c>
      <c r="H58" s="5" t="str">
        <f>cennik!B2</f>
        <v>zł</v>
      </c>
      <c r="I58" s="363" t="str">
        <f>IFERROR(IF((VLOOKUP(B58,cennik!A:L,12,0))="O",texty!A250,""),"")</f>
        <v/>
      </c>
      <c r="J58" s="174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texty!A112</f>
        <v>szczotka przeciwkurzowa samoprzylepna</v>
      </c>
      <c r="B59" s="22">
        <v>308639</v>
      </c>
      <c r="C59" s="23" t="str">
        <f>+VLOOKUP(B59,cennik!A:G,2,FALSE)</f>
        <v>SEVROLL szczotka przeciwkurzowa z klejem 6,7x13mm szara</v>
      </c>
      <c r="D59" s="27"/>
      <c r="E59" s="193">
        <f>+VLOOKUP(B59,cennik!A:G,3,FALSE)</f>
        <v>1.2647999999999999</v>
      </c>
      <c r="F59" s="99">
        <f t="shared" si="1"/>
        <v>0</v>
      </c>
      <c r="G59" s="98">
        <f>+F59*(100-G25)/100</f>
        <v>0</v>
      </c>
      <c r="H59" s="5" t="str">
        <f>cennik!B2</f>
        <v>zł</v>
      </c>
      <c r="I59" s="363" t="str">
        <f>IFERROR(IF((VLOOKUP(B59,cennik!A:L,12,0))="O",texty!A250,""),"")</f>
        <v/>
      </c>
      <c r="J59" s="174"/>
      <c r="K59" s="174" t="str">
        <f>IF(D59&gt;0,IF(VLOOKUP(B59,cennik!A:L,12,FALSE)="O",1,""),"")</f>
        <v/>
      </c>
      <c r="L59" s="5"/>
    </row>
    <row r="60" spans="1:12" ht="12.75" customHeight="1" x14ac:dyDescent="0.25">
      <c r="A60" s="134"/>
      <c r="B60" s="22"/>
      <c r="C60" s="23"/>
      <c r="D60" s="86"/>
      <c r="E60" s="86"/>
      <c r="F60" s="91"/>
      <c r="G60" s="98"/>
      <c r="H60" s="5"/>
      <c r="I60" s="166"/>
      <c r="K60" s="174"/>
      <c r="L60" s="5"/>
    </row>
    <row r="61" spans="1:12" ht="15" x14ac:dyDescent="0.25">
      <c r="A61" s="209" t="str">
        <f>texty!A190</f>
        <v xml:space="preserve">tutaj można znaleźć inne akcesoria </v>
      </c>
      <c r="B61" s="210"/>
      <c r="C61" s="210"/>
      <c r="D61" s="210"/>
      <c r="E61" s="210"/>
      <c r="F61" s="210"/>
      <c r="G61" s="210"/>
      <c r="H61" s="210"/>
      <c r="I61" s="210"/>
      <c r="K61" s="126"/>
      <c r="L61" s="5"/>
    </row>
    <row r="62" spans="1:12" ht="12.75" customHeight="1" x14ac:dyDescent="0.25">
      <c r="A62" s="209" t="str">
        <f>texty!A244</f>
        <v>rysunek techniczny tego systemu</v>
      </c>
      <c r="C62" s="68"/>
      <c r="D62" s="44" t="str">
        <f>texty!A15</f>
        <v>w sumie (bez VAT)</v>
      </c>
      <c r="E62" s="100"/>
      <c r="F62" s="101" t="e">
        <f>SUM(F27:F59)</f>
        <v>#N/A</v>
      </c>
      <c r="G62" s="101" t="e">
        <f>SUM(G27:G59)</f>
        <v>#N/A</v>
      </c>
      <c r="H62" s="5" t="str">
        <f>cennik!B2</f>
        <v>zł</v>
      </c>
      <c r="I62" s="166"/>
      <c r="K62" s="166"/>
      <c r="L62" s="5"/>
    </row>
    <row r="63" spans="1:12" ht="12.75" customHeight="1" x14ac:dyDescent="0.25">
      <c r="A63" s="70" t="str">
        <f>System10!A67</f>
        <v>Uwagi</v>
      </c>
      <c r="B63" s="712"/>
      <c r="C63" s="713"/>
      <c r="D63" s="713"/>
      <c r="E63" s="713"/>
      <c r="F63" s="713"/>
      <c r="G63" s="714"/>
      <c r="H63" s="5"/>
      <c r="L63" s="5"/>
    </row>
    <row r="64" spans="1:12" ht="12.75" customHeight="1" x14ac:dyDescent="0.25">
      <c r="A64" s="711" t="str">
        <f>profil!U15</f>
        <v/>
      </c>
      <c r="B64" s="697"/>
      <c r="C64" s="697"/>
      <c r="D64" s="697"/>
      <c r="E64" s="697"/>
      <c r="F64" s="697"/>
      <c r="G64" s="697"/>
      <c r="H64" s="697"/>
      <c r="L64" s="5"/>
    </row>
    <row r="65" spans="1:14" ht="12.75" customHeight="1" x14ac:dyDescent="0.25">
      <c r="A65" s="698" t="str">
        <f>IF(N65=1,texty!A215,IF(K65&gt;0,texty!A214,""))</f>
        <v>niektóre elementy nie są produkowane w wybranej długości</v>
      </c>
      <c r="B65" s="698"/>
      <c r="C65" s="698"/>
      <c r="D65" s="698"/>
      <c r="E65" s="698"/>
      <c r="F65" s="698"/>
      <c r="G65" s="698"/>
      <c r="H65" s="698"/>
      <c r="K65" s="5" t="e">
        <f>SUM(K27:K60)</f>
        <v>#N/A</v>
      </c>
      <c r="N65" s="4">
        <f>IF(ISERROR(K65),1,0)</f>
        <v>1</v>
      </c>
    </row>
    <row r="66" spans="1:14" ht="12.75" hidden="1" customHeight="1" x14ac:dyDescent="0.25">
      <c r="K66" s="5">
        <v>64</v>
      </c>
      <c r="L66" s="4" t="str">
        <f>data!J4</f>
        <v>srebrny</v>
      </c>
      <c r="M66" s="19" t="s">
        <v>968</v>
      </c>
    </row>
    <row r="67" spans="1:14" ht="12.75" hidden="1" customHeight="1" x14ac:dyDescent="0.25">
      <c r="L67" s="4" t="str">
        <f>data!J5</f>
        <v>złoty/mosiądz</v>
      </c>
      <c r="M67" s="19" t="s">
        <v>42</v>
      </c>
    </row>
    <row r="68" spans="1:14" ht="12.75" hidden="1" customHeight="1" x14ac:dyDescent="0.25">
      <c r="L68" s="4" t="str">
        <f>data!J6</f>
        <v>j.brąz</v>
      </c>
    </row>
    <row r="69" spans="1:14" ht="12.75" hidden="1" customHeight="1" x14ac:dyDescent="0.25">
      <c r="L69" s="4" t="str">
        <f>data!J15</f>
        <v> biały połysk</v>
      </c>
    </row>
    <row r="70" spans="1:14" ht="12.75" hidden="1" customHeight="1" x14ac:dyDescent="0.25">
      <c r="L70" s="4" t="str">
        <f>data!J18</f>
        <v>biały mat</v>
      </c>
    </row>
    <row r="71" spans="1:14" ht="12.75" hidden="1" customHeight="1" x14ac:dyDescent="0.25">
      <c r="L71" s="4" t="str">
        <f>data!J16</f>
        <v>czarny połysk</v>
      </c>
    </row>
    <row r="72" spans="1:14" ht="12.75" hidden="1" customHeight="1" x14ac:dyDescent="0.25">
      <c r="L72" s="4" t="str">
        <f>data!J17</f>
        <v> czarny mat</v>
      </c>
    </row>
    <row r="73" spans="1:14" ht="12.75" hidden="1" customHeight="1" x14ac:dyDescent="0.25">
      <c r="L73" s="4" t="str">
        <f>data!J12</f>
        <v>grafit</v>
      </c>
    </row>
    <row r="74" spans="1:14" ht="12.75" hidden="1" customHeight="1" x14ac:dyDescent="0.25">
      <c r="L74" s="4" t="str">
        <f>data!J22</f>
        <v>czarny lakier strukturalny</v>
      </c>
    </row>
    <row r="300" spans="3:10" ht="12.75" hidden="1" customHeight="1" x14ac:dyDescent="0.25">
      <c r="C300" s="4">
        <f>K17</f>
        <v>0</v>
      </c>
      <c r="D300" s="4">
        <v>276730</v>
      </c>
      <c r="J300" s="5">
        <f>K17</f>
        <v>0</v>
      </c>
    </row>
    <row r="1048576" ht="9" hidden="1" customHeight="1" x14ac:dyDescent="0.25"/>
  </sheetData>
  <sheetProtection algorithmName="SHA-512" hashValue="YeHxZhkd9/Hj/jmh94KtU0TnsW2mTBgaboMrIlf+drGzBz8+qq3IGaOpmoWGo2Wswjvj/529g0g+PurVc7htYw==" saltValue="BIUznXZQR9jJ0nbWgWRZvw==" spinCount="100000" sheet="1" objects="1" scenarios="1"/>
  <dataConsolidate/>
  <mergeCells count="8">
    <mergeCell ref="A65:H65"/>
    <mergeCell ref="A64:H64"/>
    <mergeCell ref="G4:I6"/>
    <mergeCell ref="I18:I19"/>
    <mergeCell ref="I20:I21"/>
    <mergeCell ref="B63:G63"/>
    <mergeCell ref="B5:F5"/>
    <mergeCell ref="A15:B16"/>
  </mergeCells>
  <conditionalFormatting sqref="A15">
    <cfRule type="expression" dxfId="115" priority="3">
      <formula>SUM($D$41:$D$42)&gt;0</formula>
    </cfRule>
  </conditionalFormatting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8:I19">
    <cfRule type="expression" dxfId="110" priority="33">
      <formula>$F$4=$M$67</formula>
    </cfRule>
  </conditionalFormatting>
  <conditionalFormatting sqref="I20:I21">
    <cfRule type="expression" dxfId="109" priority="37">
      <formula>$F$4=$M$66</formula>
    </cfRule>
  </conditionalFormatting>
  <dataValidations count="6">
    <dataValidation type="list" allowBlank="1" showInputMessage="1" showErrorMessage="1" sqref="E4" xr:uid="{00000000-0002-0000-1500-000000000000}">
      <formula1>$L$66:$L$74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IF(OR(E4=L66,E4=L68),M66:M67,M66)</formula1>
    </dataValidation>
  </dataValidations>
  <hyperlinks>
    <hyperlink ref="A2" location="profil!A1" display="ALFA" xr:uid="{00000000-0004-0000-1500-000000000000}"/>
    <hyperlink ref="A61" location="příslušenství!A56" display="příslušenství!A56" xr:uid="{00000000-0004-0000-1500-000001000000}"/>
    <hyperlink ref="A62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C53B9-6DE0-4324-9477-3D6C0BE551C9}">
            <xm:f>$I27=texty!$A$250</xm:f>
            <x14:dxf>
              <font>
                <color rgb="FFFF0000"/>
              </font>
            </x14:dxf>
          </x14:cfRule>
          <xm:sqref>A27:I59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4" style="4" customWidth="1"/>
    <col min="4" max="4" width="13.6640625" style="4" customWidth="1"/>
    <col min="5" max="7" width="14.6640625" style="4" customWidth="1"/>
    <col min="8" max="8" width="4.6640625" style="4" customWidth="1"/>
    <col min="9" max="9" width="30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-5.25</v>
      </c>
    </row>
    <row r="2" spans="1:16" ht="18.75" customHeight="1" x14ac:dyDescent="0.25">
      <c r="A2" s="405" t="s">
        <v>730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38.2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2 742 mm /")</f>
        <v>wysokość / max.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25.5" customHeight="1" x14ac:dyDescent="0.25">
      <c r="A4" s="9" t="str">
        <f>texty!A70</f>
        <v>WEWNĘTRZNY ROZMIAR SZAFY:</v>
      </c>
      <c r="B4" s="52"/>
      <c r="C4" s="52"/>
      <c r="D4" s="20"/>
      <c r="E4" s="194"/>
      <c r="F4" s="353"/>
      <c r="G4" s="695"/>
      <c r="H4" s="695"/>
      <c r="I4" s="695"/>
      <c r="K4" s="173"/>
      <c r="L4" s="7"/>
      <c r="M4" s="15"/>
      <c r="N4" s="19"/>
      <c r="O4" s="15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7"/>
      <c r="G5" s="695"/>
      <c r="H5" s="695"/>
      <c r="I5" s="695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  <c r="O5" s="21"/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skrzydło drzwi:</v>
      </c>
      <c r="B7" s="53" t="str">
        <f>IF(B4&gt;0,B4-42,"")</f>
        <v/>
      </c>
      <c r="C7" s="55" t="str">
        <f>IFERROR((((C4-3+18*(D4-1))/D4+IF(AND(D4=4,D6=2),M1,0))),"")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IFERROR((C7-19),"")</f>
        <v/>
      </c>
      <c r="D8" s="7"/>
      <c r="E8" s="7"/>
      <c r="F8" s="7"/>
      <c r="G8" s="4" t="str">
        <f>System10!G11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rozmiar lustra / na DTD 12mm/</v>
      </c>
      <c r="B10" s="57" t="str">
        <f>IFERROR((B8-4),"")</f>
        <v/>
      </c>
      <c r="C10" s="55" t="str">
        <f>IFERROR((C9-16),"")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długość rączki (+ 2 mm )</v>
      </c>
      <c r="B11" s="63" t="str">
        <f>IFERROR((B8+2),"")</f>
        <v/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Maksymalny wymiar skrzydła w lustrze 2400x700mm</v>
      </c>
      <c r="C12" s="155"/>
      <c r="D12" s="7"/>
      <c r="E12" s="7"/>
      <c r="F12" s="7"/>
      <c r="G12" s="3"/>
      <c r="H12" s="5"/>
      <c r="L12" s="32"/>
      <c r="O12" s="21"/>
      <c r="P12" s="19"/>
    </row>
    <row r="13" spans="1:16" ht="37.5" customHeight="1" x14ac:dyDescent="0.25">
      <c r="A13" s="683" t="str">
        <f>IF(SUM(D40:D41)&gt;0,texty!A246,"")</f>
        <v/>
      </c>
      <c r="B13" s="683"/>
      <c r="C13" s="384" t="str">
        <f>texty!A78</f>
        <v>dodatkowe zmniejszenie wysokośći wyliczonych wypełnień przy wykorzystaniu profili dzielących:</v>
      </c>
      <c r="D13" s="7"/>
      <c r="E13" s="7"/>
      <c r="F13" s="7"/>
      <c r="G13" s="5"/>
      <c r="H13" s="5"/>
      <c r="L13" s="5"/>
    </row>
    <row r="14" spans="1:16" ht="30.75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28.95" customHeight="1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B16" s="54"/>
      <c r="C16" s="81"/>
      <c r="D16" s="7"/>
      <c r="E16" s="7"/>
      <c r="F16" s="7"/>
      <c r="H16" s="5"/>
      <c r="L16" s="31"/>
    </row>
    <row r="17" spans="1:12" ht="12.75" customHeight="1" x14ac:dyDescent="0.25">
      <c r="A17" s="9"/>
      <c r="B17" s="7"/>
      <c r="C17" s="10"/>
      <c r="D17" s="7"/>
      <c r="E17" s="7"/>
      <c r="F17" s="7"/>
      <c r="H17" s="36"/>
      <c r="I17" s="686" t="s">
        <v>974</v>
      </c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6"/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87" t="s">
        <v>975</v>
      </c>
      <c r="L19" s="5"/>
    </row>
    <row r="20" spans="1:12" ht="14.25" customHeight="1" x14ac:dyDescent="0.25">
      <c r="A20" s="9"/>
      <c r="B20" s="7"/>
      <c r="C20" s="25"/>
      <c r="D20" s="7"/>
      <c r="E20" s="7"/>
      <c r="F20" s="7"/>
      <c r="G20" s="5"/>
      <c r="H20" s="5"/>
      <c r="I20" s="687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7"/>
      <c r="G22" s="5"/>
      <c r="H22" s="5"/>
      <c r="L22" s="5"/>
    </row>
    <row r="23" spans="1:12" ht="12.75" customHeight="1" x14ac:dyDescent="0.25">
      <c r="A23" s="6"/>
      <c r="B23" s="7"/>
      <c r="C23" s="7"/>
      <c r="D23" s="7"/>
      <c r="E23" s="7"/>
      <c r="F23" s="5"/>
      <c r="G23" s="126" t="str">
        <f>+System10!G25</f>
        <v>partnerska zniżka:</v>
      </c>
      <c r="H23" s="5"/>
      <c r="L23" s="5"/>
    </row>
    <row r="24" spans="1:12" ht="12.75" customHeight="1" x14ac:dyDescent="0.25">
      <c r="A24" s="123" t="str">
        <f>texty!A80</f>
        <v>Kody zamówieniowe, ceny:</v>
      </c>
      <c r="B24" s="7"/>
      <c r="C24" s="7"/>
      <c r="D24" s="7"/>
      <c r="E24" s="7"/>
      <c r="F24" s="5"/>
      <c r="G24" s="587">
        <f>profil!C15</f>
        <v>0</v>
      </c>
      <c r="H24" s="5" t="s">
        <v>55</v>
      </c>
      <c r="L24" s="5"/>
    </row>
    <row r="25" spans="1:12" s="77" customFormat="1" ht="12.75" customHeight="1" x14ac:dyDescent="0.25">
      <c r="A25" s="75"/>
      <c r="B25" s="76" t="str">
        <f>texty!A276</f>
        <v>kod</v>
      </c>
      <c r="C25" s="76" t="str">
        <f>+System10!C27</f>
        <v>nazwa</v>
      </c>
      <c r="D25" s="76" t="str">
        <f>+System10!D27</f>
        <v>szt.</v>
      </c>
      <c r="E25" s="76" t="str">
        <f>+System10!E27</f>
        <v>cena/szt.</v>
      </c>
      <c r="F25" s="16" t="str">
        <f>+System10!F27</f>
        <v>cena w sumie</v>
      </c>
      <c r="G25" s="16" t="str">
        <f>+System10!G27</f>
        <v>w sumie netto:</v>
      </c>
      <c r="H25" s="16"/>
      <c r="I25" s="16" t="str">
        <f>texty!A29</f>
        <v>Uwagi:</v>
      </c>
      <c r="K25" s="16"/>
      <c r="L25" s="16"/>
    </row>
    <row r="26" spans="1:12" ht="12.75" customHeight="1" x14ac:dyDescent="0.25">
      <c r="A26" s="6" t="str">
        <f>texty!A106</f>
        <v>tor górny:</v>
      </c>
      <c r="B26" s="7" t="e">
        <f>+VLOOKUP(L6,data!C211:D284,2,0)</f>
        <v>#N/A</v>
      </c>
      <c r="C26" s="23" t="e">
        <f>+VLOOKUP(B26,cennik!A:G,2,FALSE)</f>
        <v>#N/A</v>
      </c>
      <c r="D26" s="15" t="e">
        <f>IF(B26="N/A",0,1)</f>
        <v>#N/A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174"/>
      <c r="L26" s="5"/>
    </row>
    <row r="27" spans="1:12" ht="12.75" customHeight="1" x14ac:dyDescent="0.25">
      <c r="A27" s="6" t="str">
        <f>texty!A107</f>
        <v>Tor dolny</v>
      </c>
      <c r="B27" s="15" t="e">
        <f>+VLOOKUP(N6,data!C4:D113,2,0)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320" t="str">
        <f>texty!A83</f>
        <v>profil maskujący (maskownica):</v>
      </c>
      <c r="B28" s="15" t="e">
        <f>+VLOOKUP(N6,data!C115:D210,2,0)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+F28*(100-G24)/100</f>
        <v>#N/A</v>
      </c>
      <c r="H28" s="5" t="str">
        <f>cennik!B2</f>
        <v>zł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174"/>
      <c r="L28" s="5"/>
    </row>
    <row r="29" spans="1:12" ht="12.75" customHeight="1" x14ac:dyDescent="0.25">
      <c r="A29" s="6" t="str">
        <f>texty!A109</f>
        <v>górne wózki</v>
      </c>
      <c r="B29" s="15">
        <v>228023</v>
      </c>
      <c r="C29" s="34" t="str">
        <f>+VLOOKUP(B29,cennik!A:G,2,FALSE)</f>
        <v>SEVROLL Focus wózek górny 18mm 2szt</v>
      </c>
      <c r="D29" s="15">
        <f>IF((D42+D43)&gt;D4,0,D4-(D42+D43))</f>
        <v>0</v>
      </c>
      <c r="E29" s="193">
        <f>+VLOOKUP(B29,cennik!A:G,3,FALSE)</f>
        <v>13.907170000000001</v>
      </c>
      <c r="F29" s="99">
        <f t="shared" si="0"/>
        <v>0</v>
      </c>
      <c r="G29" s="98">
        <f>+F29*(100-G24)/100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174"/>
      <c r="L29" s="5"/>
    </row>
    <row r="30" spans="1:12" ht="12.75" customHeight="1" x14ac:dyDescent="0.25">
      <c r="A30" s="6" t="str">
        <f>texty!A110</f>
        <v>dolne wózki</v>
      </c>
      <c r="B30" s="15">
        <f>IF(F4=M65,362316,229440)</f>
        <v>229440</v>
      </c>
      <c r="C30" s="23" t="str">
        <f>+VLOOKUP(B30,cennik!A:G,2,FALSE)</f>
        <v>SEVROLL wózek dolny WD 18C HI-TEC - 2szt</v>
      </c>
      <c r="D30" s="15">
        <f>+D4</f>
        <v>0</v>
      </c>
      <c r="E30" s="193">
        <f>+VLOOKUP(B30,cennik!A:G,3,FALSE)</f>
        <v>17.546399999999998</v>
      </c>
      <c r="F30" s="99">
        <f t="shared" si="0"/>
        <v>0</v>
      </c>
      <c r="G30" s="98">
        <f>+F30*(100-G24)/100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174"/>
      <c r="L30" s="5"/>
    </row>
    <row r="31" spans="1:12" ht="12.75" customHeight="1" x14ac:dyDescent="0.25">
      <c r="A31" s="6" t="str">
        <f>texty!A89</f>
        <v>szczotka odbojowa</v>
      </c>
      <c r="B31" s="15" t="e">
        <f>+VLOOKUP(L48,data!C839:D859,2,0)</f>
        <v>#N/A</v>
      </c>
      <c r="C31" s="475" t="e">
        <f>+VLOOKUP(B31,cennik!A:G,2,FALSE)</f>
        <v>#N/A</v>
      </c>
      <c r="D31" s="15">
        <f>CEILING((B4*D4*2/1000),1)</f>
        <v>0</v>
      </c>
      <c r="E31" s="193" t="e">
        <f>+VLOOKUP(B31,cennik!A:G,3,FALSE)</f>
        <v>#N/A</v>
      </c>
      <c r="F31" s="99" t="e">
        <f t="shared" si="0"/>
        <v>#N/A</v>
      </c>
      <c r="G31" s="98" t="e">
        <f>+F31*(100-G24)/100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174"/>
      <c r="L31" s="5"/>
    </row>
    <row r="32" spans="1:12" ht="12.75" customHeight="1" x14ac:dyDescent="0.25">
      <c r="A32" s="6" t="str">
        <f>texty!A113</f>
        <v>rączka</v>
      </c>
      <c r="B32" s="15" t="e">
        <f>+VLOOKUP(P7,data!C808:D812,2,0)</f>
        <v>#N/A</v>
      </c>
      <c r="C32" s="475" t="e">
        <f>+VLOOKUP(B32,cennik!A:G,2,FALSE)</f>
        <v>#N/A</v>
      </c>
      <c r="D32" s="15">
        <f>IF(B11&lt;=1347,D4*2/2,D4*2)</f>
        <v>0</v>
      </c>
      <c r="E32" s="193" t="e">
        <f>+VLOOKUP(B32,cennik!A:G,3,FALSE)</f>
        <v>#N/A</v>
      </c>
      <c r="F32" s="99" t="e">
        <f t="shared" si="0"/>
        <v>#N/A</v>
      </c>
      <c r="G32" s="98" t="e">
        <f>+F32*(100-G24)/100</f>
        <v>#N/A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174"/>
      <c r="L32" s="5"/>
    </row>
    <row r="33" spans="1:12" ht="12.75" customHeight="1" x14ac:dyDescent="0.25">
      <c r="A33" s="6"/>
      <c r="B33" s="15"/>
      <c r="C33" s="23"/>
      <c r="D33" s="15"/>
      <c r="E33" s="86"/>
      <c r="F33" s="99"/>
      <c r="G33" s="98"/>
      <c r="H33" s="5"/>
      <c r="I33" s="363" t="str">
        <f>IFERROR(IF((VLOOKUP(B33,cennik!A:L,12,0))="O",texty!A250,""),"")</f>
        <v/>
      </c>
      <c r="K33" s="174"/>
      <c r="L33" s="5"/>
    </row>
    <row r="34" spans="1:12" s="120" customFormat="1" ht="12.75" customHeight="1" x14ac:dyDescent="0.25">
      <c r="A34" s="12" t="str">
        <f>texty!A66</f>
        <v>Akcesoria:</v>
      </c>
      <c r="B34" s="319"/>
      <c r="C34" s="116"/>
      <c r="D34" s="370" t="str">
        <f>System10!D41</f>
        <v>podaj ilość</v>
      </c>
      <c r="E34" s="124"/>
      <c r="F34" s="117"/>
      <c r="G34" s="118"/>
      <c r="H34" s="119"/>
      <c r="I34" s="363" t="str">
        <f>IFERROR(IF((VLOOKUP(B34,cennik!A:L,12,0))="O",texty!A250,""),"")</f>
        <v/>
      </c>
      <c r="K34" s="174"/>
      <c r="L34" s="119"/>
    </row>
    <row r="35" spans="1:12" s="120" customFormat="1" ht="12.75" customHeight="1" x14ac:dyDescent="0.25">
      <c r="A35" s="6" t="str">
        <f>texty!A88</f>
        <v>pozycjoner wózka górnego</v>
      </c>
      <c r="B35" s="66">
        <v>298035</v>
      </c>
      <c r="C35" s="34" t="str">
        <f>+VLOOKUP(B35,cennik!A:G,2,FALSE)</f>
        <v>SEVROLL Fix pozycjoner wózka górnego transparentny</v>
      </c>
      <c r="D35" s="27"/>
      <c r="E35" s="193">
        <f>+VLOOKUP(B35,cennik!A:G,3,FALSE)</f>
        <v>3.74519</v>
      </c>
      <c r="F35" s="99">
        <f>+E35*D35</f>
        <v>0</v>
      </c>
      <c r="G35" s="98">
        <f>+F35*(100-G24)/100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  <c r="L35" s="119"/>
    </row>
    <row r="36" spans="1:12" ht="12.75" customHeight="1" x14ac:dyDescent="0.25">
      <c r="A36" s="6" t="str">
        <f>texty!A111</f>
        <v>pozycjoner</v>
      </c>
      <c r="B36" s="15">
        <f>IF(F4="Gemini",387424,89063)</f>
        <v>89063</v>
      </c>
      <c r="C36" s="34" t="str">
        <f>+VLOOKUP(B36,cennik!A:G,2,FALSE)</f>
        <v>SEVROLL pozycjoner wózka dolnego HI-TEC</v>
      </c>
      <c r="D36" s="27"/>
      <c r="E36" s="193">
        <f>+VLOOKUP(B36,cennik!A:G,3,FALSE)</f>
        <v>1.071</v>
      </c>
      <c r="F36" s="99">
        <f t="shared" ref="F36:F58" si="1">+E36*D36</f>
        <v>0</v>
      </c>
      <c r="G36" s="98">
        <f>+F36*(100-G24)/100</f>
        <v>0</v>
      </c>
      <c r="H36" s="5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  <c r="L36" s="5"/>
    </row>
    <row r="37" spans="1:12" ht="12.75" customHeight="1" x14ac:dyDescent="0.25">
      <c r="A37" s="320" t="str">
        <f>texty!A228</f>
        <v> Tłumienie MINI do 25 kg (para)</v>
      </c>
      <c r="B37" s="15">
        <v>318662</v>
      </c>
      <c r="C37" s="23" t="str">
        <f>+VLOOKUP(B37,cennik!A:G,2,FALSE)</f>
        <v>SEVROLL tłumienie Mini SV25 (14-25kg)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+F37*(100-G24)/100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  <c r="L37" s="5"/>
    </row>
    <row r="38" spans="1:12" ht="12.75" customHeight="1" x14ac:dyDescent="0.25">
      <c r="A38" s="320" t="str">
        <f>texty!A229</f>
        <v> Tłumienie MINI do 40 kg (para)</v>
      </c>
      <c r="B38" s="22">
        <v>283956</v>
      </c>
      <c r="C38" s="23" t="str">
        <f>+VLOOKUP(B38,cennik!A:G,2,FALSE)</f>
        <v>SEVROLL tłumienie Mini SV40 (25 - 40kg)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+F38*(100-G24)/100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  <c r="L38" s="5"/>
    </row>
    <row r="39" spans="1:12" ht="12.75" customHeight="1" x14ac:dyDescent="0.25">
      <c r="A39" s="320" t="str">
        <f>texty!A230</f>
        <v> Tłumienie MINI do 60 kg (para)</v>
      </c>
      <c r="B39" s="22">
        <v>351743</v>
      </c>
      <c r="C39" s="23" t="str">
        <f>+VLOOKUP(B39,cennik!A:G,2,FALSE)</f>
        <v>SEVROLL tłumienie Mini SV60 (40 - 60kg)</v>
      </c>
      <c r="D39" s="278"/>
      <c r="E39" s="86">
        <f>+VLOOKUP(B39,cennik!A:G,3,FALSE)</f>
        <v>96.889799999999994</v>
      </c>
      <c r="F39" s="91">
        <f>+CEILING(D39,1)*E39</f>
        <v>0</v>
      </c>
      <c r="G39" s="98">
        <f>+F39*(100-G24)/100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  <c r="L39" s="3"/>
    </row>
    <row r="40" spans="1:12" ht="12.75" customHeight="1" x14ac:dyDescent="0.25">
      <c r="A40" s="320" t="str">
        <f>texty!A231</f>
        <v xml:space="preserve"> Tłumienie do skrzydła środkowego do 25 kg </v>
      </c>
      <c r="B40" s="22">
        <v>318663</v>
      </c>
      <c r="C40" s="23" t="str">
        <f>+VLOOKUP(B40,cennik!A:G,2,FALSE)</f>
        <v>SEVROLL tłumienie Central 10/18mm obustronne 25kg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+F40*(100-G24)/100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  <c r="L40" s="3"/>
    </row>
    <row r="41" spans="1:12" ht="12.75" customHeight="1" x14ac:dyDescent="0.25">
      <c r="A41" s="320" t="str">
        <f>texty!A232</f>
        <v xml:space="preserve"> Tłumienie do skrzydła środkowego do 40 kg </v>
      </c>
      <c r="B41" s="22">
        <v>283955</v>
      </c>
      <c r="C41" s="23" t="str">
        <f>+VLOOKUP(B41,cennik!A:G,2,FALSE)</f>
        <v>SEVROLL tłumienie Central 10/18mm obustronne 25-40kg</v>
      </c>
      <c r="D41" s="278"/>
      <c r="E41" s="86">
        <f>+VLOOKUP(B41,cennik!A:G,3,FALSE)</f>
        <v>206.958</v>
      </c>
      <c r="F41" s="91">
        <f>+CEILING(D41,1)*E41</f>
        <v>0</v>
      </c>
      <c r="G41" s="98">
        <f>+F41*(100-G24)/100</f>
        <v>0</v>
      </c>
      <c r="H41" s="22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  <c r="L41" s="3"/>
    </row>
    <row r="42" spans="1:12" ht="12.75" customHeight="1" x14ac:dyDescent="0.25">
      <c r="A42" s="6" t="str">
        <f>texty!A97</f>
        <v>tłumienie (para)25 kg</v>
      </c>
      <c r="B42" s="22">
        <v>227185</v>
      </c>
      <c r="C42" s="34" t="str">
        <f>+VLOOKUP(B42,cennik!A:G,2,FALSE)</f>
        <v>K-SEVROLL tłumienie 10/18mm 14-25kg L+P</v>
      </c>
      <c r="D42" s="27"/>
      <c r="E42" s="193">
        <f>+VLOOKUP(B42,cennik!A:G,3,FALSE)</f>
        <v>0</v>
      </c>
      <c r="F42" s="99">
        <f>+E42*D42</f>
        <v>0</v>
      </c>
      <c r="G42" s="98">
        <f>+F42*(100-G24)/100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  <c r="L42" s="3"/>
    </row>
    <row r="43" spans="1:12" ht="12.75" customHeight="1" x14ac:dyDescent="0.25">
      <c r="A43" s="6" t="str">
        <f>texty!A98</f>
        <v>tłumienie (para) 50 kg</v>
      </c>
      <c r="B43" s="22">
        <v>227187</v>
      </c>
      <c r="C43" s="34" t="str">
        <f>+VLOOKUP(B43,cennik!A:G,2,FALSE)</f>
        <v>K-SEVROLL tłumienie 10/18mm 25-50kg L+P</v>
      </c>
      <c r="D43" s="27"/>
      <c r="E43" s="193">
        <f>+VLOOKUP(B43,cennik!A:G,3,FALSE)</f>
        <v>0</v>
      </c>
      <c r="F43" s="99">
        <f>+E43*D43</f>
        <v>0</v>
      </c>
      <c r="G43" s="98">
        <f>+F43*(100-G24)/100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  <c r="L43" s="3"/>
    </row>
    <row r="44" spans="1:12" ht="12.75" customHeight="1" x14ac:dyDescent="0.25">
      <c r="A44" s="6" t="str">
        <f>texty!A196</f>
        <v>Klamra szczotki odbojowej</v>
      </c>
      <c r="B44" s="15">
        <v>223569</v>
      </c>
      <c r="C44" s="34" t="str">
        <f>+VLOOKUP(B44,cennik!A:G,2,FALSE)</f>
        <v>SEVROLL klips do szczotki przeciwkurzowej</v>
      </c>
      <c r="D44" s="27"/>
      <c r="E44" s="193">
        <f>+VLOOKUP(B44,cennik!A:G,3,FALSE)</f>
        <v>0.23857999999999999</v>
      </c>
      <c r="F44" s="99">
        <f t="shared" si="1"/>
        <v>0</v>
      </c>
      <c r="G44" s="98">
        <f>+F44*(100-G24)/100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  <c r="L44" s="3"/>
    </row>
    <row r="45" spans="1:12" ht="12.75" customHeight="1" x14ac:dyDescent="0.25">
      <c r="A45" s="134" t="str">
        <f>texty!A114</f>
        <v>profil łączący H18-3metry</v>
      </c>
      <c r="B45" s="15" t="e">
        <f>+VLOOKUP(P7,data!C577:D587,2,0)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+F45*(100-G24)/100</f>
        <v>#N/A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  <c r="L45" s="3"/>
    </row>
    <row r="46" spans="1:12" ht="12.75" customHeight="1" x14ac:dyDescent="0.25">
      <c r="A46" s="134" t="str">
        <f>texty!A115</f>
        <v>Teownik -3metry</v>
      </c>
      <c r="B46" s="15" t="e">
        <f>+VLOOKUP(P7,data!C589:D598,2,0)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+F46*(100-G24)/100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  <c r="L46" s="5"/>
    </row>
    <row r="47" spans="1:12" ht="12.75" customHeight="1" x14ac:dyDescent="0.25">
      <c r="A47" s="134" t="str">
        <f>texty!A116</f>
        <v>Teownik decor -3metry</v>
      </c>
      <c r="B47" s="15" t="e">
        <f>+VLOOKUP(P7,data!C599:D608,2,0)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+F47*(100-G24)/100</f>
        <v>#N/A</v>
      </c>
      <c r="H47" s="22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  <c r="L47" s="4">
        <v>4.8</v>
      </c>
    </row>
    <row r="48" spans="1:12" ht="12.75" customHeight="1" x14ac:dyDescent="0.25">
      <c r="A48" s="134" t="str">
        <f>texty!A117</f>
        <v>"U" profil na DTD 18mm- 3 metry /gładki/</v>
      </c>
      <c r="B48" s="5" t="e">
        <f>+VLOOKUP(P7,data!C609:D619,2,0)</f>
        <v>#N/A</v>
      </c>
      <c r="C48" s="475" t="e">
        <f>+VLOOKUP(B48,cennik!A:G,2,FALSE)</f>
        <v>#N/A</v>
      </c>
      <c r="D48" s="27"/>
      <c r="E48" s="193" t="e">
        <f>+VLOOKUP(B48,cennik!A:G,3,FALSE)</f>
        <v>#N/A</v>
      </c>
      <c r="F48" s="99" t="e">
        <f t="shared" si="1"/>
        <v>#N/A</v>
      </c>
      <c r="G48" s="98" t="e">
        <f>+F48*(100-G24)/100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  <c r="L48" s="4" t="str">
        <f>CONCATENATE(L47,"-",E4)</f>
        <v>4,8-</v>
      </c>
    </row>
    <row r="49" spans="1:14" ht="12.75" customHeight="1" x14ac:dyDescent="0.25">
      <c r="A49" s="134" t="str">
        <f>texty!A118</f>
        <v>"U" profil na DTD 18mm- 3 metry</v>
      </c>
      <c r="B49" s="15" t="e">
        <f>+VLOOKUP(P7,data!C619:D629,2,0)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+F49*(100-G24)/100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  <c r="L49" s="5"/>
    </row>
    <row r="50" spans="1:14" ht="12.75" customHeight="1" x14ac:dyDescent="0.25">
      <c r="A50" s="134" t="str">
        <f>texty!A119</f>
        <v>kątownik mini 11x17mm - 1,7m</v>
      </c>
      <c r="B50" s="5" t="e">
        <f>+VLOOKUP(P7,data!C630:D640,2,0)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+F50*(100-G24)/100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  <c r="L50" s="5"/>
    </row>
    <row r="51" spans="1:14" ht="12.75" customHeight="1" x14ac:dyDescent="0.25">
      <c r="A51" s="134" t="str">
        <f>texty!A120</f>
        <v>kątownik mini 11x17mm - 2,35m</v>
      </c>
      <c r="B51" s="5" t="e">
        <f>+VLOOKUP(P7,data!C642:D652,2,0)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+F51*(100-G24)/100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  <c r="L51" s="5"/>
    </row>
    <row r="52" spans="1:14" ht="12.75" customHeight="1" x14ac:dyDescent="0.25">
      <c r="A52" s="134" t="str">
        <f>texty!A121</f>
        <v>kątownik mini 11x17mm - 3,00m</v>
      </c>
      <c r="B52" s="7" t="e">
        <f>+VLOOKUP(P7,data!C654:D664,2,0)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+F52*(100-G24)/100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  <c r="L52" s="5"/>
    </row>
    <row r="53" spans="1:14" ht="12.75" customHeight="1" x14ac:dyDescent="0.25">
      <c r="A53" s="134" t="str">
        <f>texty!A122</f>
        <v>kątownik K2 19x18mm - 1,7m</v>
      </c>
      <c r="B53" s="22" t="e">
        <f>+VLOOKUP(P7,data!C666:D675,2,0)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+F53*(100-G24)/100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  <c r="L53" s="5"/>
    </row>
    <row r="54" spans="1:14" ht="12.75" customHeight="1" x14ac:dyDescent="0.25">
      <c r="A54" s="134" t="str">
        <f>texty!A123</f>
        <v>kątownik K2 19x18mm - 2,35m</v>
      </c>
      <c r="B54" s="15" t="e">
        <f>+VLOOKUP(P7,data!C676:D685,2,0)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+F54*(100-G24)/100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  <c r="L54" s="5"/>
    </row>
    <row r="55" spans="1:14" ht="12.75" customHeight="1" x14ac:dyDescent="0.25">
      <c r="A55" s="134" t="str">
        <f>texty!A124</f>
        <v>kątownik K2 19x18mm - 3,00m</v>
      </c>
      <c r="B55" s="15" t="e">
        <f>+VLOOKUP(P7,data!C686:D695,2,0)</f>
        <v>#N/A</v>
      </c>
      <c r="C55" s="475" t="e">
        <f>IF(B55=data!D64,texty!A239,+VLOOKUP(B55,cennik!A:G,2,FALSE))</f>
        <v>#N/A</v>
      </c>
      <c r="D55" s="28"/>
      <c r="E55" s="86" t="e">
        <f>IF(B55=data!D73,0,+VLOOKUP(B55,cennik!A:G,3,FALSE))</f>
        <v>#N/A</v>
      </c>
      <c r="F55" s="86" t="e">
        <f t="shared" si="1"/>
        <v>#N/A</v>
      </c>
      <c r="G55" s="98" t="e">
        <f>+F55*(100-G24)/100</f>
        <v>#N/A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  <c r="L55" s="5"/>
    </row>
    <row r="56" spans="1:14" ht="12.75" customHeight="1" x14ac:dyDescent="0.25">
      <c r="A56" s="134" t="str">
        <f>texty!A241</f>
        <v>zacisk do dylatacji wypełnienia 16 mm</v>
      </c>
      <c r="B56" s="15">
        <v>308631</v>
      </c>
      <c r="C56" s="34" t="str">
        <f>+VLOOKUP(B56,cennik!A:G,2,FALSE)</f>
        <v>SEVROLL klin do płyty laminowanej grubość 2 mm (100 szt.)</v>
      </c>
      <c r="D56" s="27"/>
      <c r="E56" s="193">
        <f>+VLOOKUP(B56,cennik!A:G,3,FALSE)</f>
        <v>30.24597</v>
      </c>
      <c r="F56" s="99">
        <f t="shared" si="1"/>
        <v>0</v>
      </c>
      <c r="G56" s="98">
        <f>+F56*(100-G24)/100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  <c r="L56" s="5"/>
    </row>
    <row r="57" spans="1:14" ht="12.75" customHeight="1" x14ac:dyDescent="0.25">
      <c r="A57" s="320" t="str">
        <f>texty!A240</f>
        <v>zamek do drzwi przesuwnych</v>
      </c>
      <c r="B57" s="22">
        <v>216363</v>
      </c>
      <c r="C57" s="34" t="str">
        <f>+VLOOKUP(B57,cennik!A:G,2,FALSE)</f>
        <v>SEVROLL zamek do drzwi przesuwnych 10/18mm</v>
      </c>
      <c r="D57" s="27"/>
      <c r="E57" s="193">
        <f>+VLOOKUP(B57,cennik!A:G,3,FALSE)</f>
        <v>66.840599999999995</v>
      </c>
      <c r="F57" s="99">
        <f t="shared" si="1"/>
        <v>0</v>
      </c>
      <c r="G57" s="98">
        <f>+F57*(100-G24)/100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174"/>
      <c r="L57" s="5"/>
    </row>
    <row r="58" spans="1:14" ht="12.75" customHeight="1" x14ac:dyDescent="0.25">
      <c r="A58" s="6" t="str">
        <f>texty!A112</f>
        <v>szczotka przeciwkurzowa samoprzylepna</v>
      </c>
      <c r="B58" s="22">
        <v>308639</v>
      </c>
      <c r="C58" s="23" t="str">
        <f>+VLOOKUP(B58,cennik!A:G,2,FALSE)</f>
        <v>SEVROLL szczotka przeciwkurzowa z klejem 6,7x13mm szara</v>
      </c>
      <c r="D58" s="27"/>
      <c r="E58" s="193">
        <f>+VLOOKUP(B58,cennik!A:G,3,FALSE)</f>
        <v>1.2647999999999999</v>
      </c>
      <c r="F58" s="99">
        <f t="shared" si="1"/>
        <v>0</v>
      </c>
      <c r="G58" s="98">
        <f>+F58*(100-G24)/100</f>
        <v>0</v>
      </c>
      <c r="H58" s="5" t="str">
        <f>cennik!B2</f>
        <v>zł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174"/>
      <c r="L58" s="5"/>
    </row>
    <row r="59" spans="1:14" ht="12.75" customHeight="1" x14ac:dyDescent="0.25">
      <c r="A59" s="134"/>
      <c r="B59" s="134"/>
      <c r="C59" s="134"/>
      <c r="D59" s="134"/>
      <c r="E59" s="134"/>
      <c r="F59" s="134"/>
      <c r="G59" s="134"/>
      <c r="H59" s="134"/>
      <c r="I59" s="166"/>
      <c r="K59" s="174"/>
      <c r="L59" s="5"/>
    </row>
    <row r="60" spans="1:14" ht="15" x14ac:dyDescent="0.25">
      <c r="A60" s="209" t="str">
        <f>texty!A190</f>
        <v xml:space="preserve">tutaj można znaleźć inne akcesoria </v>
      </c>
      <c r="B60" s="210"/>
      <c r="C60" s="210"/>
      <c r="D60" s="210"/>
      <c r="E60" s="210"/>
      <c r="F60" s="210"/>
      <c r="G60" s="210"/>
      <c r="H60" s="210"/>
      <c r="I60" s="210"/>
      <c r="K60" s="126"/>
      <c r="L60" s="5"/>
    </row>
    <row r="61" spans="1:14" ht="12.75" customHeight="1" x14ac:dyDescent="0.25">
      <c r="A61" s="209" t="str">
        <f>texty!A244</f>
        <v>rysunek techniczny tego systemu</v>
      </c>
      <c r="C61" s="68"/>
      <c r="D61" s="44" t="str">
        <f>texty!A15</f>
        <v>w sumie (bez VAT)</v>
      </c>
      <c r="E61" s="100"/>
      <c r="F61" s="101" t="e">
        <f>SUM(F26:F59)</f>
        <v>#N/A</v>
      </c>
      <c r="G61" s="101" t="e">
        <f>SUM(G26:G59)</f>
        <v>#N/A</v>
      </c>
      <c r="H61" s="5" t="str">
        <f>cennik!B2</f>
        <v>zł</v>
      </c>
      <c r="I61" s="166"/>
      <c r="K61" s="166"/>
      <c r="L61" s="5"/>
    </row>
    <row r="62" spans="1:14" ht="35.25" customHeight="1" x14ac:dyDescent="0.25">
      <c r="A62" s="70" t="str">
        <f>System10!A67</f>
        <v>Uwagi</v>
      </c>
      <c r="B62" s="712"/>
      <c r="C62" s="713"/>
      <c r="D62" s="713"/>
      <c r="E62" s="713"/>
      <c r="F62" s="713"/>
      <c r="G62" s="714"/>
      <c r="H62" s="5"/>
      <c r="L62" s="5"/>
    </row>
    <row r="63" spans="1:14" ht="12.75" customHeight="1" x14ac:dyDescent="0.25">
      <c r="A63" s="711" t="str">
        <f>profil!U15</f>
        <v/>
      </c>
      <c r="B63" s="697"/>
      <c r="C63" s="697"/>
      <c r="D63" s="697"/>
      <c r="E63" s="697"/>
      <c r="F63" s="697"/>
      <c r="G63" s="697"/>
      <c r="H63" s="697"/>
      <c r="L63" s="5"/>
    </row>
    <row r="64" spans="1:14" ht="12.75" hidden="1" customHeight="1" x14ac:dyDescent="0.25">
      <c r="A64" s="698" t="str">
        <f>IF(N64=1,texty!A215,IF(J64&gt;0,texty!A214,""))</f>
        <v/>
      </c>
      <c r="B64" s="698"/>
      <c r="C64" s="698"/>
      <c r="D64" s="698"/>
      <c r="E64" s="698"/>
      <c r="F64" s="698"/>
      <c r="G64" s="698"/>
      <c r="H64" s="698"/>
      <c r="J64" s="5">
        <f>SUM(K26:K59)</f>
        <v>0</v>
      </c>
      <c r="N64" s="4">
        <f>IF(ISERROR(J64),1,0)</f>
        <v>0</v>
      </c>
    </row>
    <row r="65" spans="11:13" ht="12.75" hidden="1" customHeight="1" x14ac:dyDescent="0.25">
      <c r="K65" s="5">
        <v>65</v>
      </c>
      <c r="L65" s="4" t="str">
        <f>texty!A128</f>
        <v>srebrny</v>
      </c>
      <c r="M65" s="19" t="s">
        <v>968</v>
      </c>
    </row>
    <row r="66" spans="11:13" ht="12.75" hidden="1" customHeight="1" x14ac:dyDescent="0.25">
      <c r="L66" s="4" t="str">
        <f>texty!A130</f>
        <v>j.brąz</v>
      </c>
      <c r="M66" s="19" t="s">
        <v>42</v>
      </c>
    </row>
    <row r="67" spans="11:13" ht="12.75" hidden="1" customHeight="1" x14ac:dyDescent="0.25">
      <c r="L67" s="4" t="str">
        <f>data!J15</f>
        <v> biały połysk</v>
      </c>
    </row>
    <row r="68" spans="11:13" ht="12.75" hidden="1" customHeight="1" x14ac:dyDescent="0.25">
      <c r="L68" s="4" t="str">
        <f>data!J18</f>
        <v>biały mat</v>
      </c>
    </row>
    <row r="69" spans="11:13" ht="12.75" hidden="1" customHeight="1" x14ac:dyDescent="0.25">
      <c r="L69" s="4" t="str">
        <f>data!J17</f>
        <v> czarny mat</v>
      </c>
    </row>
  </sheetData>
  <sheetProtection algorithmName="SHA-512" hashValue="GiEhilYcY7Z7dehB3Ed8JZ9PXoMYBuLVhrB083lVol4SYklgh37tBTEYv6maFBVUgPcWSCqSv9/UL78lxCltuw==" saltValue="jwUHe1z6FeY2SKpqsP81pQ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A13">
    <cfRule type="expression" dxfId="108" priority="3">
      <formula>SUM($D$40:$D$41)&gt;0</formula>
    </cfRule>
  </conditionalFormatting>
  <conditionalFormatting sqref="D6">
    <cfRule type="expression" dxfId="106" priority="7">
      <formula>$D$4=4</formula>
    </cfRule>
    <cfRule type="expression" dxfId="105" priority="8">
      <formula>$D$4&lt;&gt;4</formula>
    </cfRule>
  </conditionalFormatting>
  <conditionalFormatting sqref="G4">
    <cfRule type="expression" dxfId="104" priority="6">
      <formula>$D$4=4</formula>
    </cfRule>
  </conditionalFormatting>
  <conditionalFormatting sqref="I17:I18">
    <cfRule type="expression" dxfId="103" priority="5">
      <formula>$F$4=$M$66</formula>
    </cfRule>
  </conditionalFormatting>
  <conditionalFormatting sqref="I19:I20">
    <cfRule type="expression" dxfId="102" priority="35">
      <formula>$F$4=$M$65</formula>
    </cfRule>
  </conditionalFormatting>
  <dataValidations count="7">
    <dataValidation type="list" allowBlank="1" showInputMessage="1" showErrorMessage="1" sqref="E5" xr:uid="{00000000-0002-0000-16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IF(OR(E4=L65,E4=L66),M65:M66,M65)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A26:I58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4414062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5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39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2 742 mm /")</f>
        <v>wysokość / max.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skrzydło drzwi: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IFERROR((C7-8),"")</f>
        <v/>
      </c>
      <c r="D8" s="7"/>
      <c r="E8" s="7"/>
      <c r="F8" s="7"/>
      <c r="G8" s="3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IFERROR((C7-8),"")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rozmiar lustra / na DTD 12mm/</v>
      </c>
      <c r="B10" s="53" t="str">
        <f>IFERROR((B8-4),"")</f>
        <v/>
      </c>
      <c r="C10" s="55" t="str">
        <f>IFERROR((C9-6),"")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długość rączki (+ 2 mm 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Maksymalny wymiar skrzydła w lustrze 2400x700mm</v>
      </c>
      <c r="C12" s="385"/>
      <c r="D12" s="7"/>
      <c r="E12" s="7"/>
      <c r="F12" s="7"/>
      <c r="H12" s="36"/>
      <c r="L12" s="5"/>
    </row>
    <row r="13" spans="1:16" ht="26.4" x14ac:dyDescent="0.25">
      <c r="A13" s="683" t="str">
        <f>IF(SUM(D39:D40)&gt;0,texty!A246,"")</f>
        <v/>
      </c>
      <c r="B13" s="683"/>
      <c r="C13" s="384" t="str">
        <f>texty!A78</f>
        <v>dodatkowe zmniejszenie wysokośći wyliczonych wypełnień przy wykorzystaniu profili dzielących:</v>
      </c>
      <c r="D13" s="7"/>
      <c r="E13" s="7"/>
      <c r="F13" s="7"/>
      <c r="G13" s="5"/>
      <c r="H13" s="5"/>
      <c r="L13" s="5"/>
    </row>
    <row r="14" spans="1:16" ht="29.25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G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I19" s="687"/>
      <c r="L19" s="5"/>
    </row>
    <row r="20" spans="1:12" ht="16.5" customHeight="1" x14ac:dyDescent="0.25">
      <c r="A20" s="6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partnerska zniżka:</v>
      </c>
      <c r="H22" s="5"/>
      <c r="L22" s="5"/>
    </row>
    <row r="23" spans="1:12" s="121" customFormat="1" ht="12.75" customHeight="1" x14ac:dyDescent="0.25">
      <c r="A23" s="123" t="str">
        <f>texty!A80</f>
        <v>Kody zamówieniowe, ceny:</v>
      </c>
      <c r="B23" s="25"/>
      <c r="C23" s="25"/>
      <c r="D23" s="25"/>
      <c r="E23" s="25"/>
      <c r="F23" s="35"/>
      <c r="G23" s="588">
        <f>profil!C15</f>
        <v>0</v>
      </c>
      <c r="H23" s="35" t="s">
        <v>55</v>
      </c>
      <c r="I23" s="35"/>
      <c r="K23" s="35"/>
      <c r="L23" s="35"/>
    </row>
    <row r="24" spans="1:12" s="77" customFormat="1" ht="12.75" customHeight="1" x14ac:dyDescent="0.25">
      <c r="A24" s="75"/>
      <c r="B24" s="76" t="str">
        <f>texty!A276</f>
        <v>kod</v>
      </c>
      <c r="C24" s="76"/>
      <c r="D24" s="76" t="str">
        <f>Faworyt!D25</f>
        <v>szt.</v>
      </c>
      <c r="E24" s="76" t="str">
        <f>Faworyt!E25</f>
        <v>cena/szt.</v>
      </c>
      <c r="F24" s="16" t="str">
        <f>Faworyt!F25</f>
        <v>cena w sumie</v>
      </c>
      <c r="G24" s="16" t="str">
        <f>Faworyt!G25</f>
        <v>w sumie netto:</v>
      </c>
      <c r="H24" s="16"/>
      <c r="I24" s="16" t="str">
        <f>texty!A29</f>
        <v>Uwagi:</v>
      </c>
      <c r="K24" s="16"/>
      <c r="L24" s="16"/>
    </row>
    <row r="25" spans="1:12" ht="12.75" customHeight="1" x14ac:dyDescent="0.25">
      <c r="A25" s="6" t="str">
        <f>+Faworyt!A26</f>
        <v>tor górny:</v>
      </c>
      <c r="B25" s="7" t="e">
        <f>+VLOOKUP(M6,data!C211:D255,2,0)</f>
        <v>#N/A</v>
      </c>
      <c r="C25" s="23" t="e">
        <f>+VLOOKUP(B25,cennik!A3:G701,2,FALSE)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Tor dolny</v>
      </c>
      <c r="B26" s="15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320" t="str">
        <f>texty!A83</f>
        <v>profil maskujący (maskownica):</v>
      </c>
      <c r="B27" s="15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górne wózki</v>
      </c>
      <c r="B28" s="15">
        <v>228023</v>
      </c>
      <c r="C28" s="475" t="str">
        <f>+VLOOKUP(B28,cennik!A:G,2,FALSE)</f>
        <v>SEVROLL Focus wózek górny 18mm 2szt</v>
      </c>
      <c r="D28" s="15">
        <f>IF((D41+D42)&gt;D4,0,D4-(D41+D42))</f>
        <v>0</v>
      </c>
      <c r="E28" s="193">
        <f>+VLOOKUP(B28,cennik!A:G,3,FALSE)</f>
        <v>13.907170000000001</v>
      </c>
      <c r="F28" s="99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dolne wózki</v>
      </c>
      <c r="B29" s="15">
        <f>IF(F4=M63,362316,229440)</f>
        <v>229440</v>
      </c>
      <c r="C29" s="23" t="str">
        <f>+VLOOKUP(B29,cennik!A:G,2,FALSE)</f>
        <v>SEVROLL wózek dolny WD 18C HI-TEC - 2szt</v>
      </c>
      <c r="D29" s="15">
        <f>+D4</f>
        <v>0</v>
      </c>
      <c r="E29" s="193">
        <f>+VLOOKUP(B29,cennik!A:G,3,FALSE)</f>
        <v>17.546399999999998</v>
      </c>
      <c r="F29" s="99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szczotka odbojowa</v>
      </c>
      <c r="B30" s="15">
        <v>229433</v>
      </c>
      <c r="C30" s="475" t="str">
        <f>+VLOOKUP(B30,cennik!A:G,2,FALSE)</f>
        <v>SEVROLL szczotka odbojowa bez kleju 4,8x4mm</v>
      </c>
      <c r="D30" s="15">
        <f>CEILING((B4*D4*2/1000),1)</f>
        <v>0</v>
      </c>
      <c r="E30" s="193">
        <f>+VLOOKUP(B30,cennik!A:G,3,FALSE)</f>
        <v>0.35</v>
      </c>
      <c r="F30" s="99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rączka</v>
      </c>
      <c r="B31" s="15" t="e">
        <f>+VLOOKUP(P7,data!C701:D702,2,0)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99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99"/>
      <c r="G32" s="98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Akcesoria:</v>
      </c>
      <c r="B33" s="319"/>
      <c r="C33" s="116"/>
      <c r="D33" s="370" t="str">
        <f>+Faworyt!D34</f>
        <v>podaj ilość</v>
      </c>
      <c r="E33" s="124"/>
      <c r="F33" s="117"/>
      <c r="G33" s="118"/>
      <c r="H33" s="119"/>
      <c r="I33" s="363" t="str">
        <f>IFERROR(IF((VLOOKUP(B33,cennik!A:L,12,0))="O",texty!A250,""),"")</f>
        <v/>
      </c>
      <c r="K33" s="174"/>
      <c r="L33" s="119"/>
    </row>
    <row r="34" spans="1:12" s="120" customFormat="1" ht="12.75" customHeight="1" x14ac:dyDescent="0.25">
      <c r="A34" s="6" t="str">
        <f>texty!A88</f>
        <v>pozycjoner wózka górnego</v>
      </c>
      <c r="B34" s="66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+F34*(100-G23)/100</f>
        <v>0</v>
      </c>
      <c r="H34" s="5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119"/>
    </row>
    <row r="35" spans="1:12" ht="12.75" customHeight="1" x14ac:dyDescent="0.25">
      <c r="A35" s="6" t="str">
        <f>texty!A111</f>
        <v>pozycjoner</v>
      </c>
      <c r="B35" s="15">
        <f>IF(F4="Gemini",387424,89063)</f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 Tłumienie MINI do 25 kg (para)</v>
      </c>
      <c r="B36" s="15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+F36*(100-G23)/100</f>
        <v>0</v>
      </c>
      <c r="H36" s="22" t="str">
        <f>cennik!B2</f>
        <v>zł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 Tłumienie MINI do 40 kg (para)</v>
      </c>
      <c r="B37" s="15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+F37*(100-G23)/100</f>
        <v>0</v>
      </c>
      <c r="H37" s="22" t="str">
        <f>cennik!B2</f>
        <v>zł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texty!A230</f>
        <v> Tłumienie MINI do 60 kg (para)</v>
      </c>
      <c r="B38" s="15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+F38*(100-G23)/100</f>
        <v>0</v>
      </c>
      <c r="H38" s="22" t="str">
        <f>cennik!B2</f>
        <v>zł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texty!A231</f>
        <v xml:space="preserve"> Tłumienie do skrzydła środkowego do 25 kg </v>
      </c>
      <c r="B39" s="15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+F39*(100-G23)/100</f>
        <v>0</v>
      </c>
      <c r="H39" s="22" t="str">
        <f>cennik!B2</f>
        <v>zł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 xml:space="preserve"> Tłumienie do skrzydła środkowego do 40 kg </v>
      </c>
      <c r="B40" s="15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+F40*(100-G23)/100</f>
        <v>0</v>
      </c>
      <c r="H40" s="22" t="str">
        <f>cennik!B2</f>
        <v>zł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tłumienie (para)25 kg</v>
      </c>
      <c r="B41" s="15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zł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tłumienie (para) 50 kg</v>
      </c>
      <c r="B42" s="15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zł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Klamra szczotki odbojowej</v>
      </c>
      <c r="B43" s="15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+F43*(100-G23)/100</f>
        <v>0</v>
      </c>
      <c r="H43" s="5" t="str">
        <f>cennik!B2</f>
        <v>zł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profil łączący H18-3metry</v>
      </c>
      <c r="B44" s="15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texty!A115</f>
        <v>Teownik -3metry</v>
      </c>
      <c r="B45" s="15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texty!A116</f>
        <v>Teownik decor -3metry</v>
      </c>
      <c r="B46" s="15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na DTD 18mm- 3 metry /gładki/</v>
      </c>
      <c r="B47" s="7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texty!A118</f>
        <v>"U" profil na DTD 18mm- 3 metry</v>
      </c>
      <c r="B48" s="15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kątownik mini 11x17mm - 1,7m</v>
      </c>
      <c r="B49" s="7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kątownik mini 11x17mm - 2,35m</v>
      </c>
      <c r="B50" s="7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kątownik mini 11x17mm - 3,00m</v>
      </c>
      <c r="B51" s="7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kątownik K2 19x18mm - 1,7m</v>
      </c>
      <c r="B52" s="15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kątownik K2 19x18mm - 2,35m</v>
      </c>
      <c r="B53" s="15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kątownik K2 19x18mm - 3,00m</v>
      </c>
      <c r="B54" s="15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zacisk do dylatacji wypełnienia 16 mm</v>
      </c>
      <c r="B55" s="15">
        <v>308631</v>
      </c>
      <c r="C55" s="475" t="str">
        <f>+VLOOKUP(B55,cennik!A:G,2,FALSE)</f>
        <v>SEVROLL klin do płyty laminowanej grubość 2 mm (100 szt.)</v>
      </c>
      <c r="D55" s="27"/>
      <c r="E55" s="193">
        <f>+VLOOKUP(B55,cennik!A:G,3,FALSE)</f>
        <v>30.24597</v>
      </c>
      <c r="F55" s="99">
        <f t="shared" si="1"/>
        <v>0</v>
      </c>
      <c r="G55" s="98">
        <f>+F55*(100-G23)/100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texty!A240</f>
        <v>zamek do drzwi przesuwnych</v>
      </c>
      <c r="B56" s="15">
        <v>216363</v>
      </c>
      <c r="C56" s="475" t="str">
        <f>+VLOOKUP(B56,cennik!A:G,2,FALSE)</f>
        <v>SEVROLL zamek do drzwi przesuwnych 10/18mm</v>
      </c>
      <c r="D56" s="27"/>
      <c r="E56" s="193">
        <f>+VLOOKUP(B56,cennik!A:G,3,FALSE)</f>
        <v>66.840599999999995</v>
      </c>
      <c r="F56" s="99">
        <f t="shared" si="1"/>
        <v>0</v>
      </c>
      <c r="G56" s="98">
        <f>+F56*(100-G23)/100</f>
        <v>0</v>
      </c>
      <c r="H56" s="5" t="str">
        <f>cennik!B2</f>
        <v>zł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szczotka przeciwkurzowa samoprzylepna</v>
      </c>
      <c r="B57" s="15">
        <v>308639</v>
      </c>
      <c r="C57" s="23" t="str">
        <f>+VLOOKUP(B57,cennik!A:G,2,FALSE)</f>
        <v>SEVROLL szczotka przeciwkurzowa z klejem 6,7x13mm szara</v>
      </c>
      <c r="D57" s="27"/>
      <c r="E57" s="193">
        <f>+VLOOKUP(B57,cennik!A:G,3,FALSE)</f>
        <v>1.2647999999999999</v>
      </c>
      <c r="F57" s="99">
        <f t="shared" si="1"/>
        <v>0</v>
      </c>
      <c r="G57" s="98">
        <f>+F57*(100-G23)/100</f>
        <v>0</v>
      </c>
      <c r="H57" s="5" t="str">
        <f>cennik!B2</f>
        <v>zł</v>
      </c>
      <c r="I57" s="363" t="str">
        <f>IFERROR(IF((VLOOKUP(B57,cennik!A:L,12,0))="O",texty!A250,""),"")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134"/>
      <c r="B58" s="22"/>
      <c r="C58" s="23"/>
      <c r="D58" s="23"/>
      <c r="E58" s="86"/>
      <c r="F58" s="91"/>
      <c r="G58" s="98"/>
      <c r="H58" s="5"/>
      <c r="I58" s="166"/>
      <c r="K58" s="174"/>
      <c r="L58" s="5"/>
    </row>
    <row r="59" spans="1:14" ht="15" x14ac:dyDescent="0.25">
      <c r="A59" s="209" t="str">
        <f>texty!A190</f>
        <v xml:space="preserve">tutaj można znaleźć inne akcesoria 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rysunek techniczny tego systemu</v>
      </c>
      <c r="B60" s="15"/>
      <c r="C60" s="23"/>
      <c r="D60" s="72" t="str">
        <f>+Faworyt!D61</f>
        <v>w sumie (bez VAT)</v>
      </c>
      <c r="E60" s="102"/>
      <c r="F60" s="103" t="e">
        <f>SUM(F25:F57)</f>
        <v>#N/A</v>
      </c>
      <c r="G60" s="104" t="e">
        <f>SUM(G25:G57)</f>
        <v>#N/A</v>
      </c>
      <c r="H60" s="5" t="str">
        <f>cennik!B2</f>
        <v>zł</v>
      </c>
      <c r="J60" s="166"/>
      <c r="K60" s="166"/>
      <c r="L60" s="5"/>
    </row>
    <row r="61" spans="1:14" ht="12.75" customHeight="1" x14ac:dyDescent="0.25">
      <c r="A61" s="70" t="str">
        <f>System10!A67</f>
        <v>Uwagi</v>
      </c>
      <c r="B61" s="712"/>
      <c r="C61" s="713"/>
      <c r="D61" s="713"/>
      <c r="E61" s="713"/>
      <c r="F61" s="713"/>
      <c r="G61" s="713"/>
      <c r="H61" s="5"/>
      <c r="L61" s="5"/>
    </row>
    <row r="62" spans="1:14" ht="12.75" customHeight="1" x14ac:dyDescent="0.25">
      <c r="A62" s="711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4" ht="12.75" customHeight="1" x14ac:dyDescent="0.25">
      <c r="A63" s="698" t="str">
        <f>IF(N63=1,texty!A215,IF(K63&gt;0,texty!A214,""))</f>
        <v>niektóre elementy nie są produkowane w wybranej długości</v>
      </c>
      <c r="B63" s="698"/>
      <c r="C63" s="698"/>
      <c r="D63" s="698"/>
      <c r="E63" s="698"/>
      <c r="F63" s="698"/>
      <c r="G63" s="698"/>
      <c r="H63" s="698"/>
      <c r="K63" s="5" t="e">
        <f>SUM(K25:K57)</f>
        <v>#N/A</v>
      </c>
      <c r="L63" s="4" t="str">
        <f>texty!A128</f>
        <v>srebrny</v>
      </c>
      <c r="M63" s="19" t="s">
        <v>968</v>
      </c>
      <c r="N63" s="4">
        <f>IF(ISERROR(K63),1,0)</f>
        <v>1</v>
      </c>
    </row>
    <row r="64" spans="1:14" ht="12.75" hidden="1" customHeight="1" x14ac:dyDescent="0.25">
      <c r="A64" s="59"/>
      <c r="L64" s="4" t="str">
        <f>texty!A130</f>
        <v>j.brąz</v>
      </c>
      <c r="M64" s="19" t="s">
        <v>42</v>
      </c>
    </row>
  </sheetData>
  <sheetProtection algorithmName="SHA-512" hashValue="Qs4HaMx3RfW8GuYnS8qAb24tRRcthgaC6DtGA9iTbWFdL2SZltlrnEToH6ywvo9Grtebj8+j49k6d9f596WpdQ==" saltValue="f8ZNIszJ8vSvnUEF95AuzQ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A13">
    <cfRule type="expression" dxfId="101" priority="3">
      <formula>SUM($D$39:$D$40)&gt;0</formula>
    </cfRule>
  </conditionalFormatting>
  <conditionalFormatting sqref="D6">
    <cfRule type="expression" dxfId="99" priority="9">
      <formula>$D$4=4</formula>
    </cfRule>
    <cfRule type="expression" dxfId="98" priority="10">
      <formula>$D$4&lt;&gt;4</formula>
    </cfRule>
  </conditionalFormatting>
  <conditionalFormatting sqref="G4">
    <cfRule type="expression" dxfId="97" priority="8">
      <formula>$D$4=4</formula>
    </cfRule>
  </conditionalFormatting>
  <conditionalFormatting sqref="I16:I17">
    <cfRule type="expression" dxfId="96" priority="4">
      <formula>$F$4=$M$64</formula>
    </cfRule>
  </conditionalFormatting>
  <conditionalFormatting sqref="I18:I19">
    <cfRule type="expression" dxfId="95" priority="5">
      <formula>$F$4=$M$63</formula>
    </cfRule>
  </conditionalFormatting>
  <dataValidations count="7">
    <dataValidation type="list" allowBlank="1" showInputMessage="1" showErrorMessage="1" sqref="E5 F5" xr:uid="{00000000-0002-0000-17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823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40.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 2 742 mm /")</f>
        <v>wysokość / max. 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365"/>
      <c r="H4" s="365"/>
      <c r="I4" s="36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365"/>
      <c r="H5" s="365"/>
      <c r="I5" s="36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skrzydło drzwi: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rozmiar lustra / na DTD 12mm/</v>
      </c>
      <c r="B10" s="57" t="str">
        <f>IFERROR((B8-4),"")</f>
        <v/>
      </c>
      <c r="C10" s="61" t="str">
        <f>IFERROR((C9-6),"")</f>
        <v/>
      </c>
      <c r="D10" s="7"/>
      <c r="E10" s="7"/>
      <c r="F10" s="7"/>
      <c r="G10" s="46"/>
      <c r="H10" s="5"/>
      <c r="O10" s="15"/>
      <c r="P10" s="19"/>
    </row>
    <row r="11" spans="1:16" ht="12.75" customHeight="1" x14ac:dyDescent="0.25">
      <c r="A11" s="9" t="str">
        <f>texty!A51</f>
        <v>długość rączki (+ 2 mm 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Maksymalny wymiar skrzydła w lustrze 2400x700mm</v>
      </c>
      <c r="C12" s="80"/>
      <c r="D12" s="7"/>
      <c r="E12" s="7"/>
      <c r="F12" s="7"/>
      <c r="G12" s="5"/>
      <c r="H12" s="5"/>
      <c r="L12" s="5"/>
    </row>
    <row r="13" spans="1:16" ht="26.4" x14ac:dyDescent="0.25">
      <c r="A13" s="683" t="str">
        <f>IF(SUM(D39:D40)&gt;0,texty!A246,"")</f>
        <v/>
      </c>
      <c r="B13" s="683"/>
      <c r="C13" s="384" t="str">
        <f>texty!A78</f>
        <v>dodatkowe zmniejszenie wysokośći wyliczonych wypełnień przy wykorzystaniu profili dzielących:</v>
      </c>
      <c r="D13" s="7"/>
      <c r="E13" s="7"/>
      <c r="F13" s="7"/>
      <c r="G13" s="5"/>
      <c r="H13" s="5"/>
      <c r="L13" s="5"/>
    </row>
    <row r="14" spans="1:16" ht="33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H16" s="36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377"/>
      <c r="B20" s="396"/>
      <c r="C20" s="7"/>
      <c r="E20" s="7"/>
      <c r="F20" s="7"/>
      <c r="G20" s="5"/>
      <c r="H20" s="5"/>
      <c r="L20" s="5"/>
    </row>
    <row r="21" spans="1:1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+Faworyt!$G$23</f>
        <v>partnerska zniżka:</v>
      </c>
      <c r="H22" s="5"/>
      <c r="L22" s="5"/>
    </row>
    <row r="23" spans="1:12" ht="12.75" customHeight="1" x14ac:dyDescent="0.25">
      <c r="A23" s="123" t="str">
        <f>texty!A80</f>
        <v>Kody zamówieniowe, ceny:</v>
      </c>
      <c r="B23" s="7"/>
      <c r="D23" s="7"/>
      <c r="E23" s="7"/>
      <c r="F23" s="7"/>
      <c r="G23" s="587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kod</v>
      </c>
      <c r="C24" s="77" t="str">
        <f>+Faworyt!C25</f>
        <v>nazwa</v>
      </c>
      <c r="D24" s="76" t="str">
        <f>+Faworyt!D25</f>
        <v>szt.</v>
      </c>
      <c r="E24" s="76" t="str">
        <f>+Faworyt!E25</f>
        <v>cena/szt.</v>
      </c>
      <c r="F24" s="76" t="str">
        <f>+Faworyt!F25</f>
        <v>cena w sumie</v>
      </c>
      <c r="G24" s="78" t="str">
        <f>+Faworyt!G25</f>
        <v>w sumie netto:</v>
      </c>
      <c r="H24" s="79"/>
      <c r="I24" s="16" t="str">
        <f>texty!A29</f>
        <v>Uwagi:</v>
      </c>
      <c r="K24" s="16"/>
      <c r="L24" s="16"/>
    </row>
    <row r="25" spans="1:12" ht="12.75" customHeight="1" x14ac:dyDescent="0.25">
      <c r="A25" s="6" t="str">
        <f>+Faworyt!A26</f>
        <v>tor górny:</v>
      </c>
      <c r="B25" s="7" t="e">
        <f>+VLOOKUP(M6,data!$C$211:$D$255,2,0)</f>
        <v>#N/A</v>
      </c>
      <c r="C25" s="23" t="e">
        <f>+VLOOKUP(B25,cennik!$A$3:$G$701,2,FALSE)</f>
        <v>#N/A</v>
      </c>
      <c r="D25" s="15" t="e">
        <f>IF(B25="N/A",0,1)</f>
        <v>#N/A</v>
      </c>
      <c r="E25" s="86" t="e">
        <f>+VLOOKUP(B25,cennik!$A:$G,3,FALSE)</f>
        <v>#N/A</v>
      </c>
      <c r="F25" s="86" t="e">
        <f t="shared" ref="F25:F31" si="0">+E25*D25</f>
        <v>#N/A</v>
      </c>
      <c r="G25" s="87" t="e">
        <f t="shared" ref="G25:G31" si="1">+F25*(100-$G$23)/100</f>
        <v>#N/A</v>
      </c>
      <c r="H25" s="5" t="str">
        <f>cennik!$B$2</f>
        <v>zł</v>
      </c>
      <c r="I25" s="363" t="str">
        <f>IFERROR(IF((VLOOKUP(B25,cennik!A:L,12,0))="O",texty!$A$250,""),"")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Tor dolny</v>
      </c>
      <c r="B26" s="15" t="e">
        <f>+VLOOKUP(O6,data!$C$4:$D$83,2,0)</f>
        <v>#N/A</v>
      </c>
      <c r="C26" s="23" t="e">
        <f>IF($B$26=data!$D$64,texty!$A$239,+VLOOKUP($B$26,cennik!$A$3:$G$907,2,FALSE))</f>
        <v>#N/A</v>
      </c>
      <c r="D26" s="15">
        <v>1</v>
      </c>
      <c r="E26" s="86" t="e">
        <f>IF(B26=data!$D$73,0,+VLOOKUP(B26,cennik!$A$3:$G$907,3,FALSE))</f>
        <v>#N/A</v>
      </c>
      <c r="F26" s="86" t="e">
        <f t="shared" si="0"/>
        <v>#N/A</v>
      </c>
      <c r="G26" s="87" t="e">
        <f t="shared" si="1"/>
        <v>#N/A</v>
      </c>
      <c r="H26" s="5" t="str">
        <f>cennik!$B$2</f>
        <v>zł</v>
      </c>
      <c r="I26" s="363" t="str">
        <f>IFERROR(IF((VLOOKUP(B26,cennik!A:L,12,0))="O",texty!$A$250,""),"")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profil maskujący (maskownica):</v>
      </c>
      <c r="B27" s="15" t="e">
        <f>+VLOOKUP(O6,data!$C$115:$D$210,2,0)</f>
        <v>#N/A</v>
      </c>
      <c r="C27" s="23" t="e">
        <f>IF($B$27=data!$D$64,texty!$A$239,+VLOOKUP($B$27,cennik!$A$3:$G$907,2,FALSE))</f>
        <v>#N/A</v>
      </c>
      <c r="D27" s="15">
        <v>1</v>
      </c>
      <c r="E27" s="86" t="e">
        <f>IF(B27=data!$D$73,0,+VLOOKUP(B27,cennik!$A$3:$G$907,3,FALSE))</f>
        <v>#N/A</v>
      </c>
      <c r="F27" s="86" t="e">
        <f t="shared" si="0"/>
        <v>#N/A</v>
      </c>
      <c r="G27" s="87" t="e">
        <f t="shared" si="1"/>
        <v>#N/A</v>
      </c>
      <c r="H27" s="5" t="str">
        <f>cennik!$B$2</f>
        <v>zł</v>
      </c>
      <c r="I27" s="363" t="str">
        <f>IFERROR(IF((VLOOKUP(B27,cennik!A:L,12,0))="O",texty!$A$250,""),"")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górne wózki</v>
      </c>
      <c r="B28" s="15">
        <v>228023</v>
      </c>
      <c r="C28" s="475" t="str">
        <f>+VLOOKUP(B28,cennik!$A:$G,2,FALSE)</f>
        <v>SEVROLL Focus wózek górny 18mm 2szt</v>
      </c>
      <c r="D28" s="15">
        <f>IF((D41+D42)&gt;D4,0,D4-(D41+D42))</f>
        <v>0</v>
      </c>
      <c r="E28" s="193">
        <f>+VLOOKUP(B28,cennik!$A:$G,3,FALSE)</f>
        <v>13.907170000000001</v>
      </c>
      <c r="F28" s="86">
        <f t="shared" si="0"/>
        <v>0</v>
      </c>
      <c r="G28" s="87">
        <f t="shared" si="1"/>
        <v>0</v>
      </c>
      <c r="H28" s="5" t="str">
        <f>cennik!$B$2</f>
        <v>zł</v>
      </c>
      <c r="I28" s="363" t="str">
        <f>IFERROR(IF((VLOOKUP(B28,cennik!A:L,12,0))="O",texty!$A$250,""),"")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dolne wózki</v>
      </c>
      <c r="B29" s="15">
        <f>IF(F4=M61,362316,229440)</f>
        <v>229440</v>
      </c>
      <c r="C29" s="23" t="str">
        <f>+VLOOKUP(B29,cennik!$A:$G,2,FALSE)</f>
        <v>SEVROLL wózek dolny WD 18C HI-TEC - 2szt</v>
      </c>
      <c r="D29" s="15">
        <f>+D4</f>
        <v>0</v>
      </c>
      <c r="E29" s="193">
        <f>+VLOOKUP(B29,cennik!$A:$G,3,FALSE)</f>
        <v>17.546399999999998</v>
      </c>
      <c r="F29" s="86">
        <f t="shared" si="0"/>
        <v>0</v>
      </c>
      <c r="G29" s="87">
        <f t="shared" si="1"/>
        <v>0</v>
      </c>
      <c r="H29" s="5" t="str">
        <f>cennik!$B$2</f>
        <v>zł</v>
      </c>
      <c r="I29" s="363" t="str">
        <f>IFERROR(IF((VLOOKUP(B29,cennik!A:L,12,0))="O",texty!$A$250,""),"")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szczotka odbojowa</v>
      </c>
      <c r="B30" s="15">
        <v>229433</v>
      </c>
      <c r="C30" s="475" t="str">
        <f>+VLOOKUP(B30,cennik!$A:$G,2,FALSE)</f>
        <v>SEVROLL szczotka odbojowa bez kleju 4,8x4mm</v>
      </c>
      <c r="D30" s="15">
        <f>CEILING((B4*D4*2/1000),1)</f>
        <v>0</v>
      </c>
      <c r="E30" s="193">
        <f>+VLOOKUP(B30,cennik!$A:$G,3,FALSE)</f>
        <v>0.35</v>
      </c>
      <c r="F30" s="86">
        <f t="shared" si="0"/>
        <v>0</v>
      </c>
      <c r="G30" s="87">
        <f t="shared" si="1"/>
        <v>0</v>
      </c>
      <c r="H30" s="5" t="str">
        <f>cennik!$B$2</f>
        <v>zł</v>
      </c>
      <c r="I30" s="363" t="str">
        <f>IFERROR(IF((VLOOKUP(B30,cennik!A:L,12,0))="O",texty!$A$250,""),"")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rączka</v>
      </c>
      <c r="B31" s="15" t="e">
        <f>+VLOOKUP(P7,data!$C$705:$D$706,2,0)</f>
        <v>#N/A</v>
      </c>
      <c r="C31" s="475" t="e">
        <f>+VLOOKUP(B31,cennik!$A:$G,2,FALSE)</f>
        <v>#N/A</v>
      </c>
      <c r="D31" s="15">
        <f>IF(B11&lt;=1347,D4*2/2,D4*2)</f>
        <v>0</v>
      </c>
      <c r="E31" s="193" t="e">
        <f>+VLOOKUP(B31,cennik!$A:$G,3,FALSE)</f>
        <v>#N/A</v>
      </c>
      <c r="F31" s="86" t="e">
        <f t="shared" si="0"/>
        <v>#N/A</v>
      </c>
      <c r="G31" s="87" t="e">
        <f t="shared" si="1"/>
        <v>#N/A</v>
      </c>
      <c r="H31" s="5" t="str">
        <f>cennik!$B$2</f>
        <v>zł</v>
      </c>
      <c r="I31" s="363" t="str">
        <f>IFERROR(IF((VLOOKUP(B31,cennik!A:L,12,0))="O",texty!$A$250,""),"")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86"/>
      <c r="G32" s="87"/>
      <c r="H32" s="5"/>
      <c r="I32" s="363" t="str">
        <f>IFERROR(IF((VLOOKUP(B32,cennik!A:L,12,0))="O",texty!$A$250,""),"")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texty!$A$66</f>
        <v>Akcesoria:</v>
      </c>
      <c r="B33" s="113"/>
      <c r="C33" s="115"/>
      <c r="D33" s="371" t="str">
        <f>+Faworyt!D34</f>
        <v>podaj ilość</v>
      </c>
      <c r="E33" s="86"/>
      <c r="F33" s="86"/>
      <c r="G33" s="87"/>
      <c r="H33" s="5"/>
      <c r="I33" s="363" t="str">
        <f>IFERROR(IF((VLOOKUP(B33,cennik!A:L,12,0))="O",texty!$A$250,""),"")</f>
        <v/>
      </c>
      <c r="K33" s="174"/>
      <c r="L33" s="3"/>
    </row>
    <row r="34" spans="1:12" ht="12.75" customHeight="1" x14ac:dyDescent="0.25">
      <c r="A34" s="6" t="str">
        <f>texty!$A$88</f>
        <v>pozycjoner wózka górnego</v>
      </c>
      <c r="B34" s="66">
        <v>298035</v>
      </c>
      <c r="C34" s="475" t="str">
        <f>+VLOOKUP(B34,cennik!$A:$G,2,FALSE)</f>
        <v>SEVROLL Fix pozycjoner wózka górnego transparentny</v>
      </c>
      <c r="D34" s="27"/>
      <c r="E34" s="193">
        <f>+VLOOKUP(B34,cennik!$A:$G,3,FALSE)</f>
        <v>3.74519</v>
      </c>
      <c r="F34" s="99">
        <f>+E34*D34</f>
        <v>0</v>
      </c>
      <c r="G34" s="98">
        <f>+F34*(100-$G$23)/100</f>
        <v>0</v>
      </c>
      <c r="H34" s="5" t="str">
        <f>cennik!$B$2</f>
        <v>zł</v>
      </c>
      <c r="I34" s="363" t="str">
        <f>IFERROR(IF((VLOOKUP(B34,cennik!A:L,12,0))="O",texty!$A$250,""),"")</f>
        <v/>
      </c>
      <c r="J34" s="120"/>
      <c r="K34" s="174" t="str">
        <f>IF(D34&gt;0,IF(VLOOKUP(B34,cennik!A:L,12,FALSE)="O",1,""),"")</f>
        <v/>
      </c>
      <c r="L34" s="3"/>
    </row>
    <row r="35" spans="1:12" ht="12.75" customHeight="1" x14ac:dyDescent="0.25">
      <c r="A35" s="6" t="str">
        <f>texty!$A$111</f>
        <v>pozycjoner</v>
      </c>
      <c r="B35" s="15">
        <f>IF(F4="Gemini",387424,89063)</f>
        <v>89063</v>
      </c>
      <c r="C35" s="475" t="str">
        <f>+VLOOKUP(B35,cennik!$A:$G,2,FALSE)</f>
        <v>SEVROLL pozycjoner wózka dolnego HI-TEC</v>
      </c>
      <c r="D35" s="27"/>
      <c r="E35" s="193">
        <f>+VLOOKUP(B35,cennik!$A:$G,3,FALSE)</f>
        <v>1.071</v>
      </c>
      <c r="F35" s="99">
        <f t="shared" ref="F35:F57" si="2">+E35*D35</f>
        <v>0</v>
      </c>
      <c r="G35" s="98">
        <f t="shared" ref="G35:G57" si="3">+F35*(100-$G$23)/100</f>
        <v>0</v>
      </c>
      <c r="H35" s="5" t="str">
        <f>cennik!$B$2</f>
        <v>zł</v>
      </c>
      <c r="I35" s="363" t="str">
        <f>IFERROR(IF((VLOOKUP(B35,cennik!A:L,12,0))="O",texty!$A$250,""),"")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texty!$A$228</f>
        <v> Tłumienie MINI do 25 kg (para)</v>
      </c>
      <c r="B36" s="15">
        <v>318662</v>
      </c>
      <c r="C36" s="23" t="str">
        <f>+VLOOKUP(B36,cennik!$A:$G,2,FALSE)</f>
        <v>SEVROLL tłumienie Mini SV25 (14-25kg)</v>
      </c>
      <c r="D36" s="278"/>
      <c r="E36" s="86">
        <f>+VLOOKUP(B36,cennik!$A:$G,3,FALSE)</f>
        <v>96.889799999999994</v>
      </c>
      <c r="F36" s="91">
        <f>+CEILING(D36,1)*E36</f>
        <v>0</v>
      </c>
      <c r="G36" s="98">
        <f t="shared" si="3"/>
        <v>0</v>
      </c>
      <c r="H36" s="22" t="str">
        <f>cennik!$B$2</f>
        <v>zł</v>
      </c>
      <c r="I36" s="363" t="str">
        <f>IFERROR(IF((VLOOKUP(B36,cennik!A:L,12,0))="O",texty!$A$250,""),"")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texty!$A$229</f>
        <v> Tłumienie MINI do 40 kg (para)</v>
      </c>
      <c r="B37" s="15">
        <v>283956</v>
      </c>
      <c r="C37" s="23" t="str">
        <f>+VLOOKUP(B37,cennik!$A:$G,2,FALSE)</f>
        <v>SEVROLL tłumienie Mini SV40 (25 - 40kg)</v>
      </c>
      <c r="D37" s="278"/>
      <c r="E37" s="86">
        <f>+VLOOKUP(B37,cennik!$A:$G,3,FALSE)</f>
        <v>96.889799999999994</v>
      </c>
      <c r="F37" s="91">
        <f>+CEILING(D37,1)*E37</f>
        <v>0</v>
      </c>
      <c r="G37" s="98">
        <f t="shared" si="3"/>
        <v>0</v>
      </c>
      <c r="H37" s="22" t="str">
        <f>cennik!$B$2</f>
        <v>zł</v>
      </c>
      <c r="I37" s="363" t="str">
        <f>IFERROR(IF((VLOOKUP(B37,cennik!A:L,12,0))="O",texty!$A$250,""),"")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texty!$A$230</f>
        <v> Tłumienie MINI do 60 kg (para)</v>
      </c>
      <c r="B38" s="15">
        <v>351743</v>
      </c>
      <c r="C38" s="23" t="str">
        <f>+VLOOKUP(B38,cennik!$A:$G,2,FALSE)</f>
        <v>SEVROLL tłumienie Mini SV60 (40 - 60kg)</v>
      </c>
      <c r="D38" s="278"/>
      <c r="E38" s="86">
        <f>+VLOOKUP(B38,cennik!$A:$G,3,FALSE)</f>
        <v>96.889799999999994</v>
      </c>
      <c r="F38" s="91">
        <f>+CEILING(D38,1)*E38</f>
        <v>0</v>
      </c>
      <c r="G38" s="98">
        <f t="shared" si="3"/>
        <v>0</v>
      </c>
      <c r="H38" s="22" t="str">
        <f>cennik!$B$2</f>
        <v>zł</v>
      </c>
      <c r="I38" s="363" t="str">
        <f>IFERROR(IF((VLOOKUP(B38,cennik!A:L,12,0))="O",texty!$A$250,""),"")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texty!$A$231</f>
        <v xml:space="preserve"> Tłumienie do skrzydła środkowego do 25 kg </v>
      </c>
      <c r="B39" s="15">
        <v>318663</v>
      </c>
      <c r="C39" s="23" t="str">
        <f>+VLOOKUP(B39,cennik!$A:$G,2,FALSE)</f>
        <v>SEVROLL tłumienie Central 10/18mm obustronne 25kg</v>
      </c>
      <c r="D39" s="278"/>
      <c r="E39" s="86">
        <f>+VLOOKUP(B39,cennik!$A:$G,3,FALSE)</f>
        <v>206.958</v>
      </c>
      <c r="F39" s="91">
        <f>+CEILING(D39,1)*E39</f>
        <v>0</v>
      </c>
      <c r="G39" s="98">
        <f t="shared" si="3"/>
        <v>0</v>
      </c>
      <c r="H39" s="22" t="str">
        <f>cennik!$B$2</f>
        <v>zł</v>
      </c>
      <c r="I39" s="363" t="str">
        <f>IFERROR(IF((VLOOKUP(B39,cennik!A:L,12,0))="O",texty!$A$250,""),"")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texty!$A$232</f>
        <v xml:space="preserve"> Tłumienie do skrzydła środkowego do 40 kg </v>
      </c>
      <c r="B40" s="15">
        <v>283955</v>
      </c>
      <c r="C40" s="23" t="str">
        <f>+VLOOKUP(B40,cennik!$A:$G,2,FALSE)</f>
        <v>SEVROLL tłumienie Central 10/18mm obustronne 25-40kg</v>
      </c>
      <c r="D40" s="278"/>
      <c r="E40" s="86">
        <f>+VLOOKUP(B40,cennik!$A:$G,3,FALSE)</f>
        <v>206.958</v>
      </c>
      <c r="F40" s="91">
        <f>+CEILING(D40,1)*E40</f>
        <v>0</v>
      </c>
      <c r="G40" s="98">
        <f t="shared" si="3"/>
        <v>0</v>
      </c>
      <c r="H40" s="22" t="str">
        <f>cennik!$B$2</f>
        <v>zł</v>
      </c>
      <c r="I40" s="363" t="str">
        <f>IFERROR(IF((VLOOKUP(B40,cennik!A:L,12,0))="O",texty!$A$250,""),"")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texty!$A$97</f>
        <v>tłumienie (para)25 kg</v>
      </c>
      <c r="B41" s="15">
        <v>227185</v>
      </c>
      <c r="C41" s="475" t="str">
        <f>+VLOOKUP(B41,cennik!$A:$G,2,FALSE)</f>
        <v>K-SEVROLL tłumienie 10/18mm 14-25kg L+P</v>
      </c>
      <c r="D41" s="27"/>
      <c r="E41" s="193">
        <f>+VLOOKUP(B41,cennik!$A:$G,3,FALSE)</f>
        <v>0</v>
      </c>
      <c r="F41" s="99">
        <f>+E41*D41</f>
        <v>0</v>
      </c>
      <c r="G41" s="98">
        <f t="shared" si="3"/>
        <v>0</v>
      </c>
      <c r="H41" s="5" t="str">
        <f>cennik!$B$2</f>
        <v>zł</v>
      </c>
      <c r="I41" s="363" t="str">
        <f>IFERROR(IF((VLOOKUP(B41,cennik!A:L,12,0))="O",texty!$A$250,""),"")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texty!$A$98</f>
        <v>tłumienie (para) 50 kg</v>
      </c>
      <c r="B42" s="15">
        <v>227187</v>
      </c>
      <c r="C42" s="475" t="str">
        <f>+VLOOKUP(B42,cennik!$A:$G,2,FALSE)</f>
        <v>K-SEVROLL tłumienie 10/18mm 25-50kg L+P</v>
      </c>
      <c r="D42" s="27"/>
      <c r="E42" s="193">
        <f>+VLOOKUP(B42,cennik!$A:$G,3,FALSE)</f>
        <v>0</v>
      </c>
      <c r="F42" s="99">
        <f>+E42*D42</f>
        <v>0</v>
      </c>
      <c r="G42" s="98">
        <f t="shared" si="3"/>
        <v>0</v>
      </c>
      <c r="H42" s="5" t="str">
        <f>cennik!$B$2</f>
        <v>zł</v>
      </c>
      <c r="I42" s="363" t="str">
        <f>IFERROR(IF((VLOOKUP(B42,cennik!A:L,12,0))="O",texty!$A$250,""),"")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texty!$A$196</f>
        <v>Klamra szczotki odbojowej</v>
      </c>
      <c r="B43" s="15">
        <v>223569</v>
      </c>
      <c r="C43" s="475" t="str">
        <f>+VLOOKUP(B43,cennik!$A:$G,2,FALSE)</f>
        <v>SEVROLL klips do szczotki przeciwkurzowej</v>
      </c>
      <c r="D43" s="27"/>
      <c r="E43" s="193">
        <f>+VLOOKUP(B43,cennik!$A:$G,3,FALSE)</f>
        <v>0.23857999999999999</v>
      </c>
      <c r="F43" s="99">
        <f t="shared" si="2"/>
        <v>0</v>
      </c>
      <c r="G43" s="98">
        <f t="shared" si="3"/>
        <v>0</v>
      </c>
      <c r="H43" s="5" t="str">
        <f>cennik!$B$2</f>
        <v>zł</v>
      </c>
      <c r="I43" s="363" t="str">
        <f>IFERROR(IF((VLOOKUP(B43,cennik!A:L,12,0))="O",texty!$A$250,""),"")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5">
      <c r="A44" s="134" t="str">
        <f>texty!$A$114</f>
        <v>profil łączący H18-3metry</v>
      </c>
      <c r="B44" s="15" t="e">
        <f>+VLOOKUP($P$7,data!$C$577:$D$587,2,0)</f>
        <v>#N/A</v>
      </c>
      <c r="C44" s="475" t="e">
        <f>+VLOOKUP(B44,cennik!$A:$G,2,FALSE)</f>
        <v>#N/A</v>
      </c>
      <c r="D44" s="27"/>
      <c r="E44" s="193" t="e">
        <f>+VLOOKUP(B44,cennik!$A:$G,3,FALSE)</f>
        <v>#N/A</v>
      </c>
      <c r="F44" s="99" t="e">
        <f t="shared" si="2"/>
        <v>#N/A</v>
      </c>
      <c r="G44" s="98" t="e">
        <f t="shared" si="3"/>
        <v>#N/A</v>
      </c>
      <c r="H44" s="5" t="str">
        <f>cennik!$B$2</f>
        <v>zł</v>
      </c>
      <c r="I44" s="363" t="str">
        <f>IFERROR(IF((VLOOKUP(B44,cennik!A:L,12,0))="O",texty!$A$250,""),"")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texty!$A$115</f>
        <v>Teownik -3metry</v>
      </c>
      <c r="B45" s="15" t="e">
        <f>+VLOOKUP($P$7,data!$C$589:$D$598,2,0)</f>
        <v>#N/A</v>
      </c>
      <c r="C45" s="475" t="e">
        <f>IF(B45=data!$D$64,texty!$A$239,+VLOOKUP(B45,cennik!$A$3:$G$907,2,FALSE))</f>
        <v>#N/A</v>
      </c>
      <c r="D45" s="27"/>
      <c r="E45" s="86" t="e">
        <f>IF(B45=data!$D$73,0,+VLOOKUP(B45,cennik!$A$3:$G$907,3,FALSE))</f>
        <v>#N/A</v>
      </c>
      <c r="F45" s="86" t="e">
        <f t="shared" si="2"/>
        <v>#N/A</v>
      </c>
      <c r="G45" s="98" t="e">
        <f t="shared" si="3"/>
        <v>#N/A</v>
      </c>
      <c r="H45" s="22" t="str">
        <f>cennik!$B$2</f>
        <v>zł</v>
      </c>
      <c r="I45" s="363" t="str">
        <f>IFERROR(IF((VLOOKUP(B45,cennik!A:L,12,0))="O",texty!$A$250,""),"")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texty!$A$116</f>
        <v>Teownik decor -3metry</v>
      </c>
      <c r="B46" s="15" t="e">
        <f>+VLOOKUP($P$7,data!$C$599:$D$608,2,0)</f>
        <v>#N/A</v>
      </c>
      <c r="C46" s="475" t="e">
        <f>IF(B46=data!$D$64,texty!$A$239,+VLOOKUP(B46,cennik!$A$3:$G$907,2,FALSE))</f>
        <v>#N/A</v>
      </c>
      <c r="D46" s="27"/>
      <c r="E46" s="86" t="e">
        <f>IF(B46=data!$D$73,0,+VLOOKUP(B46,cennik!$A$3:$G$907,3,FALSE))</f>
        <v>#N/A</v>
      </c>
      <c r="F46" s="86" t="e">
        <f t="shared" si="2"/>
        <v>#N/A</v>
      </c>
      <c r="G46" s="98" t="e">
        <f t="shared" si="3"/>
        <v>#N/A</v>
      </c>
      <c r="H46" s="22" t="str">
        <f>cennik!$B$2</f>
        <v>zł</v>
      </c>
      <c r="I46" s="363" t="str">
        <f>IFERROR(IF((VLOOKUP(B46,cennik!A:L,12,0))="O",texty!$A$250,""),"")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texty!$A$117</f>
        <v>"U" profil na DTD 18mm- 3 metry /gładki/</v>
      </c>
      <c r="B47" s="7" t="e">
        <f>+VLOOKUP($P$7,data!$C$609:$D$619,2,0)</f>
        <v>#N/A</v>
      </c>
      <c r="C47" s="475" t="e">
        <f>+VLOOKUP(B47,cennik!$A:$G,2,FALSE)</f>
        <v>#N/A</v>
      </c>
      <c r="D47" s="27"/>
      <c r="E47" s="193" t="e">
        <f>+VLOOKUP(B47,cennik!$A:$G,3,FALSE)</f>
        <v>#N/A</v>
      </c>
      <c r="F47" s="99" t="e">
        <f t="shared" si="2"/>
        <v>#N/A</v>
      </c>
      <c r="G47" s="98" t="e">
        <f t="shared" si="3"/>
        <v>#N/A</v>
      </c>
      <c r="H47" s="5" t="str">
        <f>cennik!$B$2</f>
        <v>zł</v>
      </c>
      <c r="I47" s="363" t="str">
        <f>IFERROR(IF((VLOOKUP(B47,cennik!A:L,12,0))="O",texty!$A$250,""),"")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texty!$A$118</f>
        <v>"U" profil na DTD 18mm- 3 metry</v>
      </c>
      <c r="B48" s="15" t="e">
        <f>+VLOOKUP($P$7,data!$C$619:$D$629,2,0)</f>
        <v>#N/A</v>
      </c>
      <c r="C48" s="475" t="e">
        <f>IF(B48=data!$D$64,texty!$A$239,+VLOOKUP(B48,cennik!$A$3:$G$907,2,FALSE))</f>
        <v>#N/A</v>
      </c>
      <c r="D48" s="27"/>
      <c r="E48" s="86" t="e">
        <f>IF(B48=data!$D$73,0,+VLOOKUP(B48,cennik!$A$3:$G$907,3,FALSE))</f>
        <v>#N/A</v>
      </c>
      <c r="F48" s="86" t="e">
        <f t="shared" si="2"/>
        <v>#N/A</v>
      </c>
      <c r="G48" s="98" t="e">
        <f t="shared" si="3"/>
        <v>#N/A</v>
      </c>
      <c r="H48" s="5" t="str">
        <f>cennik!$B$2</f>
        <v>zł</v>
      </c>
      <c r="I48" s="363" t="str">
        <f>IFERROR(IF((VLOOKUP(B48,cennik!A:L,12,0))="O",texty!$A$250,""),"")</f>
        <v/>
      </c>
      <c r="K48" s="174" t="str">
        <f>IF(D48&gt;0,IF(VLOOKUP(B48,cennik!A:L,12,FALSE)="O",1,""),"")</f>
        <v/>
      </c>
    </row>
    <row r="49" spans="1:14" ht="12.75" customHeight="1" x14ac:dyDescent="0.25">
      <c r="A49" s="134" t="str">
        <f>texty!$A$119</f>
        <v>kątownik mini 11x17mm - 1,7m</v>
      </c>
      <c r="B49" s="7" t="e">
        <f>+VLOOKUP($P$7,data!$C$630:$D$640,2,0)</f>
        <v>#N/A</v>
      </c>
      <c r="C49" s="475" t="e">
        <f>IF(B49=data!$D$64,texty!$A$239,+VLOOKUP(B49,cennik!$A$3:$G$907,2,FALSE))</f>
        <v>#N/A</v>
      </c>
      <c r="D49" s="27"/>
      <c r="E49" s="86" t="e">
        <f>IF(B49=data!$D$73,0,+VLOOKUP(B49,cennik!$A$3:$G$907,3,FALSE))</f>
        <v>#N/A</v>
      </c>
      <c r="F49" s="86" t="e">
        <f>+E49*D49</f>
        <v>#N/A</v>
      </c>
      <c r="G49" s="98" t="e">
        <f t="shared" si="3"/>
        <v>#N/A</v>
      </c>
      <c r="H49" s="5" t="str">
        <f>cennik!$B$2</f>
        <v>zł</v>
      </c>
      <c r="I49" s="363" t="str">
        <f>IFERROR(IF((VLOOKUP(B49,cennik!A:L,12,0))="O",texty!$A$250,""),"")</f>
        <v/>
      </c>
      <c r="K49" s="174" t="str">
        <f>IF(D49&gt;0,IF(VLOOKUP(B49,cennik!A:L,12,FALSE)="O",1,""),"")</f>
        <v/>
      </c>
    </row>
    <row r="50" spans="1:14" ht="12.75" customHeight="1" x14ac:dyDescent="0.25">
      <c r="A50" s="134" t="str">
        <f>texty!$A$120</f>
        <v>kątownik mini 11x17mm - 2,35m</v>
      </c>
      <c r="B50" s="7" t="e">
        <f>+VLOOKUP($P$7,data!$C$642:$D$652,2,0)</f>
        <v>#N/A</v>
      </c>
      <c r="C50" s="475" t="e">
        <f>IF(B50=data!$D$64,texty!$A$239,+VLOOKUP(B50,cennik!$A$3:$G$907,2,FALSE))</f>
        <v>#N/A</v>
      </c>
      <c r="D50" s="27"/>
      <c r="E50" s="86" t="e">
        <f>IF(B50=data!$D$73,0,+VLOOKUP(B50,cennik!$A$3:$G$907,3,FALSE))</f>
        <v>#N/A</v>
      </c>
      <c r="F50" s="86" t="e">
        <f>+E50*D50</f>
        <v>#N/A</v>
      </c>
      <c r="G50" s="98" t="e">
        <f t="shared" si="3"/>
        <v>#N/A</v>
      </c>
      <c r="H50" s="5" t="str">
        <f>cennik!$B$2</f>
        <v>zł</v>
      </c>
      <c r="I50" s="363" t="str">
        <f>IFERROR(IF((VLOOKUP(B50,cennik!A:L,12,0))="O",texty!$A$250,""),"")</f>
        <v/>
      </c>
      <c r="K50" s="174" t="str">
        <f>IF(D50&gt;0,IF(VLOOKUP(B50,cennik!A:L,12,FALSE)="O",1,""),"")</f>
        <v/>
      </c>
    </row>
    <row r="51" spans="1:14" ht="12.75" customHeight="1" x14ac:dyDescent="0.25">
      <c r="A51" s="134" t="str">
        <f>texty!$A$121</f>
        <v>kątownik mini 11x17mm - 3,00m</v>
      </c>
      <c r="B51" s="7" t="e">
        <f>+VLOOKUP($P$7,data!$C$654:$D$664,2,0)</f>
        <v>#N/A</v>
      </c>
      <c r="C51" s="475" t="e">
        <f>IF(B51=data!$D$64,texty!$A$239,+VLOOKUP(B51,cennik!$A$3:$G$907,2,FALSE))</f>
        <v>#N/A</v>
      </c>
      <c r="D51" s="27"/>
      <c r="E51" s="86" t="e">
        <f>IF(B51=data!$D$73,0,+VLOOKUP(B51,cennik!$A$3:$G$907,3,FALSE))</f>
        <v>#N/A</v>
      </c>
      <c r="F51" s="86" t="e">
        <f>+E51*D51</f>
        <v>#N/A</v>
      </c>
      <c r="G51" s="98" t="e">
        <f t="shared" si="3"/>
        <v>#N/A</v>
      </c>
      <c r="H51" s="5" t="str">
        <f>cennik!$B$2</f>
        <v>zł</v>
      </c>
      <c r="I51" s="363" t="str">
        <f>IFERROR(IF((VLOOKUP(B51,cennik!A:L,12,0))="O",texty!$A$250,""),"")</f>
        <v/>
      </c>
      <c r="K51" s="174" t="str">
        <f>IF(D51&gt;0,IF(VLOOKUP(B51,cennik!A:L,12,FALSE)="O",1,""),"")</f>
        <v/>
      </c>
    </row>
    <row r="52" spans="1:14" ht="12.75" customHeight="1" x14ac:dyDescent="0.25">
      <c r="A52" s="134" t="str">
        <f>texty!$A$122</f>
        <v>kątownik K2 19x18mm - 1,7m</v>
      </c>
      <c r="B52" s="15" t="e">
        <f>+VLOOKUP($P$7,data!$C$666:$D$675,2,0)</f>
        <v>#N/A</v>
      </c>
      <c r="C52" s="475" t="e">
        <f>IF(B52=data!$D$64,texty!$A$239,+VLOOKUP(B52,cennik!$A$3:$G$907,2,FALSE))</f>
        <v>#N/A</v>
      </c>
      <c r="D52" s="27"/>
      <c r="E52" s="86" t="e">
        <f>IF(B52=data!$D$73,0,+VLOOKUP(B52,cennik!$A$3:$G$907,3,FALSE))</f>
        <v>#N/A</v>
      </c>
      <c r="F52" s="86" t="e">
        <f>+E52*D52</f>
        <v>#N/A</v>
      </c>
      <c r="G52" s="98" t="e">
        <f t="shared" si="3"/>
        <v>#N/A</v>
      </c>
      <c r="H52" s="5" t="str">
        <f>cennik!$B$2</f>
        <v>zł</v>
      </c>
      <c r="I52" s="363" t="str">
        <f>IFERROR(IF((VLOOKUP(B52,cennik!A:L,12,0))="O",texty!$A$250,""),"")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texty!$A$123</f>
        <v>kątownik K2 19x18mm - 2,35m</v>
      </c>
      <c r="B53" s="15" t="e">
        <f>+VLOOKUP($P$7,data!$C$676:$D$685,2,0)</f>
        <v>#N/A</v>
      </c>
      <c r="C53" s="475" t="e">
        <f>IF(B53=data!$D$64,texty!$A$239,+VLOOKUP(B53,cennik!$A$3:$G$907,2,FALSE))</f>
        <v>#N/A</v>
      </c>
      <c r="D53" s="28"/>
      <c r="E53" s="86" t="e">
        <f>IF(B53=data!$D$73,0,+VLOOKUP(B53,cennik!$A$3:$G$907,3,FALSE))</f>
        <v>#N/A</v>
      </c>
      <c r="F53" s="86" t="e">
        <f t="shared" si="2"/>
        <v>#N/A</v>
      </c>
      <c r="G53" s="98" t="e">
        <f t="shared" si="3"/>
        <v>#N/A</v>
      </c>
      <c r="H53" s="5" t="str">
        <f>cennik!$B$2</f>
        <v>zł</v>
      </c>
      <c r="I53" s="363" t="str">
        <f>IFERROR(IF((VLOOKUP(B53,cennik!A:L,12,0))="O",texty!$A$250,""),"")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texty!$A$124</f>
        <v>kątownik K2 19x18mm - 3,00m</v>
      </c>
      <c r="B54" s="15" t="e">
        <f>+VLOOKUP($P$7,data!$C$686:$D$695,2,0)</f>
        <v>#N/A</v>
      </c>
      <c r="C54" s="475" t="e">
        <f>IF(B54=data!$D$64,texty!$A$239,+VLOOKUP(B54,cennik!$A$3:$G$907,2,FALSE))</f>
        <v>#N/A</v>
      </c>
      <c r="D54" s="28"/>
      <c r="E54" s="86" t="e">
        <f>IF(B54=data!$D$73,0,+VLOOKUP(B54,cennik!$A$3:$G$907,3,FALSE))</f>
        <v>#N/A</v>
      </c>
      <c r="F54" s="86" t="e">
        <f t="shared" si="2"/>
        <v>#N/A</v>
      </c>
      <c r="G54" s="98" t="e">
        <f t="shared" si="3"/>
        <v>#N/A</v>
      </c>
      <c r="H54" s="5" t="str">
        <f>cennik!$B$2</f>
        <v>zł</v>
      </c>
      <c r="I54" s="363" t="str">
        <f>IFERROR(IF((VLOOKUP(B54,cennik!A:L,12,0))="O",texty!$A$250,""),"")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texty!$A$241</f>
        <v>zacisk do dylatacji wypełnienia 16 mm</v>
      </c>
      <c r="B55" s="15">
        <v>308631</v>
      </c>
      <c r="C55" s="475" t="str">
        <f>+VLOOKUP(B55,cennik!$A:$G,2,FALSE)</f>
        <v>SEVROLL klin do płyty laminowanej grubość 2 mm (100 szt.)</v>
      </c>
      <c r="D55" s="27"/>
      <c r="E55" s="193">
        <f>+VLOOKUP(B55,cennik!$A:$G,3,FALSE)</f>
        <v>30.24597</v>
      </c>
      <c r="F55" s="99">
        <f t="shared" si="2"/>
        <v>0</v>
      </c>
      <c r="G55" s="98">
        <f t="shared" si="3"/>
        <v>0</v>
      </c>
      <c r="H55" s="5" t="str">
        <f>cennik!$B$2</f>
        <v>zł</v>
      </c>
      <c r="I55" s="363" t="str">
        <f>IFERROR(IF((VLOOKUP(B55,cennik!A:L,12,0))="O",texty!$A$250,""),"")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texty!$A$240</f>
        <v>zamek do drzwi przesuwnych</v>
      </c>
      <c r="B56" s="15">
        <v>216363</v>
      </c>
      <c r="C56" s="475" t="str">
        <f>+VLOOKUP(B56,cennik!$A:$G,2,FALSE)</f>
        <v>SEVROLL zamek do drzwi przesuwnych 10/18mm</v>
      </c>
      <c r="D56" s="27"/>
      <c r="E56" s="193">
        <f>+VLOOKUP(B56,cennik!$A:$G,3,FALSE)</f>
        <v>66.840599999999995</v>
      </c>
      <c r="F56" s="99">
        <f t="shared" si="2"/>
        <v>0</v>
      </c>
      <c r="G56" s="98">
        <f t="shared" si="3"/>
        <v>0</v>
      </c>
      <c r="H56" s="5" t="str">
        <f>cennik!$B$2</f>
        <v>zł</v>
      </c>
      <c r="I56" s="363" t="str">
        <f>IFERROR(IF((VLOOKUP(B56,cennik!A:L,12,0))="O",texty!$A$250,""),"")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texty!$A$112</f>
        <v>szczotka przeciwkurzowa samoprzylepna</v>
      </c>
      <c r="B57" s="15">
        <v>308639</v>
      </c>
      <c r="C57" s="23" t="str">
        <f>+VLOOKUP(B57,cennik!$A:$G,2,FALSE)</f>
        <v>SEVROLL szczotka przeciwkurzowa z klejem 6,7x13mm szara</v>
      </c>
      <c r="D57" s="27"/>
      <c r="E57" s="193">
        <f>+VLOOKUP(B57,cennik!$A:$G,3,FALSE)</f>
        <v>1.2647999999999999</v>
      </c>
      <c r="F57" s="99">
        <f t="shared" si="2"/>
        <v>0</v>
      </c>
      <c r="G57" s="98">
        <f t="shared" si="3"/>
        <v>0</v>
      </c>
      <c r="H57" s="5" t="str">
        <f>cennik!$B$2</f>
        <v>zł</v>
      </c>
      <c r="I57" s="363" t="str">
        <f>IFERROR(IF((VLOOKUP(B57,cennik!A:L,12,0))="O",texty!$A$250,""),"")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87"/>
      <c r="H58" s="5"/>
      <c r="I58" s="166"/>
      <c r="K58" s="174"/>
      <c r="L58" s="5"/>
    </row>
    <row r="59" spans="1:14" ht="15" x14ac:dyDescent="0.25">
      <c r="A59" s="209" t="str">
        <f>texty!$A$190</f>
        <v xml:space="preserve">tutaj można znaleźć inne akcesoria </v>
      </c>
      <c r="B59" s="210"/>
      <c r="C59" s="210"/>
      <c r="D59" s="210"/>
      <c r="E59" s="210"/>
      <c r="F59" s="210"/>
      <c r="G59" s="210"/>
      <c r="H59" s="210"/>
      <c r="I59" s="210"/>
      <c r="K59" s="126"/>
      <c r="L59" s="5"/>
    </row>
    <row r="60" spans="1:14" ht="12.75" customHeight="1" x14ac:dyDescent="0.25">
      <c r="A60" s="209" t="str">
        <f>texty!$A$244</f>
        <v>rysunek techniczny tego systemu</v>
      </c>
      <c r="D60" s="73" t="str">
        <f>+Faworyt!D61</f>
        <v>w sumie (bez VAT)</v>
      </c>
      <c r="E60" s="94"/>
      <c r="F60" s="105" t="e">
        <f>SUM(F25:F57)</f>
        <v>#N/A</v>
      </c>
      <c r="G60" s="105" t="e">
        <f>SUM(G25:G57)</f>
        <v>#N/A</v>
      </c>
      <c r="H60" s="5" t="str">
        <f>cennik!$B$2</f>
        <v>zł</v>
      </c>
      <c r="I60" s="166"/>
      <c r="K60" s="166"/>
    </row>
    <row r="61" spans="1:14" ht="12.75" customHeight="1" x14ac:dyDescent="0.25">
      <c r="A61" s="70" t="str">
        <f>System10!$A$67</f>
        <v>Uwagi</v>
      </c>
      <c r="B61" s="712"/>
      <c r="C61" s="713"/>
      <c r="D61" s="713"/>
      <c r="E61" s="713"/>
      <c r="F61" s="713"/>
      <c r="G61" s="714"/>
      <c r="H61" s="5"/>
      <c r="L61" s="4" t="str">
        <f>texty!$A$128</f>
        <v>srebrny</v>
      </c>
      <c r="M61" s="19" t="s">
        <v>968</v>
      </c>
    </row>
    <row r="62" spans="1:14" ht="12.75" customHeight="1" x14ac:dyDescent="0.25">
      <c r="A62" s="711" t="str">
        <f>profil!$U$15</f>
        <v/>
      </c>
      <c r="B62" s="697"/>
      <c r="C62" s="697"/>
      <c r="D62" s="697"/>
      <c r="E62" s="697"/>
      <c r="F62" s="697"/>
      <c r="G62" s="697"/>
      <c r="H62" s="697"/>
      <c r="L62" s="4" t="str">
        <f>texty!$A$130</f>
        <v>j.brąz</v>
      </c>
      <c r="M62" s="19" t="s">
        <v>42</v>
      </c>
    </row>
    <row r="63" spans="1:14" ht="12.75" customHeight="1" x14ac:dyDescent="0.25">
      <c r="A63" s="698" t="str">
        <f>IF(N63=1,texty!$A$215,IF(K63&gt;0,texty!$A$214,""))</f>
        <v>niektóre elementy nie są produkowane w wybranej długości</v>
      </c>
      <c r="B63" s="698"/>
      <c r="C63" s="698"/>
      <c r="D63" s="698"/>
      <c r="E63" s="698"/>
      <c r="F63" s="698"/>
      <c r="G63" s="698"/>
      <c r="H63" s="698"/>
      <c r="K63" s="5" t="e">
        <f>SUM(K25:K57)</f>
        <v>#N/A</v>
      </c>
      <c r="N63" s="4">
        <f>IF(ISERROR(K63),1,0)</f>
        <v>1</v>
      </c>
    </row>
  </sheetData>
  <sheetProtection algorithmName="SHA-512" hashValue="o72kKN8GH4qEDULHt9uv6man6nEnhzFZtuSnVCnfsw2zvOCnzNDjRSKAwIHJ8yZp8Wvo0tE2w+ILyBl9ecAVAQ==" saltValue="rTwY1UejZ9L7wfUk0kHKbQ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A13">
    <cfRule type="expression" dxfId="94" priority="3">
      <formula>SUM($D$39:$D$40)&gt;0</formula>
    </cfRule>
  </conditionalFormatting>
  <conditionalFormatting sqref="D6">
    <cfRule type="expression" dxfId="92" priority="7">
      <formula>$D$4=4</formula>
    </cfRule>
    <cfRule type="expression" dxfId="91" priority="8">
      <formula>$D$4&lt;&gt;4</formula>
    </cfRule>
  </conditionalFormatting>
  <conditionalFormatting sqref="G4:I6">
    <cfRule type="expression" dxfId="90" priority="6">
      <formula>$D$4=4</formula>
    </cfRule>
  </conditionalFormatting>
  <conditionalFormatting sqref="I16:I17">
    <cfRule type="expression" dxfId="89" priority="4">
      <formula>$F$4=$M$62</formula>
    </cfRule>
  </conditionalFormatting>
  <conditionalFormatting sqref="I18:I19">
    <cfRule type="expression" dxfId="88" priority="5">
      <formula>$F$4=$M$61</formula>
    </cfRule>
  </conditionalFormatting>
  <dataValidations count="7">
    <dataValidation type="list" allowBlank="1" showInputMessage="1" showErrorMessage="1" sqref="E5 F5" xr:uid="{00000000-0002-0000-1800-000000000000}">
      <formula1>"stříbrná,zlatá,oliva"</formula1>
      <formula2>0</formula2>
    </dataValidation>
    <dataValidation type="whole" allowBlank="1" showInputMessage="1" showErrorMessage="1" errorTitle="Nelze" error="Max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68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-9.8000000000000007</v>
      </c>
    </row>
    <row r="2" spans="1:16" ht="18.75" customHeight="1" x14ac:dyDescent="0.25">
      <c r="A2" s="405" t="s">
        <v>585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 2 742 mm /")</f>
        <v>wysokość / max. 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27" customHeight="1" x14ac:dyDescent="0.25">
      <c r="A4" s="9" t="str">
        <f>texty!A70</f>
        <v>WEWNĘTRZNY ROZMIAR SZAFY:</v>
      </c>
      <c r="B4" s="52"/>
      <c r="C4" s="52"/>
      <c r="D4" s="20"/>
      <c r="E4" s="194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skrzydło drzwi:</v>
      </c>
      <c r="B7" s="53" t="str">
        <f>IF(B4&gt;0,B4-42,"")</f>
        <v/>
      </c>
      <c r="C7" s="55" t="str">
        <f>IFERROR((((C4-3+36*(D4-1))/D4+IF(AND(D4=4,D6=2),M1,0))),"")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3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rozmiar lustra / na DTD 12mm/</v>
      </c>
      <c r="B10" s="53" t="str">
        <f>IFERROR((B8-4),"")</f>
        <v/>
      </c>
      <c r="C10" s="386" t="str">
        <f>IFERROR((C9-20),"")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długość rączki (+ 2 mm 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Maksymalny wymiar skrzydła w lustrze 2400x700mm</v>
      </c>
      <c r="C12" s="387"/>
      <c r="D12" s="7"/>
      <c r="E12" s="7"/>
      <c r="G12" s="5"/>
      <c r="L12" s="5"/>
    </row>
    <row r="13" spans="1:16" ht="19.95" customHeight="1" x14ac:dyDescent="0.25">
      <c r="A13" s="683" t="str">
        <f>IF(SUM(D39:D40)&gt;0,texty!A246,"")</f>
        <v/>
      </c>
      <c r="B13" s="683"/>
      <c r="C13" s="716" t="str">
        <f>texty!A78</f>
        <v>dodatkowe zmniejszenie wysokośći wyliczonych wypełnień przy wykorzystaniu profili dzielących:</v>
      </c>
      <c r="D13" s="7"/>
      <c r="E13" s="7"/>
      <c r="F13" s="7"/>
      <c r="G13" s="5"/>
      <c r="H13" s="5"/>
      <c r="L13" s="31"/>
    </row>
    <row r="14" spans="1:16" ht="37.5" customHeight="1" x14ac:dyDescent="0.25">
      <c r="A14" s="683"/>
      <c r="B14" s="683"/>
      <c r="C14" s="716"/>
      <c r="D14" s="7"/>
      <c r="E14" s="7"/>
      <c r="F14" s="7"/>
      <c r="G14" s="5"/>
      <c r="H14" s="5"/>
      <c r="L14" s="31"/>
    </row>
    <row r="15" spans="1:16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partnerska zniżka:</v>
      </c>
      <c r="H22" s="5"/>
      <c r="L22" s="5"/>
    </row>
    <row r="23" spans="1:12" ht="12.75" customHeight="1" x14ac:dyDescent="0.25">
      <c r="A23" s="123" t="str">
        <f>texty!A80</f>
        <v>Kody zamówieniowe,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kod</v>
      </c>
      <c r="C24" s="76" t="str">
        <f>+Faworyt!C25</f>
        <v>nazwa</v>
      </c>
      <c r="D24" s="76" t="str">
        <f>+Faworyt!D25</f>
        <v>szt.</v>
      </c>
      <c r="E24" s="76" t="str">
        <f>+Faworyt!E25</f>
        <v>cena/szt.</v>
      </c>
      <c r="F24" s="16" t="str">
        <f>+Faworyt!F25</f>
        <v>cena w sumie</v>
      </c>
      <c r="G24" s="16" t="str">
        <f>+Faworyt!G25</f>
        <v>w sumie netto:</v>
      </c>
      <c r="H24" s="16"/>
      <c r="I24" s="16" t="str">
        <f>texty!A29</f>
        <v>Uwagi:</v>
      </c>
      <c r="J24" s="16"/>
      <c r="L24" s="16"/>
    </row>
    <row r="25" spans="1:12" ht="12.75" customHeight="1" x14ac:dyDescent="0.25">
      <c r="A25" s="6" t="str">
        <f>+Faworyt!A26</f>
        <v>tor górny:</v>
      </c>
      <c r="B25" s="7" t="e">
        <f>+VLOOKUP(M6,data!C211:D255,2,0)</f>
        <v>#N/A</v>
      </c>
      <c r="C25" s="23" t="e">
        <f>+VLOOKUP(B25,cennik!A3:G984,2,FALSE)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Tor dolny</v>
      </c>
      <c r="B26" s="14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profil maskujący (maskownica):</v>
      </c>
      <c r="B27" s="14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górne wózki</v>
      </c>
      <c r="B28" s="14">
        <v>228023</v>
      </c>
      <c r="C28" s="475" t="str">
        <f>+VLOOKUP(B28,cennik!A:G,2,FALSE)</f>
        <v>SEVROLL Focus wózek górny 18mm 2szt</v>
      </c>
      <c r="D28" s="15">
        <f>IF((D41+D42)&gt;D4,0,D4-(D41+D42))</f>
        <v>0</v>
      </c>
      <c r="E28" s="193">
        <f>+VLOOKUP(B28,cennik!A:G,3,FALSE)</f>
        <v>13.907170000000001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dolne wózki</v>
      </c>
      <c r="B29" s="14">
        <f>IF(F4=M64,362316,229440)</f>
        <v>229440</v>
      </c>
      <c r="C29" s="23" t="str">
        <f>+VLOOKUP(B29,cennik!A:G,2,FALSE)</f>
        <v>SEVROLL wózek dolny WD 18C HI-TEC - 2szt</v>
      </c>
      <c r="D29" s="15">
        <f>+D4</f>
        <v>0</v>
      </c>
      <c r="E29" s="193">
        <f>+VLOOKUP(B29,cennik!A:G,3,FALSE)</f>
        <v>17.546399999999998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szczotka odbojowa</v>
      </c>
      <c r="B30" s="14">
        <v>229433</v>
      </c>
      <c r="C30" s="475" t="str">
        <f>+VLOOKUP(B30,cennik!A:G,2,FALSE)</f>
        <v>SEVROLL szczotka odbojowa bez kleju 4,8x4mm</v>
      </c>
      <c r="D30" s="15">
        <f>CEILING((B4*D4*2/1000),1)</f>
        <v>0</v>
      </c>
      <c r="E30" s="193">
        <f>+VLOOKUP(B30,cennik!A:G,3,FALSE)</f>
        <v>0.35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rączka</v>
      </c>
      <c r="B31" s="14" t="e">
        <f>+VLOOKUP(P7,data!C696:D700,2,0)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4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+System10!A41</f>
        <v>Akcesoria:</v>
      </c>
      <c r="B33" s="14"/>
      <c r="C33" s="23"/>
      <c r="D33" s="371" t="str">
        <f>+Faworyt!D34</f>
        <v>podaj ilość</v>
      </c>
      <c r="E33" s="86"/>
      <c r="F33" s="86"/>
      <c r="G33" s="87"/>
      <c r="H33" s="5"/>
      <c r="I33" s="363" t="str">
        <f>IFERROR(IF((VLOOKUP(B33,cennik!A:L,12,0))="O",texty!A250,""),"")</f>
        <v/>
      </c>
      <c r="L33" s="5"/>
    </row>
    <row r="34" spans="1:12" ht="12.75" customHeight="1" x14ac:dyDescent="0.25">
      <c r="A34" s="6" t="str">
        <f>texty!A88</f>
        <v>pozycjoner wózka górnego</v>
      </c>
      <c r="B34" s="170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+F34*(100-G23)/100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>pozycjoner</v>
      </c>
      <c r="B35" s="14">
        <f>IF(F4="Gemini",387424,89063)</f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 Tłumienie MINI do 25 kg (para)</v>
      </c>
      <c r="B36" s="14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+F36*(100-G23)/100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 Tłumienie MINI do 40 kg (para)</v>
      </c>
      <c r="B37" s="22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+F37*(100-G23)/100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 Tłumienie MINI do 60 kg (para)</v>
      </c>
      <c r="B38" s="22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+F38*(100-G23)/100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 xml:space="preserve"> Tłumienie do skrzydła środkowego do 25 kg </v>
      </c>
      <c r="B39" s="22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+F39*(100-G23)/100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 xml:space="preserve"> Tłumienie do skrzydła środkowego do 40 kg </v>
      </c>
      <c r="B40" s="22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+F40*(100-G23)/100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tłumienie (para)25 kg</v>
      </c>
      <c r="B41" s="22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tłumienie (para) 50 kg</v>
      </c>
      <c r="B42" s="22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Klamra szczotki odbojowej</v>
      </c>
      <c r="B43" s="14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+F43*(100-G23)/100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profil łączący H18-3metry</v>
      </c>
      <c r="B44" s="14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Teownik -3metry</v>
      </c>
      <c r="B45" s="14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Teownik decor -3metry</v>
      </c>
      <c r="B46" s="14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na DTD 18mm- 3 metry /gładki/</v>
      </c>
      <c r="B47" s="5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na DTD 18mm- 3 metry</v>
      </c>
      <c r="B48" s="14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3" ht="12.75" customHeight="1" x14ac:dyDescent="0.25">
      <c r="A49" s="134" t="str">
        <f>texty!A119</f>
        <v>kątownik mini 11x17mm - 1,7m</v>
      </c>
      <c r="B49" s="5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3" ht="12.75" customHeight="1" x14ac:dyDescent="0.25">
      <c r="A50" s="134" t="str">
        <f>texty!A120</f>
        <v>kątownik mini 11x17mm - 2,35m</v>
      </c>
      <c r="B50" s="5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3" ht="12.75" customHeight="1" x14ac:dyDescent="0.25">
      <c r="A51" s="134" t="str">
        <f>texty!A121</f>
        <v>kątownik mini 11x17mm - 3,00m</v>
      </c>
      <c r="B51" s="13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3" ht="12.75" customHeight="1" x14ac:dyDescent="0.25">
      <c r="A52" s="134" t="str">
        <f>texty!A122</f>
        <v>kątownik K2 19x18mm - 1,7m</v>
      </c>
      <c r="B52" s="22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</row>
    <row r="53" spans="1:13" ht="12.75" customHeight="1" x14ac:dyDescent="0.25">
      <c r="A53" s="134" t="str">
        <f>texty!A123</f>
        <v>kątownik K2 19x18mm - 2,35m</v>
      </c>
      <c r="B53" s="14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3" ht="12.75" customHeight="1" x14ac:dyDescent="0.25">
      <c r="A54" s="134" t="str">
        <f>texty!A124</f>
        <v>kątownik K2 19x18mm - 3,00m</v>
      </c>
      <c r="B54" s="14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3" ht="12.75" customHeight="1" x14ac:dyDescent="0.25">
      <c r="A55" s="134" t="str">
        <f>texty!A241</f>
        <v>zacisk do dylatacji wypełnienia 16 mm</v>
      </c>
      <c r="B55" s="14">
        <v>308631</v>
      </c>
      <c r="C55" s="475" t="str">
        <f>+VLOOKUP(B55,cennik!A:G,2,FALSE)</f>
        <v>SEVROLL klin do płyty laminowanej grubość 2 mm (100 szt.)</v>
      </c>
      <c r="D55" s="27"/>
      <c r="E55" s="193">
        <f>+VLOOKUP(B55,cennik!A:G,3,FALSE)</f>
        <v>30.24597</v>
      </c>
      <c r="F55" s="99">
        <f t="shared" si="1"/>
        <v>0</v>
      </c>
      <c r="G55" s="98">
        <f>+F55*(100-G23)/100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 t="str">
        <f>texty!A240</f>
        <v>zamek do drzwi przesuwnych</v>
      </c>
      <c r="B56" s="22">
        <v>216363</v>
      </c>
      <c r="C56" s="475" t="str">
        <f>+VLOOKUP(B56,cennik!A:G,2,FALSE)</f>
        <v>SEVROLL zamek do drzwi przesuwnych 10/18mm</v>
      </c>
      <c r="D56" s="27"/>
      <c r="E56" s="193">
        <f>+VLOOKUP(B56,cennik!A:G,3,FALSE)</f>
        <v>66.840599999999995</v>
      </c>
      <c r="F56" s="99">
        <f t="shared" si="1"/>
        <v>0</v>
      </c>
      <c r="G56" s="98">
        <f>+F56*(100-G23)/100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3" ht="12.75" customHeight="1" x14ac:dyDescent="0.25">
      <c r="A57" s="6" t="str">
        <f>texty!A112</f>
        <v>szczotka przeciwkurzowa samoprzylepna</v>
      </c>
      <c r="B57" s="22">
        <v>308639</v>
      </c>
      <c r="C57" s="23" t="str">
        <f>+VLOOKUP(B57,cennik!A:G,2,FALSE)</f>
        <v>SEVROLL szczotka przeciwkurzowa z klejem 6,7x13mm szara</v>
      </c>
      <c r="D57" s="27"/>
      <c r="E57" s="193">
        <f>+VLOOKUP(B57,cennik!A:G,3,FALSE)</f>
        <v>1.2647999999999999</v>
      </c>
      <c r="F57" s="99">
        <f t="shared" si="1"/>
        <v>0</v>
      </c>
      <c r="G57" s="98">
        <f>+F57*(100-G23)/100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4"/>
      <c r="L57" s="5"/>
    </row>
    <row r="58" spans="1:13" ht="12.75" hidden="1" customHeight="1" x14ac:dyDescent="0.25">
      <c r="A58" s="6"/>
      <c r="B58" s="22"/>
      <c r="C58" s="23"/>
      <c r="D58" s="87"/>
      <c r="E58" s="86"/>
      <c r="F58" s="91"/>
      <c r="G58" s="98"/>
      <c r="H58" s="5"/>
      <c r="I58" s="166"/>
      <c r="J58" s="174" t="str">
        <f>IF(D58&gt;0,IF(VLOOKUP(B58,cennik!A:L,12,FALSE)="O",1,""),"")</f>
        <v/>
      </c>
      <c r="K58" s="4"/>
      <c r="L58" s="5"/>
    </row>
    <row r="59" spans="1:13" ht="12.75" hidden="1" customHeight="1" x14ac:dyDescent="0.25">
      <c r="A59" s="6"/>
      <c r="B59" s="22"/>
      <c r="C59" s="23"/>
      <c r="D59" s="87"/>
      <c r="E59" s="86"/>
      <c r="F59" s="91"/>
      <c r="G59" s="87"/>
      <c r="H59" s="5"/>
      <c r="I59" s="166"/>
      <c r="J59" s="174" t="str">
        <f>IF(D59&gt;0,IF(VLOOKUP(B59,cennik!A:L,12,FALSE)="O",1,""),"")</f>
        <v/>
      </c>
      <c r="K59" s="4"/>
      <c r="L59" s="5"/>
    </row>
    <row r="60" spans="1:13" ht="12.75" customHeight="1" x14ac:dyDescent="0.25">
      <c r="A60" s="69"/>
      <c r="C60" s="36"/>
      <c r="D60" s="87"/>
      <c r="E60" s="86"/>
      <c r="F60" s="97"/>
      <c r="G60" s="87"/>
      <c r="H60" s="5"/>
      <c r="I60" s="166"/>
      <c r="K60" s="4"/>
      <c r="L60" s="5"/>
    </row>
    <row r="61" spans="1:13" ht="15" x14ac:dyDescent="0.25">
      <c r="A61" s="209" t="str">
        <f>texty!A190</f>
        <v xml:space="preserve">tutaj można znaleźć inne akcesoria </v>
      </c>
      <c r="B61" s="210"/>
      <c r="C61" s="210"/>
      <c r="D61" s="210"/>
      <c r="E61" s="210"/>
      <c r="F61" s="210"/>
      <c r="G61" s="210"/>
      <c r="H61" s="210"/>
      <c r="I61" s="210"/>
      <c r="K61" s="4"/>
      <c r="L61" s="5"/>
    </row>
    <row r="62" spans="1:13" ht="12.75" customHeight="1" x14ac:dyDescent="0.25">
      <c r="A62" s="209" t="str">
        <f>texty!A244</f>
        <v>rysunek techniczny tego systemu</v>
      </c>
      <c r="B62" s="15"/>
      <c r="C62" s="23"/>
      <c r="D62" s="72" t="str">
        <f>+Faworyt!D61</f>
        <v>w sumie (bez VAT)</v>
      </c>
      <c r="E62" s="92"/>
      <c r="F62" s="96" t="e">
        <f>SUM(F25:F59)</f>
        <v>#N/A</v>
      </c>
      <c r="G62" s="106" t="e">
        <f>SUM(G25:G59)</f>
        <v>#N/A</v>
      </c>
      <c r="H62" s="5" t="str">
        <f>cennik!B2</f>
        <v>zł</v>
      </c>
      <c r="I62" s="166"/>
      <c r="J62" s="166"/>
      <c r="L62" s="5"/>
    </row>
    <row r="63" spans="1:13" ht="12.75" customHeight="1" x14ac:dyDescent="0.25">
      <c r="A63" s="70" t="str">
        <f>System10!A67</f>
        <v>Uwagi</v>
      </c>
      <c r="B63" s="712"/>
      <c r="C63" s="713"/>
      <c r="D63" s="713"/>
      <c r="E63" s="713"/>
      <c r="F63" s="713"/>
      <c r="G63" s="714"/>
      <c r="H63" s="5"/>
      <c r="L63" s="5"/>
    </row>
    <row r="64" spans="1:13" ht="12.75" customHeight="1" x14ac:dyDescent="0.25">
      <c r="A64" s="711" t="str">
        <f>profil!U15</f>
        <v/>
      </c>
      <c r="B64" s="697"/>
      <c r="C64" s="697"/>
      <c r="D64" s="697"/>
      <c r="E64" s="697"/>
      <c r="F64" s="697"/>
      <c r="G64" s="697"/>
      <c r="H64" s="697"/>
      <c r="K64" s="5">
        <v>64</v>
      </c>
      <c r="L64" s="4" t="str">
        <f>data!J4</f>
        <v>srebrny</v>
      </c>
      <c r="M64" s="19" t="s">
        <v>968</v>
      </c>
    </row>
    <row r="65" spans="1:14" ht="12.75" customHeight="1" x14ac:dyDescent="0.25">
      <c r="A65" s="698" t="str">
        <f>IF(N65=1,texty!A215,IF(J65&gt;0,texty!A214,""))</f>
        <v>niektóre elementy nie są produkowane w wybranej długości</v>
      </c>
      <c r="B65" s="698"/>
      <c r="C65" s="698"/>
      <c r="D65" s="698"/>
      <c r="E65" s="698"/>
      <c r="F65" s="698"/>
      <c r="G65" s="698"/>
      <c r="H65" s="698"/>
      <c r="J65" s="5" t="e">
        <f>SUM(J25:J57)</f>
        <v>#N/A</v>
      </c>
      <c r="L65" s="4" t="str">
        <f>data!J6</f>
        <v>j.brąz</v>
      </c>
      <c r="M65" s="19" t="s">
        <v>42</v>
      </c>
      <c r="N65" s="4">
        <f>IF(ISERROR(J65),1,0)</f>
        <v>1</v>
      </c>
    </row>
    <row r="66" spans="1:14" ht="12.75" hidden="1" customHeight="1" x14ac:dyDescent="0.25">
      <c r="L66" s="4" t="str">
        <f>data!J7</f>
        <v>j.brąz szczotkowany</v>
      </c>
    </row>
    <row r="67" spans="1:14" ht="12.75" hidden="1" customHeight="1" x14ac:dyDescent="0.25">
      <c r="L67" s="4" t="str">
        <f>data!J8</f>
        <v>szczot.oliwa ciemna</v>
      </c>
    </row>
    <row r="68" spans="1:14" ht="12.75" hidden="1" customHeight="1" x14ac:dyDescent="0.25">
      <c r="L68" s="4" t="str">
        <f>data!J9</f>
        <v>szczot.czarna</v>
      </c>
    </row>
  </sheetData>
  <sheetProtection algorithmName="SHA-512" hashValue="AuvEBTguvpnBulGmfRbKZ+ZzFUByrF5JTAtWsFNPS/+hHyeWY/7x3E8Eznwj8wIpqT5ypL+exCC/dY85k25m7Q==" saltValue="RTFHWdUxEJdwJDLZVaA9R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A13">
    <cfRule type="expression" dxfId="87" priority="3">
      <formula>SUM($D$39:$D$40)&gt;0</formula>
    </cfRule>
  </conditionalFormatting>
  <conditionalFormatting sqref="D6">
    <cfRule type="expression" dxfId="85" priority="7">
      <formula>$D$4=4</formula>
    </cfRule>
    <cfRule type="expression" dxfId="84" priority="8">
      <formula>$D$4&lt;&gt;4</formula>
    </cfRule>
  </conditionalFormatting>
  <conditionalFormatting sqref="G4">
    <cfRule type="expression" dxfId="83" priority="6">
      <formula>$D$4=4</formula>
    </cfRule>
  </conditionalFormatting>
  <conditionalFormatting sqref="I16:I17">
    <cfRule type="expression" dxfId="82" priority="4">
      <formula>$F$4=$M$65</formula>
    </cfRule>
  </conditionalFormatting>
  <conditionalFormatting sqref="I18:I19">
    <cfRule type="expression" dxfId="81" priority="5">
      <formula>$F$4=$M$64</formula>
    </cfRule>
  </conditionalFormatting>
  <dataValidations count="7">
    <dataValidation type="list" allowBlank="1" showInputMessage="1" showErrorMessage="1" sqref="E5 F5" xr:uid="{00000000-0002-0000-19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IF(OR(E4=L64,E4=L65),M64:M65,M64)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AH65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88671875" style="4" customWidth="1"/>
    <col min="2" max="2" width="15.6640625" style="4" customWidth="1"/>
    <col min="3" max="3" width="61" style="4" customWidth="1"/>
    <col min="4" max="4" width="19.88671875" style="4" customWidth="1"/>
    <col min="5" max="5" width="14.6640625" style="4" customWidth="1"/>
    <col min="6" max="6" width="16" style="4" customWidth="1"/>
    <col min="7" max="7" width="14.6640625" style="4" customWidth="1"/>
    <col min="8" max="8" width="4.6640625" style="5" customWidth="1"/>
    <col min="9" max="9" width="24.6640625" style="5" customWidth="1"/>
    <col min="10" max="10" width="19.109375" style="5" hidden="1" customWidth="1"/>
    <col min="11" max="11" width="26.44140625" style="4" hidden="1" customWidth="1"/>
    <col min="12" max="12" width="11.6640625" style="4" hidden="1" customWidth="1"/>
    <col min="13" max="13" width="26.44140625" style="4" hidden="1" customWidth="1"/>
    <col min="14" max="14" width="7.33203125" style="4" hidden="1" customWidth="1"/>
    <col min="15" max="15" width="9.109375" style="4" hidden="1" customWidth="1"/>
    <col min="16" max="16" width="7" style="4" hidden="1" customWidth="1"/>
    <col min="17" max="17" width="10.44140625" style="4" hidden="1" customWidth="1"/>
    <col min="18" max="18" width="12" style="4" hidden="1" customWidth="1"/>
    <col min="19" max="19" width="11.44140625" style="4" hidden="1" customWidth="1"/>
    <col min="20" max="20" width="5.109375" style="4" hidden="1" customWidth="1"/>
    <col min="21" max="22" width="5.6640625" style="4" hidden="1" customWidth="1"/>
    <col min="23" max="24" width="4.44140625" style="4" hidden="1" customWidth="1"/>
    <col min="25" max="25" width="11.44140625" style="4" hidden="1" customWidth="1"/>
    <col min="26" max="30" width="9.109375" style="4" hidden="1" customWidth="1"/>
    <col min="31" max="31" width="11.44140625" style="4" hidden="1" customWidth="1"/>
    <col min="32" max="32" width="12.33203125" style="4" hidden="1" customWidth="1"/>
    <col min="33" max="33" width="11" style="4" hidden="1" customWidth="1"/>
    <col min="34" max="16384" width="9.109375" style="4" hidden="1"/>
  </cols>
  <sheetData>
    <row r="1" spans="1:34" ht="13.5" customHeight="1" thickBot="1" x14ac:dyDescent="0.3">
      <c r="A1" s="316"/>
      <c r="B1" s="15"/>
      <c r="C1" s="15"/>
      <c r="D1" s="15"/>
      <c r="E1" s="15"/>
      <c r="F1" s="22"/>
      <c r="G1" s="22"/>
      <c r="H1" s="22"/>
      <c r="I1" s="22"/>
      <c r="K1" s="5">
        <v>2</v>
      </c>
      <c r="L1" s="4">
        <v>-7</v>
      </c>
    </row>
    <row r="2" spans="1:34" ht="18.75" customHeight="1" x14ac:dyDescent="0.25">
      <c r="A2" s="405" t="s">
        <v>833</v>
      </c>
      <c r="B2" s="317" t="str">
        <f>profil!T7</f>
        <v>Klient, , NIP:</v>
      </c>
      <c r="C2" s="15"/>
      <c r="D2" s="15"/>
      <c r="E2" s="15"/>
      <c r="F2" s="22"/>
      <c r="G2" s="22"/>
      <c r="H2" s="22"/>
      <c r="I2" s="22"/>
      <c r="K2" s="5">
        <v>3</v>
      </c>
      <c r="AD2" s="464" t="s">
        <v>6714</v>
      </c>
      <c r="AE2" s="464" t="s">
        <v>6708</v>
      </c>
      <c r="AF2" s="464" t="s">
        <v>6709</v>
      </c>
      <c r="AG2" s="464" t="s">
        <v>6715</v>
      </c>
      <c r="AH2" s="464" t="s">
        <v>6716</v>
      </c>
    </row>
    <row r="3" spans="1:34" ht="38.25" customHeight="1" thickBot="1" x14ac:dyDescent="0.3">
      <c r="A3" s="582" t="str">
        <f>CONCATENATE(texty!A243," ",7,".",39)</f>
        <v>Katalog Okuć meblowych 2024 str. 7.39</v>
      </c>
      <c r="B3" s="318" t="str">
        <f>CONCATENATE(texty!A34," / max.         3 040 mm /")</f>
        <v>wysokość / max.         3 040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K3" s="5"/>
      <c r="AD3" s="464" t="s">
        <v>6710</v>
      </c>
      <c r="AE3" s="464" t="s">
        <v>6711</v>
      </c>
      <c r="AF3" s="464" t="s">
        <v>6712</v>
      </c>
      <c r="AG3" s="464" t="s">
        <v>6713</v>
      </c>
      <c r="AH3" s="463" t="s">
        <v>6717</v>
      </c>
    </row>
    <row r="4" spans="1:34" ht="24" customHeight="1" x14ac:dyDescent="0.25">
      <c r="A4" s="321" t="str">
        <f>texty!A70</f>
        <v>WEWNĘTRZNY ROZMIAR SZAFY:</v>
      </c>
      <c r="B4" s="52"/>
      <c r="C4" s="52"/>
      <c r="D4" s="20"/>
      <c r="E4" s="194"/>
      <c r="F4" s="194"/>
      <c r="G4" s="682"/>
      <c r="H4" s="682"/>
      <c r="I4" s="682"/>
      <c r="J4" s="17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  <c r="N4" s="4">
        <v>3000</v>
      </c>
      <c r="AD4" s="464">
        <v>2</v>
      </c>
      <c r="AE4" s="464">
        <v>3</v>
      </c>
      <c r="AF4" s="464">
        <v>4</v>
      </c>
      <c r="AG4" s="464">
        <v>5</v>
      </c>
      <c r="AH4" s="463">
        <v>6</v>
      </c>
    </row>
    <row r="5" spans="1:34" ht="18" customHeight="1" x14ac:dyDescent="0.25">
      <c r="A5" s="321"/>
      <c r="B5" s="681" t="str">
        <f>texty!A45</f>
        <v>wypełnij 5 pól !!!!! informacje w mm</v>
      </c>
      <c r="C5" s="681"/>
      <c r="D5" s="681"/>
      <c r="E5" s="681"/>
      <c r="F5" s="19"/>
      <c r="G5" s="682"/>
      <c r="H5" s="682"/>
      <c r="I5" s="682"/>
      <c r="J5" s="173"/>
      <c r="K5" s="3" t="str">
        <f>CONCATENATE(K4,"-",E4)</f>
        <v>1700-</v>
      </c>
      <c r="M5" s="3" t="str">
        <f>CONCATENATE(M4,"-",E4,", ",F4)</f>
        <v xml:space="preserve">1700-, </v>
      </c>
      <c r="N5" s="4" t="str">
        <f>CONCATENATE(N4,"-",E4)</f>
        <v>3000-</v>
      </c>
      <c r="R5" s="4" t="e">
        <f>#REF!*3</f>
        <v>#REF!</v>
      </c>
      <c r="AD5" s="464">
        <v>3</v>
      </c>
      <c r="AE5" s="464">
        <v>4</v>
      </c>
      <c r="AF5" s="464">
        <v>5</v>
      </c>
      <c r="AG5" s="464">
        <v>6</v>
      </c>
      <c r="AH5" s="463">
        <v>7</v>
      </c>
    </row>
    <row r="6" spans="1:34" ht="18" customHeight="1" x14ac:dyDescent="0.25">
      <c r="A6" s="321"/>
      <c r="B6" s="593" t="str">
        <f>IF(D4=4,texty!A227,"")</f>
        <v/>
      </c>
      <c r="C6" s="19"/>
      <c r="D6" s="338"/>
      <c r="E6" s="15"/>
      <c r="F6" s="19"/>
      <c r="G6" s="682"/>
      <c r="H6" s="682"/>
      <c r="I6" s="682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  <c r="AD6" s="464">
        <v>4</v>
      </c>
      <c r="AE6" s="464">
        <v>5</v>
      </c>
      <c r="AF6" s="464">
        <v>6</v>
      </c>
      <c r="AG6" s="464">
        <v>7</v>
      </c>
      <c r="AH6" s="463">
        <v>8</v>
      </c>
    </row>
    <row r="7" spans="1:34" ht="12.75" customHeight="1" x14ac:dyDescent="0.25">
      <c r="A7" s="322" t="str">
        <f>texty!A71</f>
        <v>skrzydło drzwi:</v>
      </c>
      <c r="B7" s="53" t="str">
        <f>IF(B4&gt;0,B4-40,"")</f>
        <v/>
      </c>
      <c r="C7" s="462" t="str">
        <f>IFERROR((((C4-3+(25*(D4-1)))/D4+IF(AND(D4=4,D6=2),L1,0))),texty!A235)</f>
        <v> Maksymalna szerokość skrzydła może wynosić 1 100 mm !!!!!</v>
      </c>
      <c r="D7" s="15"/>
      <c r="E7" s="15"/>
      <c r="F7" s="19"/>
      <c r="G7" s="330" t="str">
        <f>texty!A42</f>
        <v>U szklanych wypełnień (lub lustra)</v>
      </c>
      <c r="H7" s="22"/>
      <c r="I7" s="22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  <c r="AD7" s="464"/>
      <c r="AE7" s="464">
        <v>6</v>
      </c>
      <c r="AF7" s="464">
        <v>7</v>
      </c>
      <c r="AG7" s="464">
        <v>8</v>
      </c>
      <c r="AH7" s="463">
        <v>9</v>
      </c>
    </row>
    <row r="8" spans="1:34" ht="12.75" customHeight="1" x14ac:dyDescent="0.25">
      <c r="A8" s="322" t="str">
        <f>texty!A73</f>
        <v>rozmiar lustra /szkła</v>
      </c>
      <c r="B8" s="53" t="str">
        <f>IFERROR((B7-4),"")</f>
        <v/>
      </c>
      <c r="C8" s="55" t="str">
        <f>IFERROR((C7-4)," ")</f>
        <v xml:space="preserve"> </v>
      </c>
      <c r="D8" s="15"/>
      <c r="E8" s="15"/>
      <c r="F8" s="19"/>
      <c r="G8" s="330" t="str">
        <f>texty!A40</f>
        <v>należy wybrać bezpieczną szybę</v>
      </c>
      <c r="H8" s="22"/>
      <c r="I8" s="22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C9+5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  <c r="AD8" s="464"/>
      <c r="AE8" s="464">
        <v>7</v>
      </c>
      <c r="AF8" s="464">
        <v>8</v>
      </c>
      <c r="AG8" s="464">
        <v>9</v>
      </c>
      <c r="AH8" s="463">
        <v>10</v>
      </c>
    </row>
    <row r="9" spans="1:34" ht="12.75" customHeight="1" x14ac:dyDescent="0.25">
      <c r="A9" s="322" t="str">
        <f>texty!A74</f>
        <v>długość toru i listwy maskującej skrzydła</v>
      </c>
      <c r="B9" s="53"/>
      <c r="C9" s="56" t="str">
        <f>IFERROR((C7-50)," ")</f>
        <v xml:space="preserve"> </v>
      </c>
      <c r="D9" s="15"/>
      <c r="E9" s="15"/>
      <c r="F9" s="19"/>
      <c r="G9" s="330" t="str">
        <f>texty!A41</f>
        <v>ew. zabezpieczyć ją folią ochronną</v>
      </c>
      <c r="H9" s="22"/>
      <c r="I9" s="22"/>
      <c r="K9" s="33" t="e">
        <f>C9*D4</f>
        <v>#VALUE!</v>
      </c>
      <c r="L9" s="32">
        <f>(D4+1)*5</f>
        <v>5</v>
      </c>
      <c r="P9" s="4">
        <v>2</v>
      </c>
      <c r="Q9" s="147" t="e">
        <f>Q8+C9+5</f>
        <v>#VALUE!</v>
      </c>
      <c r="R9" s="4" t="e">
        <f>(1700-C9)*R15</f>
        <v>#VALUE!</v>
      </c>
      <c r="S9" s="4" t="e">
        <f>(2350-C9)*S15</f>
        <v>#VALUE!</v>
      </c>
      <c r="T9" s="4" t="e">
        <f>(3000-C9)*T15</f>
        <v>#VALUE!</v>
      </c>
      <c r="U9" s="4" t="s">
        <v>547</v>
      </c>
      <c r="AD9" s="5"/>
      <c r="AE9" s="5"/>
      <c r="AF9" s="5"/>
    </row>
    <row r="10" spans="1:34" ht="12.75" customHeight="1" x14ac:dyDescent="0.25">
      <c r="A10" s="322" t="str">
        <f>texty!A75</f>
        <v>Tor górny / dolny</v>
      </c>
      <c r="B10" s="53"/>
      <c r="C10" s="172" t="str">
        <f>TRIM(C4)</f>
        <v/>
      </c>
      <c r="D10" s="15"/>
      <c r="E10" s="15"/>
      <c r="F10" s="19"/>
      <c r="G10" s="331"/>
      <c r="H10" s="22"/>
      <c r="I10" s="22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Q9+C9+5</f>
        <v>#VALUE!</v>
      </c>
      <c r="AD10" s="5" cm="1">
        <f t="array" ref="AD10:AD12">IF(C4&lt;2201,dvě_křídla,IF(AND(C4&gt;2200,C4&lt;3301),tři_křídla,IF(AND(C4&gt;3300,C4&lt;4401),čtyři_křídla,IF(AND(C4&gt;4400,C4&lt;5500),pět_křídel,šest_křídel))))</f>
        <v>2</v>
      </c>
      <c r="AE10" s="5"/>
      <c r="AF10" s="5"/>
    </row>
    <row r="11" spans="1:34" ht="12.75" customHeight="1" x14ac:dyDescent="0.25">
      <c r="A11" s="322" t="str">
        <f>texty!A76</f>
        <v>rączka</v>
      </c>
      <c r="B11" s="380" t="str">
        <f>+B7</f>
        <v/>
      </c>
      <c r="C11" s="381"/>
      <c r="D11" s="15"/>
      <c r="E11" s="15"/>
      <c r="F11" s="19"/>
      <c r="G11" s="21" t="str">
        <f>texty!A43</f>
        <v>Maksymalna waga skrzydła to 50 kg</v>
      </c>
      <c r="H11" s="22"/>
      <c r="I11" s="22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Q10+C9+5</f>
        <v>#VALUE!</v>
      </c>
      <c r="AD11" s="5">
        <v>3</v>
      </c>
      <c r="AE11" s="5"/>
      <c r="AF11" s="5"/>
    </row>
    <row r="12" spans="1:34" ht="12.75" customHeight="1" x14ac:dyDescent="0.25">
      <c r="A12" s="323"/>
      <c r="B12" s="60"/>
      <c r="C12" s="80"/>
      <c r="D12" s="15"/>
      <c r="E12" s="15"/>
      <c r="F12" s="22"/>
      <c r="G12" s="22"/>
      <c r="H12" s="22"/>
      <c r="I12" s="332"/>
      <c r="J12" s="145"/>
      <c r="K12" s="5" t="e">
        <f>C9*(D4-1)+(D4*5)</f>
        <v>#VALUE!</v>
      </c>
      <c r="L12" s="4" t="e">
        <f>IF(K12&lt;1700,1700,IF(K12&lt;2350,2350,IF(K12&lt;3000,3000,3000)))</f>
        <v>#VALUE!</v>
      </c>
      <c r="M12" s="146" t="e">
        <f>L12-K12</f>
        <v>#VALUE!</v>
      </c>
      <c r="N12" s="4" t="e">
        <f>IF((C9*2+10)&gt;3000,IF((C9+10)&gt;2350,3000,IF((C9+10)&gt;1700,2350,1700)),1700)</f>
        <v>#VALUE!</v>
      </c>
      <c r="O12" s="4" t="e">
        <f>IF((N12/(C9+5))&gt;3,3,IF((N12/(C9+5))&gt;2,2,1))</f>
        <v>#VALUE!</v>
      </c>
      <c r="P12" s="4">
        <v>5</v>
      </c>
      <c r="Q12" s="147" t="e">
        <f>Q11+C9+5</f>
        <v>#VALUE!</v>
      </c>
      <c r="AD12" s="5">
        <v>4</v>
      </c>
      <c r="AE12" s="5"/>
      <c r="AF12" s="5"/>
    </row>
    <row r="13" spans="1:34" ht="57.75" customHeight="1" x14ac:dyDescent="0.3">
      <c r="A13" s="683" t="str">
        <f>IF(SUM(D51:D52)&gt;0,texty!A245,"")</f>
        <v/>
      </c>
      <c r="B13" s="683"/>
      <c r="C13" s="584" t="str">
        <f>IFERROR((IF(C7&gt;1100,texty!A235,""))," ")</f>
        <v> Maksymalna szerokość skrzydła może wynosić 1 100 mm !!!!!</v>
      </c>
      <c r="D13" s="15"/>
      <c r="E13" s="15"/>
      <c r="F13" s="22"/>
      <c r="G13" s="22"/>
      <c r="H13" s="22"/>
      <c r="I13" s="22"/>
      <c r="K13" s="31" t="e">
        <f>C9+10</f>
        <v>#VALUE!</v>
      </c>
      <c r="L13" s="4" t="e">
        <f>IF(M12&gt;=0,IF(K13&lt;1700,1700,IF(K13&lt;2350,2350,IF(K13&lt;3000,3000,"jiné"))),IF((K13+C9)&lt;1700,1700,IF((K13+C9)&lt;2350,2350,IF((K13+C9)&lt;3000,3000,"jiné"))))</f>
        <v>#VALUE!</v>
      </c>
      <c r="M13" s="146" t="e">
        <f>L13-K13</f>
        <v>#VALUE!</v>
      </c>
      <c r="P13" s="4">
        <v>6</v>
      </c>
      <c r="Q13" s="147" t="e">
        <f>Q12+C9+5</f>
        <v>#VALUE!</v>
      </c>
      <c r="AD13" s="5"/>
      <c r="AE13" s="5"/>
      <c r="AF13" s="5"/>
    </row>
    <row r="14" spans="1:34" ht="12.75" customHeight="1" x14ac:dyDescent="0.25">
      <c r="A14" s="320"/>
      <c r="B14" s="15"/>
      <c r="C14" s="329"/>
      <c r="D14" s="15"/>
      <c r="E14" s="15"/>
      <c r="F14" s="22"/>
      <c r="G14" s="22"/>
      <c r="H14" s="22"/>
      <c r="I14" s="22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Q13+C9+5</f>
        <v>#VALUE!</v>
      </c>
      <c r="AD14" s="5"/>
      <c r="AE14" s="5"/>
      <c r="AF14" s="5"/>
      <c r="AG14" s="5"/>
    </row>
    <row r="15" spans="1:34" ht="12" customHeight="1" x14ac:dyDescent="0.3">
      <c r="A15" s="324"/>
      <c r="B15" s="15"/>
      <c r="C15" s="329"/>
      <c r="D15" s="15"/>
      <c r="E15" s="15"/>
      <c r="F15" s="22"/>
      <c r="G15" s="22"/>
      <c r="H15" s="22"/>
      <c r="I15" s="22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  <c r="AD15" s="5"/>
      <c r="AE15" s="5"/>
      <c r="AF15" s="5"/>
      <c r="AG15" s="5"/>
    </row>
    <row r="20" spans="1:21" ht="16.5" customHeight="1" x14ac:dyDescent="0.25">
      <c r="A20" s="320"/>
      <c r="B20" s="15"/>
      <c r="C20" s="15"/>
      <c r="D20" s="19"/>
      <c r="E20" s="15"/>
      <c r="F20" s="22"/>
      <c r="G20" s="22"/>
      <c r="H20" s="22"/>
      <c r="I20" s="686" t="s">
        <v>974</v>
      </c>
      <c r="J20" s="31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320"/>
      <c r="B21" s="15"/>
      <c r="C21" s="15"/>
      <c r="D21" s="286"/>
      <c r="E21" s="15"/>
      <c r="F21" s="22"/>
      <c r="G21" s="22"/>
      <c r="H21" s="22"/>
      <c r="I21" s="686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6.5" customHeight="1" x14ac:dyDescent="0.25">
      <c r="A22" s="320"/>
      <c r="B22" s="15"/>
      <c r="C22" s="15"/>
      <c r="D22" s="286"/>
      <c r="E22" s="15"/>
      <c r="F22" s="22"/>
      <c r="G22" s="22"/>
      <c r="H22" s="22"/>
      <c r="I22" s="687" t="s">
        <v>975</v>
      </c>
      <c r="K22" s="5"/>
      <c r="S22" s="150"/>
      <c r="T22" s="150"/>
      <c r="U22" s="150"/>
    </row>
    <row r="23" spans="1:21" ht="12.75" customHeight="1" x14ac:dyDescent="0.25">
      <c r="A23" s="399" t="s">
        <v>1001</v>
      </c>
      <c r="B23" s="15"/>
      <c r="C23" s="15"/>
      <c r="D23" s="15"/>
      <c r="E23" s="15"/>
      <c r="F23" s="22"/>
      <c r="G23" s="22"/>
      <c r="H23" s="22"/>
      <c r="I23" s="687"/>
      <c r="K23" s="3"/>
      <c r="P23" s="4">
        <v>2</v>
      </c>
      <c r="Q23" s="4" t="e">
        <f>S8</f>
        <v>#VALUE!</v>
      </c>
      <c r="R23" s="4" t="e">
        <f>IF(Q23&gt;=D4,IF(R21=1,"",1),"")</f>
        <v>#VALUE!</v>
      </c>
      <c r="S23" s="150"/>
      <c r="T23" s="150" t="e">
        <f>IF(R23=1,1,"")</f>
        <v>#VALUE!</v>
      </c>
      <c r="U23" s="150"/>
    </row>
    <row r="24" spans="1:21" ht="18" customHeight="1" x14ac:dyDescent="0.25">
      <c r="A24" s="320"/>
      <c r="B24" s="15"/>
      <c r="C24" s="15"/>
      <c r="D24" s="15"/>
      <c r="E24" s="15"/>
      <c r="F24" s="22"/>
      <c r="G24" s="22"/>
      <c r="H24" s="22"/>
      <c r="I24" s="22"/>
      <c r="P24" s="4">
        <v>3</v>
      </c>
      <c r="Q24" s="4" t="e">
        <f>T8</f>
        <v>#VALUE!</v>
      </c>
      <c r="R24" s="4" t="e">
        <f>IF(Q24&gt;=D4,IF(Q23&gt;=D4,"",1),"")</f>
        <v>#VALUE!</v>
      </c>
      <c r="U24" s="150" t="e">
        <f>IF(R24=1,1,"")</f>
        <v>#VALUE!</v>
      </c>
    </row>
    <row r="25" spans="1:21" ht="20.25" customHeight="1" x14ac:dyDescent="0.25">
      <c r="A25" s="320"/>
      <c r="B25" s="15"/>
      <c r="C25" s="15"/>
      <c r="D25" s="15"/>
      <c r="E25" s="15"/>
      <c r="F25" s="22"/>
      <c r="G25" s="22"/>
      <c r="H25" s="22"/>
      <c r="I25" s="22"/>
      <c r="K25" s="4" t="str">
        <f>CONCATENATE(M25,"-",O7)</f>
        <v>1700-0</v>
      </c>
      <c r="L25" s="5" t="e">
        <f>SUM(S21:S33)</f>
        <v>#VALUE!</v>
      </c>
      <c r="M25" s="4">
        <v>1700</v>
      </c>
      <c r="O25" s="4" t="s">
        <v>548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320"/>
      <c r="B26" s="15"/>
      <c r="C26" s="19"/>
      <c r="D26" s="15"/>
      <c r="E26" s="15"/>
      <c r="F26" s="15"/>
      <c r="G26" s="333" t="str">
        <f>texty!A21</f>
        <v>partnerska zniżka:</v>
      </c>
      <c r="H26" s="22"/>
      <c r="I26" s="22"/>
      <c r="K26" s="4" t="str">
        <f>CONCATENATE(M26,"-",O7)</f>
        <v>2350-0</v>
      </c>
      <c r="L26" s="5" t="e">
        <f>SUM(T21:T33)</f>
        <v>#VALUE!</v>
      </c>
      <c r="M26" s="4">
        <v>2350</v>
      </c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325" t="str">
        <f>texty!A80</f>
        <v>Kody zamówieniowe, ceny:</v>
      </c>
      <c r="B27" s="15"/>
      <c r="C27" s="19"/>
      <c r="D27" s="15"/>
      <c r="E27" s="15"/>
      <c r="F27" s="15"/>
      <c r="G27" s="583"/>
      <c r="H27" s="335" t="s">
        <v>55</v>
      </c>
      <c r="I27" s="22"/>
      <c r="K27" s="4" t="str">
        <f>CONCATENATE(M27,"-",O7)</f>
        <v>3000-0</v>
      </c>
      <c r="L27" s="5" t="e">
        <f>SUM(U21:U33)</f>
        <v>#VALUE!</v>
      </c>
      <c r="M27" s="4">
        <v>3000</v>
      </c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thickBot="1" x14ac:dyDescent="0.3">
      <c r="A28" s="320"/>
      <c r="B28" s="17" t="str">
        <f>texty!A276</f>
        <v>kod</v>
      </c>
      <c r="C28" s="18" t="str">
        <f>texty!A16</f>
        <v>nazwa</v>
      </c>
      <c r="D28" s="17" t="str">
        <f>texty!A17</f>
        <v>szt.</v>
      </c>
      <c r="E28" s="17" t="str">
        <f>texty!A18</f>
        <v>cena/szt.</v>
      </c>
      <c r="F28" s="17" t="str">
        <f>texty!A19</f>
        <v>cena w sumie</v>
      </c>
      <c r="G28" s="18" t="str">
        <f>texty!A20</f>
        <v>w sumie netto:</v>
      </c>
      <c r="H28" s="22"/>
      <c r="I28" s="18" t="str">
        <f>texty!A29</f>
        <v>Uwagi:</v>
      </c>
      <c r="J28" s="16" t="s">
        <v>759</v>
      </c>
      <c r="K28" s="5"/>
      <c r="L28" s="4">
        <f>COUNT(L25,L26,L27)</f>
        <v>0</v>
      </c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thickBot="1" x14ac:dyDescent="0.3">
      <c r="A29" s="320" t="str">
        <f>texty!A81</f>
        <v>Tor górny:</v>
      </c>
      <c r="B29" s="14" t="e">
        <f>+VLOOKUP(K5,data!C211:D274,2,0)</f>
        <v>#N/A</v>
      </c>
      <c r="C29" s="23" t="e">
        <f>+VLOOKUP(B29,cennik!A:G,2,FALSE)</f>
        <v>#N/A</v>
      </c>
      <c r="D29" s="15" t="e">
        <f>IF(B29="N/A",0,1)</f>
        <v>#N/A</v>
      </c>
      <c r="E29" s="86" t="e">
        <f>+VLOOKUP(B29,cennik!A:G,3,FALSE)</f>
        <v>#N/A</v>
      </c>
      <c r="F29" s="86" t="e">
        <f t="shared" ref="F29:F38" si="0">+E29*D29</f>
        <v>#N/A</v>
      </c>
      <c r="G29" s="87" t="e">
        <f>+F29*(100-G27)/100</f>
        <v>#N/A</v>
      </c>
      <c r="H29" s="22" t="str">
        <f>cennik!B2</f>
        <v>zł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/>
      <c r="L29" s="148"/>
      <c r="M29" s="148"/>
      <c r="N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thickBot="1" x14ac:dyDescent="0.3">
      <c r="A30" s="320" t="str">
        <f>texty!A82</f>
        <v>Tor dolny</v>
      </c>
      <c r="B30" s="14" t="e">
        <f>+VLOOKUP(M5,data!C4:D103,2,0)</f>
        <v>#N/A</v>
      </c>
      <c r="C30" s="23" t="e">
        <f>+VLOOKUP(B30,cennik!A:G,2,FALSE)</f>
        <v>#N/A</v>
      </c>
      <c r="D30" s="15" t="e">
        <f>IF(B30="N/A",0,1)</f>
        <v>#N/A</v>
      </c>
      <c r="E30" s="86" t="e">
        <f>+VLOOKUP(B30,cennik!A:G,3,FALSE)</f>
        <v>#N/A</v>
      </c>
      <c r="F30" s="86" t="e">
        <f t="shared" si="0"/>
        <v>#N/A</v>
      </c>
      <c r="G30" s="87" t="e">
        <f>+F30*(100-G27)/100</f>
        <v>#N/A</v>
      </c>
      <c r="H30" s="22" t="str">
        <f>cennik!B2</f>
        <v>zł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 t="s">
        <v>552</v>
      </c>
      <c r="L30" s="4" t="e">
        <f>IF(L25=0,IF(L26=0,K27,K26),K25)</f>
        <v>#VALUE!</v>
      </c>
      <c r="M30" s="148" t="e">
        <f>IF(L30=K25,L25,IF(L30=K26,L26,IF(L30=K27,L27,"chyba")))</f>
        <v>#VALUE!</v>
      </c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320" t="str">
        <f>texty!A83</f>
        <v>profil maskujący (maskownica):</v>
      </c>
      <c r="B31" s="14" t="e">
        <f>VLOOKUP(M5,data!C115:D199,2,0)</f>
        <v>#N/A</v>
      </c>
      <c r="C31" s="23" t="e">
        <f>IF(B31=data!D64,texty!A239,+VLOOKUP(B31,cennik!A:G,2,FALSE))</f>
        <v>#N/A</v>
      </c>
      <c r="D31" s="15" t="e">
        <f>IF(B31="N/A",0,1)</f>
        <v>#N/A</v>
      </c>
      <c r="E31" s="86" t="e">
        <f>IF(B31=data!D73,0,+VLOOKUP(B31,cennik!A:G,3,FALSE))</f>
        <v>#N/A</v>
      </c>
      <c r="F31" s="86" t="e">
        <f>+E31*D31</f>
        <v>#N/A</v>
      </c>
      <c r="G31" s="87" t="e">
        <f>+F31*(100-G27)/100</f>
        <v>#N/A</v>
      </c>
      <c r="H31" s="22" t="str">
        <f>cennik!B2</f>
        <v>zł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553</v>
      </c>
      <c r="L31" s="4" t="e">
        <f>IF(L30=K27,"jiné",IF(L30=K25,IF(L26&lt;&gt;0,K26,IF(L27&lt;&gt;0,K27,"jiné")),IF(L27&lt;&gt;0,K27,"jiné")))</f>
        <v>#VALUE!</v>
      </c>
      <c r="M31" s="148" t="e">
        <f>IF(L31=K26,L26,IF(L31=K27,L27,IF(L31=K28,L28,0)))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320" t="str">
        <f>texty!A84</f>
        <v>górne wózki</v>
      </c>
      <c r="B32" s="14">
        <v>228009</v>
      </c>
      <c r="C32" s="23" t="str">
        <f>+VLOOKUP(B32,cennik!A:G,2,FALSE)</f>
        <v>SEVROLL wózek górny Gemini symetryczny 10mm - 2szt</v>
      </c>
      <c r="D32" s="15">
        <f>IF((D53+D54)&gt;D4,0,D4-(D53+D54))</f>
        <v>0</v>
      </c>
      <c r="E32" s="86">
        <f>+VLOOKUP(B32,cennik!A:G,3,FALSE)</f>
        <v>23.174399999999999</v>
      </c>
      <c r="F32" s="86">
        <f t="shared" si="0"/>
        <v>0</v>
      </c>
      <c r="G32" s="87">
        <f>+F32*(100-G27)/100</f>
        <v>0</v>
      </c>
      <c r="H32" s="22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320" t="str">
        <f>texty!A85</f>
        <v>dolne wózki</v>
      </c>
      <c r="B33" s="14">
        <f>IF(F4=L60,328321,229441)</f>
        <v>229441</v>
      </c>
      <c r="C33" s="23" t="str">
        <f>+VLOOKUP(B33,cennik!A:G,2,FALSE)</f>
        <v>SEVROLL wózek dolny WD 10C HI-TEC - 2szt</v>
      </c>
      <c r="D33" s="15">
        <f>+D4</f>
        <v>0</v>
      </c>
      <c r="E33" s="86">
        <f>+VLOOKUP(B33,cennik!A:G,3,FALSE)</f>
        <v>26.3874</v>
      </c>
      <c r="F33" s="86">
        <f t="shared" si="0"/>
        <v>0</v>
      </c>
      <c r="G33" s="87">
        <f>+F33*(100-G27)/100</f>
        <v>0</v>
      </c>
      <c r="H33" s="22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L33" s="148"/>
      <c r="M33" s="148"/>
      <c r="N33" s="148"/>
      <c r="O33" s="148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320" t="str">
        <f>texty!A89</f>
        <v>szczotka odbojowa</v>
      </c>
      <c r="B34" s="14" t="e">
        <f>+VLOOKUP(K35,data!C839:D859,2,0)</f>
        <v>#N/A</v>
      </c>
      <c r="C34" s="23" t="e">
        <f>+VLOOKUP(B34,cennik!A:G,2,FALSE)</f>
        <v>#N/A</v>
      </c>
      <c r="D34" s="15">
        <f>CEILING((B4*D4*2/1000),1)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+F34*(100-G27)/100</f>
        <v>#N/A</v>
      </c>
      <c r="H34" s="22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>
        <v>14.5</v>
      </c>
    </row>
    <row r="35" spans="1:21" ht="12.75" customHeight="1" x14ac:dyDescent="0.25">
      <c r="A35" s="320" t="str">
        <f>texty!A91</f>
        <v>rączka</v>
      </c>
      <c r="B35" s="14" t="e">
        <f>IF(B11&gt;2700, VLOOKUP(O7,data!C458:D461,2,0),IF(B11&lt;1501, VLOOKUP(O7,data!C458:D461,2,0),IF(B11&gt;1347, VLOOKUP(O7,data!C454:D457,2,0), VLOOKUP(O7,data!C454:D457,2,0))))</f>
        <v>#N/A</v>
      </c>
      <c r="C35" s="23" t="e">
        <f>+VLOOKUP(B35,cennik!A:G,2,FALSE)</f>
        <v>#N/A</v>
      </c>
      <c r="D35" s="15">
        <f>IF(B11&lt;=1347,D4*2/2,D4*2)</f>
        <v>0</v>
      </c>
      <c r="E35" s="86" t="e">
        <f>+VLOOKUP(B35,cennik!A:G,3,FALSE)</f>
        <v>#N/A</v>
      </c>
      <c r="F35" s="86" t="e">
        <f t="shared" si="0"/>
        <v>#N/A</v>
      </c>
      <c r="G35" s="87" t="e">
        <f>+F35*(100-G27)/100</f>
        <v>#N/A</v>
      </c>
      <c r="H35" s="22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 t="str">
        <f>CONCATENATE(K34,"-",E4)</f>
        <v>14,5-</v>
      </c>
    </row>
    <row r="36" spans="1:21" ht="12.75" customHeight="1" x14ac:dyDescent="0.25">
      <c r="A36" s="320" t="str">
        <f>texty!A92</f>
        <v>śruba łącząca</v>
      </c>
      <c r="B36" s="14">
        <v>89244</v>
      </c>
      <c r="C36" s="23" t="str">
        <f>+VLOOKUP(B36,cennik!A:G,2,FALSE)</f>
        <v>SEVROLL blachowkręt 6,3x32 SEVROLL i Simple</v>
      </c>
      <c r="D36" s="15">
        <f>+D4*4</f>
        <v>0</v>
      </c>
      <c r="E36" s="86">
        <f>+VLOOKUP(B36,cennik!A:G,3,FALSE)</f>
        <v>0.52500000000000002</v>
      </c>
      <c r="F36" s="86">
        <f t="shared" si="0"/>
        <v>0</v>
      </c>
      <c r="G36" s="461">
        <f>+F36*(100-G27)/100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</row>
    <row r="37" spans="1:21" ht="12.75" customHeight="1" x14ac:dyDescent="0.25">
      <c r="A37" s="320" t="str">
        <f>texty!A93</f>
        <v>listwa pozioma górna</v>
      </c>
      <c r="B37" s="14" t="e">
        <f>VLOOKUP(N5,data!C365:D382,2,0)</f>
        <v>#N/A</v>
      </c>
      <c r="C37" s="23" t="e">
        <f>+VLOOKUP(B37,cennik!A:G,2,FALSE)</f>
        <v>#N/A</v>
      </c>
      <c r="D37" s="60" t="e">
        <f>M30+M31</f>
        <v>#VALUE!</v>
      </c>
      <c r="E37" s="86" t="e">
        <f>+VLOOKUP(B37,cennik!A:G,3,FALSE)</f>
        <v>#N/A</v>
      </c>
      <c r="F37" s="86" t="e">
        <f t="shared" si="0"/>
        <v>#N/A</v>
      </c>
      <c r="G37" s="461" t="e">
        <f>+F37*(100-G27)/100</f>
        <v>#N/A</v>
      </c>
      <c r="H37" s="22" t="str">
        <f>cennik!B2</f>
        <v>zł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</row>
    <row r="38" spans="1:21" ht="12.75" customHeight="1" x14ac:dyDescent="0.25">
      <c r="A38" s="320" t="str">
        <f>texty!A95</f>
        <v>poziomy dolny profil ramy</v>
      </c>
      <c r="B38" s="14" t="e">
        <f>VLOOKUP(N5,data!C436:D449,2,0)</f>
        <v>#N/A</v>
      </c>
      <c r="C38" s="23" t="e">
        <f>+VLOOKUP(B38,cennik!A:G,2,FALSE)</f>
        <v>#N/A</v>
      </c>
      <c r="D38" s="60" t="e">
        <f>M30+M31</f>
        <v>#VALUE!</v>
      </c>
      <c r="E38" s="86" t="e">
        <f>+VLOOKUP(B38,cennik!A:G,3,FALSE)</f>
        <v>#N/A</v>
      </c>
      <c r="F38" s="86" t="e">
        <f t="shared" si="0"/>
        <v>#N/A</v>
      </c>
      <c r="G38" s="461" t="e">
        <f>+F38*(100-G27)/100</f>
        <v>#N/A</v>
      </c>
      <c r="H38" s="22" t="str">
        <f>cennik!B2</f>
        <v>zł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</row>
    <row r="39" spans="1:21" ht="12.75" customHeight="1" x14ac:dyDescent="0.25">
      <c r="A39" s="320" t="str">
        <f>texty!A234</f>
        <v> Zaślepka otworu (4 szt. )</v>
      </c>
      <c r="B39" s="22" t="e">
        <f>+VLOOKUP(O7,data!C468:D470,2,0)</f>
        <v>#N/A</v>
      </c>
      <c r="C39" s="23" t="e">
        <f>+VLOOKUP(B39,cennik!A:G,2,FALSE)</f>
        <v>#N/A</v>
      </c>
      <c r="D39" s="15">
        <f>D4</f>
        <v>0</v>
      </c>
      <c r="E39" s="86" t="e">
        <f>+VLOOKUP(B39,cennik!A:G,3,FALSE)</f>
        <v>#N/A</v>
      </c>
      <c r="F39" s="91" t="e">
        <f>+CEILING(D39,1)*E39</f>
        <v>#N/A</v>
      </c>
      <c r="G39" s="461" t="e">
        <f>+F39*(100-G27)/100</f>
        <v>#N/A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</row>
    <row r="40" spans="1:21" ht="12.75" customHeight="1" x14ac:dyDescent="0.25">
      <c r="I40" s="363" t="str">
        <f>IFERROR(IF((VLOOKUP(B40,cennik!A:L,12,0))="O",texty!A250,""),"")</f>
        <v/>
      </c>
    </row>
    <row r="41" spans="1:21" ht="12.75" customHeight="1" x14ac:dyDescent="0.25">
      <c r="A41" s="19"/>
      <c r="B41" s="19"/>
      <c r="C41" s="19"/>
      <c r="D41" s="19"/>
      <c r="E41" s="266"/>
      <c r="F41" s="266"/>
      <c r="G41" s="266"/>
      <c r="H41" s="22"/>
      <c r="I41" s="363" t="str">
        <f>IFERROR(IF((VLOOKUP(B41,cennik!A:L,12,0))="O",texty!A250,""),"")</f>
        <v/>
      </c>
      <c r="J41" s="174"/>
    </row>
    <row r="42" spans="1:21" ht="12.75" customHeight="1" x14ac:dyDescent="0.25">
      <c r="A42" s="325" t="str">
        <f>texty!A66</f>
        <v>Akcesoria:</v>
      </c>
      <c r="B42" s="13"/>
      <c r="D42" s="24" t="str">
        <f>texty!A33</f>
        <v>podaj ilość</v>
      </c>
      <c r="E42" s="86"/>
      <c r="F42" s="86"/>
      <c r="G42" s="266"/>
      <c r="H42" s="22"/>
      <c r="I42" s="363" t="str">
        <f>IFERROR(IF((VLOOKUP(B42,cennik!A:L,12,0))="O",texty!A250,""),"")</f>
        <v/>
      </c>
      <c r="J42" s="174"/>
    </row>
    <row r="43" spans="1:21" ht="12.75" customHeight="1" x14ac:dyDescent="0.25">
      <c r="A43" s="326" t="str">
        <f>texty!A88</f>
        <v>pozycjoner wózka górnego</v>
      </c>
      <c r="B43" s="13">
        <v>298035</v>
      </c>
      <c r="C43" s="23" t="str">
        <f>+VLOOKUP(B43,cennik!A:G,2,FALSE)</f>
        <v>SEVROLL Fix pozycjoner wózka górnego transparentny</v>
      </c>
      <c r="D43" s="27"/>
      <c r="E43" s="265">
        <f>+VLOOKUP(B43,cennik!A:G,3,FALSE)</f>
        <v>3.74519</v>
      </c>
      <c r="F43" s="266">
        <f>+CEILING(D43,1)*E43</f>
        <v>0</v>
      </c>
      <c r="G43" s="87">
        <f>+F43*(100-G27)/100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</row>
    <row r="44" spans="1:21" ht="12.75" customHeight="1" x14ac:dyDescent="0.25">
      <c r="A44" s="326" t="str">
        <f>texty!A86</f>
        <v>pozycjoner</v>
      </c>
      <c r="B44" s="14">
        <f>IF(F4="Gemini",387424,89063)</f>
        <v>89063</v>
      </c>
      <c r="C44" s="23" t="str">
        <f>+VLOOKUP(B44,cennik!A:G,2,FALSE)</f>
        <v>SEVROLL pozycjoner wózka dolnego HI-TEC</v>
      </c>
      <c r="D44" s="27"/>
      <c r="E44" s="265">
        <f>+VLOOKUP(B44,cennik!A:G,3,FALSE)</f>
        <v>1.071</v>
      </c>
      <c r="F44" s="266">
        <f>+CEILING(D44,1)*E44</f>
        <v>0</v>
      </c>
      <c r="G44" s="87">
        <f>+F44*(100-G27)/100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</row>
    <row r="45" spans="1:21" ht="13.2" x14ac:dyDescent="0.25">
      <c r="A45" s="326" t="str">
        <f>texty!A236</f>
        <v>Uchwyt naklejany, biały połysk</v>
      </c>
      <c r="B45" s="15">
        <v>288125</v>
      </c>
      <c r="C45" s="23" t="str">
        <f>+VLOOKUP(B45,cennik!A:G,2,FALSE)</f>
        <v>SEVROLL Pax uchwyt przyklejany biały</v>
      </c>
      <c r="D45" s="27"/>
      <c r="E45" s="265">
        <f>+VLOOKUP(B45,cennik!A:G,3,FALSE)</f>
        <v>31.518000000000001</v>
      </c>
      <c r="F45" s="266">
        <f>+CEILING(D45,1)*E45</f>
        <v>0</v>
      </c>
      <c r="G45" s="87">
        <f>+F45*(100-G27)/100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</row>
    <row r="46" spans="1:21" ht="12.75" customHeight="1" x14ac:dyDescent="0.25">
      <c r="A46" s="326" t="str">
        <f>texty!A237</f>
        <v> Uchwyt naklejany, srebrny</v>
      </c>
      <c r="B46" s="22">
        <v>288126</v>
      </c>
      <c r="C46" s="23" t="str">
        <f>+VLOOKUP(B46,cennik!A:G,2,FALSE)</f>
        <v>SEVROLL Pax uchwyt przyklejany srebrny</v>
      </c>
      <c r="D46" s="27"/>
      <c r="E46" s="86">
        <f>+VLOOKUP(B46,cennik!A:G,3,FALSE)</f>
        <v>24.255600000000001</v>
      </c>
      <c r="F46" s="91">
        <f>+CEILING(D46,1)*E46</f>
        <v>0</v>
      </c>
      <c r="G46" s="87">
        <f>+F46*(100-G27)/100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</row>
    <row r="47" spans="1:21" ht="12.75" customHeight="1" x14ac:dyDescent="0.25">
      <c r="A47" s="320" t="str">
        <f>texty!A233</f>
        <v> Wzmocnienie – profil 3 m</v>
      </c>
      <c r="B47" s="22">
        <v>283904</v>
      </c>
      <c r="C47" s="23" t="str">
        <f>+VLOOKUP(B47,cennik!A:G,2,FALSE)</f>
        <v>SEVROLL Pax listwa montażowa 3m srebrny</v>
      </c>
      <c r="D47" s="27"/>
      <c r="E47" s="86">
        <f>+VLOOKUP(B47,cennik!A:G,3,FALSE)</f>
        <v>101.1024</v>
      </c>
      <c r="F47" s="91">
        <f>+CEILING(D47,1)*E47</f>
        <v>0</v>
      </c>
      <c r="G47" s="87">
        <f>+F47*(100-G27)/100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</row>
    <row r="48" spans="1:21" ht="12.75" customHeight="1" x14ac:dyDescent="0.25">
      <c r="A48" s="320" t="str">
        <f>texty!A228</f>
        <v> Tłumienie MINI do 25 kg (para)</v>
      </c>
      <c r="B48" s="14">
        <v>318662</v>
      </c>
      <c r="C48" s="23" t="str">
        <f>+VLOOKUP(B48,cennik!A:G,2,FALSE)</f>
        <v>SEVROLL tłumienie Mini SV25 (14-25kg)</v>
      </c>
      <c r="D48" s="27"/>
      <c r="E48" s="86">
        <f>+VLOOKUP(B48,cennik!A:G,3,FALSE)</f>
        <v>96.889799999999994</v>
      </c>
      <c r="F48" s="91">
        <f t="shared" ref="F48:F54" si="1">+CEILING(D48,1)*E48</f>
        <v>0</v>
      </c>
      <c r="G48" s="87">
        <f>+F48*(100-G27)/100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</row>
    <row r="49" spans="1:12" ht="12.75" customHeight="1" x14ac:dyDescent="0.25">
      <c r="A49" s="320" t="str">
        <f>texty!A229</f>
        <v> Tłumienie MINI do 40 kg (para)</v>
      </c>
      <c r="B49" s="22">
        <v>283956</v>
      </c>
      <c r="C49" s="23" t="str">
        <f>+VLOOKUP(B49,cennik!A:G,2,FALSE)</f>
        <v>SEVROLL tłumienie Mini SV40 (25 - 40kg)</v>
      </c>
      <c r="D49" s="27"/>
      <c r="E49" s="86">
        <f>+VLOOKUP(B49,cennik!A:G,3,FALSE)</f>
        <v>96.889799999999994</v>
      </c>
      <c r="F49" s="91">
        <f t="shared" si="1"/>
        <v>0</v>
      </c>
      <c r="G49" s="87">
        <f>+F49*(100-G27)/100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2" ht="12.75" customHeight="1" x14ac:dyDescent="0.25">
      <c r="A50" s="320" t="str">
        <f>texty!A230</f>
        <v> Tłumienie MINI do 60 kg (para)</v>
      </c>
      <c r="B50" s="22">
        <v>351743</v>
      </c>
      <c r="C50" s="23" t="str">
        <f>+VLOOKUP(B50,cennik!A:G,2,FALSE)</f>
        <v>SEVROLL tłumienie Mini SV60 (40 - 60kg)</v>
      </c>
      <c r="D50" s="27"/>
      <c r="E50" s="86">
        <f>+VLOOKUP(B50,cennik!A:G,3,FALSE)</f>
        <v>96.889799999999994</v>
      </c>
      <c r="F50" s="91">
        <f t="shared" si="1"/>
        <v>0</v>
      </c>
      <c r="G50" s="87">
        <f>+F50*(100-G27)/100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2" ht="12.75" customHeight="1" x14ac:dyDescent="0.25">
      <c r="A51" s="320" t="str">
        <f>texty!A231</f>
        <v xml:space="preserve"> Tłumienie do skrzydła środkowego do 25 kg </v>
      </c>
      <c r="B51" s="22">
        <v>318663</v>
      </c>
      <c r="C51" s="23" t="str">
        <f>+VLOOKUP(B51,cennik!A:G,2,FALSE)</f>
        <v>SEVROLL tłumienie Central 10/18mm obustronne 25kg</v>
      </c>
      <c r="D51" s="27"/>
      <c r="E51" s="86">
        <f>+VLOOKUP(B51,cennik!A:G,3,FALSE)</f>
        <v>206.958</v>
      </c>
      <c r="F51" s="91">
        <f t="shared" si="1"/>
        <v>0</v>
      </c>
      <c r="G51" s="87">
        <f>+F51*(100-G27)/100</f>
        <v>0</v>
      </c>
      <c r="H51" s="22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2" ht="12.75" customHeight="1" x14ac:dyDescent="0.25">
      <c r="A52" s="320" t="str">
        <f>texty!A232</f>
        <v xml:space="preserve"> Tłumienie do skrzydła środkowego do 40 kg </v>
      </c>
      <c r="B52" s="22">
        <v>283955</v>
      </c>
      <c r="C52" s="23" t="str">
        <f>+VLOOKUP(B52,cennik!A:G,2,FALSE)</f>
        <v>SEVROLL tłumienie Central 10/18mm obustronne 25-40kg</v>
      </c>
      <c r="D52" s="27"/>
      <c r="E52" s="86">
        <f>+VLOOKUP(B52,cennik!A:G,3,FALSE)</f>
        <v>206.958</v>
      </c>
      <c r="F52" s="91">
        <f t="shared" si="1"/>
        <v>0</v>
      </c>
      <c r="G52" s="87">
        <f>+F52*(100-G27)/100</f>
        <v>0</v>
      </c>
      <c r="H52" s="22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2" ht="12.75" customHeight="1" x14ac:dyDescent="0.25">
      <c r="A53" s="320" t="str">
        <f>texty!A97</f>
        <v>tłumienie (para)25 kg</v>
      </c>
      <c r="B53" s="22">
        <v>227185</v>
      </c>
      <c r="C53" s="23" t="str">
        <f>+VLOOKUP(B53,cennik!A:G,2,FALSE)</f>
        <v>K-SEVROLL tłumienie 10/18mm 14-25kg L+P</v>
      </c>
      <c r="D53" s="27"/>
      <c r="E53" s="86">
        <f>+VLOOKUP(B53,cennik!A:G,3,FALSE)</f>
        <v>0</v>
      </c>
      <c r="F53" s="91">
        <f t="shared" si="1"/>
        <v>0</v>
      </c>
      <c r="G53" s="87">
        <f>+F53*(100-G27)/100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2" ht="12.75" customHeight="1" x14ac:dyDescent="0.25">
      <c r="A54" s="320" t="str">
        <f>texty!A98</f>
        <v>tłumienie (para) 50 kg</v>
      </c>
      <c r="B54" s="22">
        <v>227187</v>
      </c>
      <c r="C54" s="23" t="str">
        <f>+VLOOKUP(B54,cennik!A:G,2,FALSE)</f>
        <v>K-SEVROLL tłumienie 10/18mm 25-50kg L+P</v>
      </c>
      <c r="D54" s="27"/>
      <c r="E54" s="86">
        <f>+VLOOKUP(B54,cennik!A:G,3,FALSE)</f>
        <v>0</v>
      </c>
      <c r="F54" s="91">
        <f t="shared" si="1"/>
        <v>0</v>
      </c>
      <c r="G54" s="87">
        <f>+F54*(100-G27)/100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</row>
    <row r="55" spans="1:12" ht="12.75" customHeight="1" x14ac:dyDescent="0.25">
      <c r="A55" s="320" t="str">
        <f>texty!A90</f>
        <v>szczotka przeciwkurzowa</v>
      </c>
      <c r="B55" s="15">
        <v>95946</v>
      </c>
      <c r="C55" s="23" t="str">
        <f>+VLOOKUP(B55,cennik!A:G,2,FALSE)</f>
        <v>SEVROLL szczotka przeciwkurzowa bez kleju 4,8x13 mm, szara</v>
      </c>
      <c r="D55" s="28"/>
      <c r="E55" s="86">
        <f>+VLOOKUP(B55,cennik!A:G,3,FALSE)</f>
        <v>0.80579999999999996</v>
      </c>
      <c r="F55" s="86">
        <f>+E55*D55</f>
        <v>0</v>
      </c>
      <c r="G55" s="87">
        <f>+F55*(100-G27)/100</f>
        <v>0</v>
      </c>
      <c r="H55" s="22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</row>
    <row r="56" spans="1:12" ht="12.75" customHeight="1" x14ac:dyDescent="0.25">
      <c r="A56" s="320" t="str">
        <f>texty!A92</f>
        <v>śruba łącząca</v>
      </c>
      <c r="B56" s="14">
        <v>89244</v>
      </c>
      <c r="C56" s="23" t="str">
        <f>+VLOOKUP(B56,cennik!A:G,2,FALSE)</f>
        <v>SEVROLL blachowkręt 6,3x32 SEVROLL i Simple</v>
      </c>
      <c r="D56" s="354"/>
      <c r="E56" s="86">
        <f>+VLOOKUP(B56,cennik!A:G,3,FALSE)</f>
        <v>0.52500000000000002</v>
      </c>
      <c r="F56" s="86">
        <f>+E56*D56</f>
        <v>0</v>
      </c>
      <c r="G56" s="87">
        <f>+F56*(100-G27)/100</f>
        <v>0</v>
      </c>
      <c r="H56" s="22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</row>
    <row r="57" spans="1:12" ht="12.75" customHeight="1" x14ac:dyDescent="0.25">
      <c r="A57" s="320"/>
      <c r="B57" s="14"/>
      <c r="C57" s="23"/>
      <c r="D57" s="86"/>
      <c r="E57" s="86"/>
      <c r="F57" s="86"/>
      <c r="G57" s="87"/>
      <c r="H57" s="22"/>
      <c r="I57" s="334"/>
      <c r="J57" s="174"/>
    </row>
    <row r="58" spans="1:12" ht="12.75" customHeight="1" x14ac:dyDescent="0.25">
      <c r="A58" s="320"/>
      <c r="B58" s="15"/>
      <c r="C58" s="23"/>
      <c r="D58" s="15"/>
      <c r="E58" s="86"/>
      <c r="F58" s="86"/>
      <c r="G58" s="488"/>
      <c r="H58" s="22"/>
      <c r="I58" s="334"/>
      <c r="J58" s="174"/>
    </row>
    <row r="59" spans="1:12" ht="15" x14ac:dyDescent="0.25">
      <c r="A59" s="328" t="str">
        <f>texty!A190</f>
        <v xml:space="preserve">tutaj można znaleźć inne akcesoria </v>
      </c>
      <c r="B59" s="19"/>
      <c r="C59" s="19"/>
      <c r="D59" s="19"/>
      <c r="E59" s="266"/>
      <c r="F59" s="266"/>
      <c r="G59" s="266"/>
      <c r="H59" s="22"/>
      <c r="I59" s="334"/>
      <c r="J59" s="174"/>
    </row>
    <row r="60" spans="1:12" ht="12.75" customHeight="1" x14ac:dyDescent="0.25">
      <c r="A60" s="328" t="str">
        <f>texty!A244</f>
        <v>rysunek techniczny tego systemu</v>
      </c>
      <c r="B60" s="196">
        <v>128842</v>
      </c>
      <c r="C60" s="153" t="str">
        <f>VLOOKUP(B60,cennik!A:C,2,0)</f>
        <v>SEVROLL wiertło stopniowe 6,5/9,5mm</v>
      </c>
      <c r="D60" s="41"/>
      <c r="E60" s="86">
        <f>+VLOOKUP(B60,cennik!A:G,3,FALSE)</f>
        <v>116.85122</v>
      </c>
      <c r="F60" s="91">
        <f>+CEILING(D60,1)*E60</f>
        <v>0</v>
      </c>
      <c r="G60" s="87">
        <f>F60</f>
        <v>0</v>
      </c>
      <c r="H60" s="5" t="str">
        <f>cennik!B2</f>
        <v>zł</v>
      </c>
      <c r="I60" s="174"/>
      <c r="J60" s="174" t="str">
        <f>IF(D60&gt;0,IF(VLOOKUP(B60,cennik!A:L,12,FALSE)="O",1,""),"")</f>
        <v/>
      </c>
      <c r="K60" s="4" t="str">
        <f>texty!A128</f>
        <v>srebrny</v>
      </c>
      <c r="L60" s="4" t="s">
        <v>968</v>
      </c>
    </row>
    <row r="61" spans="1:12" ht="12.75" customHeight="1" x14ac:dyDescent="0.25">
      <c r="A61" s="685" t="str">
        <f>IF(SUM(D53:D54)&gt;0,IF(C7&lt;(B4/3),texty!A212,""),"")</f>
        <v/>
      </c>
      <c r="B61" s="685"/>
      <c r="C61" s="685"/>
      <c r="D61" s="685"/>
      <c r="E61" s="685"/>
      <c r="F61" s="685"/>
      <c r="G61" s="685"/>
      <c r="H61" s="685"/>
      <c r="I61" s="685"/>
      <c r="J61" s="126"/>
      <c r="K61" s="4" t="str">
        <f>texty!A132</f>
        <v> biały połysk</v>
      </c>
      <c r="L61" s="4" t="s">
        <v>42</v>
      </c>
    </row>
    <row r="62" spans="1:12" ht="12.75" customHeight="1" x14ac:dyDescent="0.25">
      <c r="A62" s="19"/>
      <c r="B62" s="15"/>
      <c r="C62" s="15"/>
      <c r="D62" s="71" t="str">
        <f>texty!A15</f>
        <v>w sumie (bez VAT)</v>
      </c>
      <c r="E62" s="336"/>
      <c r="F62" s="95" t="e">
        <f>SUM(F29:F60)</f>
        <v>#N/A</v>
      </c>
      <c r="G62" s="96" t="e">
        <f>SUM(G29:G60)</f>
        <v>#N/A</v>
      </c>
      <c r="H62" s="22" t="str">
        <f>cennik!B2</f>
        <v>zł</v>
      </c>
      <c r="I62" s="22"/>
      <c r="J62" s="166"/>
      <c r="K62" s="4" t="str">
        <f>data!J17</f>
        <v> czarny mat</v>
      </c>
    </row>
    <row r="63" spans="1:12" ht="12.75" customHeight="1" x14ac:dyDescent="0.25">
      <c r="A63" s="337" t="str">
        <f>texty!A14</f>
        <v>Uwagi</v>
      </c>
      <c r="B63" s="676"/>
      <c r="C63" s="677"/>
      <c r="D63" s="677"/>
      <c r="E63" s="677"/>
      <c r="F63" s="677"/>
      <c r="G63" s="677"/>
      <c r="H63" s="22"/>
      <c r="I63" s="22"/>
      <c r="J63" s="166"/>
    </row>
    <row r="64" spans="1:12" ht="12.75" customHeight="1" x14ac:dyDescent="0.25">
      <c r="A64" s="678" t="str">
        <f>profil!U15</f>
        <v/>
      </c>
      <c r="B64" s="679"/>
      <c r="C64" s="679"/>
      <c r="D64" s="679"/>
      <c r="E64" s="679"/>
      <c r="F64" s="679"/>
      <c r="G64" s="679"/>
      <c r="H64" s="22"/>
      <c r="I64" s="22"/>
    </row>
    <row r="65" spans="1:13" ht="12.75" customHeight="1" x14ac:dyDescent="0.25">
      <c r="A65" s="680" t="str">
        <f>IF(M65=1,texty!A215,IF(J65&gt;0,texty!A214,""))</f>
        <v>niektóre elementy nie są produkowane w wybranej długości</v>
      </c>
      <c r="B65" s="680"/>
      <c r="C65" s="680"/>
      <c r="D65" s="680"/>
      <c r="E65" s="680"/>
      <c r="F65" s="680"/>
      <c r="G65" s="680"/>
      <c r="H65" s="22"/>
      <c r="I65" s="22"/>
      <c r="J65" s="5" t="e">
        <f>SUM(J29:J60)</f>
        <v>#N/A</v>
      </c>
      <c r="M65" s="4">
        <f>IF(ISERROR(J65),1,0)</f>
        <v>1</v>
      </c>
    </row>
  </sheetData>
  <sheetProtection algorithmName="SHA-512" hashValue="8jLwfFd+gGh5iBBaVE+hGxYjjzD+aPBRNHhXJdrqded8LK63y+wWZ5a0PI2BRIsScXBtj+Lj7h6eRfC+4CF8Ew==" saltValue="tsCi1MO9ZWnOdy7dgV8fig==" spinCount="100000" sheet="1" objects="1" scenarios="1"/>
  <dataConsolidate/>
  <mergeCells count="13">
    <mergeCell ref="Q6:Q7"/>
    <mergeCell ref="R6:R7"/>
    <mergeCell ref="S6:S7"/>
    <mergeCell ref="T6:T7"/>
    <mergeCell ref="A61:I61"/>
    <mergeCell ref="I20:I21"/>
    <mergeCell ref="I22:I23"/>
    <mergeCell ref="B63:G63"/>
    <mergeCell ref="A64:G64"/>
    <mergeCell ref="A65:G65"/>
    <mergeCell ref="B5:E5"/>
    <mergeCell ref="G4:I6"/>
    <mergeCell ref="A13:B13"/>
  </mergeCells>
  <conditionalFormatting sqref="A13:B13">
    <cfRule type="expression" dxfId="366" priority="7">
      <formula>SUM($D$51:$D$52)&gt;0</formula>
    </cfRule>
  </conditionalFormatting>
  <conditionalFormatting sqref="D6">
    <cfRule type="expression" dxfId="364" priority="15">
      <formula>$D$4&lt;&gt;4</formula>
    </cfRule>
    <cfRule type="expression" dxfId="363" priority="16">
      <formula>$D$4=4</formula>
    </cfRule>
  </conditionalFormatting>
  <conditionalFormatting sqref="G4">
    <cfRule type="expression" dxfId="362" priority="14">
      <formula>$D$4=4</formula>
    </cfRule>
  </conditionalFormatting>
  <conditionalFormatting sqref="I20:I21">
    <cfRule type="expression" dxfId="361" priority="10">
      <formula>$F$4=$L$61</formula>
    </cfRule>
  </conditionalFormatting>
  <conditionalFormatting sqref="I22:I23">
    <cfRule type="expression" dxfId="360" priority="9">
      <formula>$F$4=$L$60</formula>
    </cfRule>
  </conditionalFormatting>
  <dataValidations count="7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list" allowBlank="1" showInputMessage="1" showErrorMessage="1" sqref="D4" xr:uid="{00000000-0002-0000-0500-000002000000}">
      <formula1>IF(C4&lt;2201,dvě_křídla,IF(AND(C4&gt;2200,C4&lt;3301),tři_křídla,IF(AND(C4&gt;3300,C4&lt;4401),čtyři_křídla,IF(AND(C4&gt;4400,C4&lt;5500),pět_křídel,šest_křídel))))</formula1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 3040 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" xr:uid="{00000000-0002-0000-0500-000005000000}">
      <formula1>"stříbrná,zlatá,oliva"</formula1>
      <formula2>0</formula2>
    </dataValidation>
    <dataValidation type="list" allowBlank="1" showInputMessage="1" showErrorMessage="1" sqref="F4" xr:uid="{00000000-0002-0000-0500-000007000000}">
      <formula1>IF(E4=K60,L60:L61,L60)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71E109-B370-463D-B6B4-B5E6FEC7A645}">
            <xm:f>$I29=texty!$A$250</xm:f>
            <x14:dxf>
              <font>
                <color rgb="FFFF0000"/>
              </font>
            </x14:dxf>
          </x14:cfRule>
          <xm:sqref>A29:I56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35.6640625" style="4" customWidth="1"/>
    <col min="2" max="2" width="15.6640625" style="4" customWidth="1"/>
    <col min="3" max="3" width="53.88671875" style="4" customWidth="1"/>
    <col min="4" max="4" width="14.3320312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15" ht="13.5" customHeight="1" thickBot="1" x14ac:dyDescent="0.3">
      <c r="A1" s="6"/>
      <c r="B1" s="7"/>
      <c r="C1" s="7"/>
      <c r="D1" s="7"/>
      <c r="E1" s="7"/>
      <c r="F1" s="7"/>
      <c r="G1" s="5"/>
      <c r="H1" s="5"/>
      <c r="K1" s="5"/>
      <c r="L1" s="5">
        <v>2</v>
      </c>
      <c r="M1" s="4">
        <v>-8.3000000000000007</v>
      </c>
    </row>
    <row r="2" spans="1:15" ht="18.75" customHeight="1" x14ac:dyDescent="0.25">
      <c r="A2" s="405" t="s">
        <v>851</v>
      </c>
      <c r="B2" s="50" t="str">
        <f>profil!T7</f>
        <v>Klient, , NIP:</v>
      </c>
      <c r="C2" s="7"/>
      <c r="D2" s="7"/>
      <c r="E2" s="7"/>
      <c r="F2" s="7"/>
      <c r="G2" s="5"/>
      <c r="H2" s="5"/>
      <c r="K2" s="5"/>
      <c r="L2" s="5">
        <v>3</v>
      </c>
    </row>
    <row r="3" spans="1:15" ht="39.7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2 742 mm /")</f>
        <v>wysokość / max.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K3" s="5"/>
    </row>
    <row r="4" spans="1:15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7"/>
    </row>
    <row r="5" spans="1:15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5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5" ht="12.75" customHeight="1" x14ac:dyDescent="0.25">
      <c r="A7" s="9" t="str">
        <f>texty!A71</f>
        <v>skrzydło drzwi:</v>
      </c>
      <c r="B7" s="53" t="str">
        <f>IF(B4&gt;0,B4-42,"")</f>
        <v/>
      </c>
      <c r="C7" s="55" t="str">
        <f>IFERROR(((C4-3+30*(D4-1))/D4+IF(AND(D4=4,D6=2),M1,0)),"")</f>
        <v/>
      </c>
      <c r="D7" s="7"/>
      <c r="E7" s="7"/>
      <c r="F7" s="7"/>
      <c r="G7" s="46"/>
      <c r="H7" s="5"/>
      <c r="K7" s="5"/>
      <c r="N7" s="15">
        <f>IF(C4&lt;1701,1700,IF(C4&lt;2351,2350,IF(C4&lt;3001,3000,IF(C4&lt;4051,4050,6000))))</f>
        <v>1700</v>
      </c>
      <c r="O7" s="19">
        <f>+E4</f>
        <v>0</v>
      </c>
    </row>
    <row r="8" spans="1:15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Maksymalna waga skrzydła to 50 kg</v>
      </c>
      <c r="H8" s="5"/>
      <c r="K8" s="5"/>
      <c r="N8" s="21" t="str">
        <f>CONCATENATE(N7,"-",E4)</f>
        <v>1700-</v>
      </c>
      <c r="O8" s="19"/>
    </row>
    <row r="9" spans="1:15" ht="12.75" customHeight="1" x14ac:dyDescent="0.25">
      <c r="A9" s="9" t="str">
        <f>texty!A51</f>
        <v>długość rączki (+ 2 mm )</v>
      </c>
      <c r="B9" s="53" t="str">
        <f>IFERROR((B8+2),"")</f>
        <v/>
      </c>
      <c r="C9" s="128"/>
      <c r="D9" s="7"/>
      <c r="E9" s="7"/>
      <c r="F9" s="7"/>
      <c r="G9" s="47"/>
      <c r="H9" s="5"/>
      <c r="K9" s="33"/>
      <c r="L9" s="32"/>
    </row>
    <row r="10" spans="1:15" ht="12.75" customHeight="1" x14ac:dyDescent="0.25">
      <c r="A10" s="154" t="str">
        <f>texty!A64</f>
        <v>Nie można łączyć ze szkłem / lustrem</v>
      </c>
      <c r="B10" s="60"/>
      <c r="C10" s="80"/>
      <c r="D10" s="7"/>
      <c r="E10" s="7"/>
      <c r="F10" s="7"/>
      <c r="G10" s="45"/>
      <c r="H10" s="5"/>
      <c r="N10" s="15"/>
      <c r="O10" s="19"/>
    </row>
    <row r="11" spans="1:15" ht="25.5" customHeight="1" x14ac:dyDescent="0.25">
      <c r="B11" s="597"/>
      <c r="C11" s="600" t="str">
        <f>texty!A78</f>
        <v>dodatkowe zmniejszenie wysokośći wyliczonych wypełnień przy wykorzystaniu profili dzielących:</v>
      </c>
      <c r="D11" s="7"/>
      <c r="E11" s="7"/>
      <c r="F11" s="7"/>
      <c r="G11" s="3"/>
      <c r="H11" s="5"/>
      <c r="K11" s="32"/>
      <c r="N11" s="21"/>
      <c r="O11" s="19"/>
    </row>
    <row r="12" spans="1:15" ht="12.75" customHeight="1" x14ac:dyDescent="0.25">
      <c r="A12" s="683" t="str">
        <f>IF(SUM(D39:D40)&gt;0,texty!A246,"")</f>
        <v/>
      </c>
      <c r="B12" s="683"/>
      <c r="C12" s="151"/>
      <c r="D12" s="7"/>
      <c r="E12" s="7"/>
      <c r="F12" s="7"/>
      <c r="G12" s="5"/>
      <c r="H12" s="5"/>
      <c r="K12" s="5"/>
    </row>
    <row r="13" spans="1:15" ht="12.75" customHeight="1" x14ac:dyDescent="0.25">
      <c r="A13" s="683"/>
      <c r="B13" s="683"/>
      <c r="C13" s="151"/>
      <c r="D13" s="7"/>
      <c r="E13" s="7"/>
      <c r="F13" s="7"/>
      <c r="G13" s="5"/>
      <c r="H13" s="5"/>
      <c r="K13" s="5"/>
    </row>
    <row r="14" spans="1:15" ht="12.75" customHeight="1" x14ac:dyDescent="0.25">
      <c r="A14" s="683"/>
      <c r="B14" s="683"/>
      <c r="C14" s="151"/>
      <c r="D14" s="7"/>
      <c r="E14" s="7"/>
      <c r="F14" s="7"/>
      <c r="G14" s="5"/>
      <c r="H14" s="5"/>
      <c r="K14" s="5"/>
    </row>
    <row r="15" spans="1:15" ht="20.25" customHeight="1" x14ac:dyDescent="0.25">
      <c r="A15" s="683"/>
      <c r="B15" s="683"/>
      <c r="C15" s="81"/>
      <c r="D15" s="7"/>
      <c r="E15" s="7"/>
      <c r="F15" s="7"/>
      <c r="G15" s="5"/>
      <c r="H15" s="5"/>
      <c r="K15" s="31"/>
    </row>
    <row r="16" spans="1:15" ht="12.75" customHeight="1" x14ac:dyDescent="0.25">
      <c r="A16" s="6"/>
      <c r="B16" s="7"/>
      <c r="C16" s="10"/>
      <c r="D16" s="7"/>
      <c r="E16" s="7"/>
      <c r="F16" s="7"/>
      <c r="G16" s="5"/>
      <c r="H16" s="5"/>
      <c r="K16" s="5"/>
    </row>
    <row r="17" spans="1:11" ht="12.75" customHeight="1" x14ac:dyDescent="0.25">
      <c r="A17" s="6"/>
      <c r="B17" s="7"/>
      <c r="C17" s="142"/>
      <c r="D17" s="7"/>
      <c r="E17" s="7"/>
      <c r="F17" s="7"/>
      <c r="G17" s="5"/>
      <c r="H17" s="5"/>
      <c r="I17" s="686" t="s">
        <v>974</v>
      </c>
      <c r="K17" s="5"/>
    </row>
    <row r="18" spans="1:11" ht="12.75" customHeight="1" x14ac:dyDescent="0.25">
      <c r="A18" s="6"/>
      <c r="B18" s="7"/>
      <c r="C18" s="142"/>
      <c r="D18" s="7"/>
      <c r="E18" s="7"/>
      <c r="F18" s="7"/>
      <c r="G18" s="5"/>
      <c r="H18" s="5"/>
      <c r="I18" s="686"/>
      <c r="K18" s="5"/>
    </row>
    <row r="19" spans="1:11" ht="14.25" customHeight="1" x14ac:dyDescent="0.25">
      <c r="A19" s="6"/>
      <c r="B19" s="7"/>
      <c r="C19" s="25"/>
      <c r="D19" s="7"/>
      <c r="E19" s="7"/>
      <c r="F19" s="7"/>
      <c r="G19" s="5"/>
      <c r="H19" s="5"/>
      <c r="I19" s="687" t="s">
        <v>975</v>
      </c>
      <c r="K19" s="5"/>
    </row>
    <row r="20" spans="1:11" ht="14.25" customHeight="1" x14ac:dyDescent="0.25">
      <c r="A20" s="398" t="s">
        <v>1000</v>
      </c>
      <c r="B20" s="7"/>
      <c r="C20" s="25"/>
      <c r="D20" s="7"/>
      <c r="E20" s="7"/>
      <c r="F20" s="7"/>
      <c r="G20" s="5"/>
      <c r="H20" s="5"/>
      <c r="I20" s="687"/>
      <c r="K20" s="5"/>
    </row>
    <row r="21" spans="1:11" ht="16.5" customHeight="1" x14ac:dyDescent="0.25">
      <c r="A21" s="6"/>
      <c r="B21" s="7"/>
      <c r="C21" s="7"/>
      <c r="E21" s="7"/>
      <c r="F21" s="7"/>
      <c r="G21" s="5"/>
      <c r="H21" s="5"/>
      <c r="K21" s="5"/>
    </row>
    <row r="22" spans="1:11" ht="23.25" customHeight="1" x14ac:dyDescent="0.25">
      <c r="A22" s="6"/>
      <c r="B22" s="7"/>
      <c r="C22" s="7"/>
      <c r="D22" s="11"/>
      <c r="E22" s="7"/>
      <c r="F22" s="5"/>
      <c r="G22" s="126" t="str">
        <f>+Faworyt!G23</f>
        <v>partnerska zniżka:</v>
      </c>
      <c r="H22" s="5"/>
      <c r="K22" s="5"/>
    </row>
    <row r="23" spans="1:11" ht="12.75" customHeight="1" x14ac:dyDescent="0.25">
      <c r="A23" s="123" t="str">
        <f>texty!A80</f>
        <v>Kody zamówieniowe,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K23" s="5"/>
    </row>
    <row r="24" spans="1:11" s="77" customFormat="1" ht="12.75" customHeight="1" x14ac:dyDescent="0.25">
      <c r="A24" s="75"/>
      <c r="B24" s="76" t="str">
        <f>texty!A276</f>
        <v>kod</v>
      </c>
      <c r="C24" s="76" t="str">
        <f>+Faworyt!C25</f>
        <v>nazwa</v>
      </c>
      <c r="D24" s="76" t="str">
        <f>+Faworyt!D25</f>
        <v>szt.</v>
      </c>
      <c r="E24" s="76" t="str">
        <f>+Faworyt!E25</f>
        <v>cena/szt.</v>
      </c>
      <c r="F24" s="16" t="str">
        <f>+Faworyt!F25</f>
        <v>cena w sumie</v>
      </c>
      <c r="G24" s="16" t="str">
        <f>+Faworyt!G25</f>
        <v>w sumie netto:</v>
      </c>
      <c r="H24" s="16"/>
      <c r="I24" s="16" t="str">
        <f>texty!A29</f>
        <v>Uwagi:</v>
      </c>
      <c r="K24" s="16"/>
    </row>
    <row r="25" spans="1:11" ht="12.75" customHeight="1" x14ac:dyDescent="0.25">
      <c r="A25" s="6" t="str">
        <f>+Faworyt!A26</f>
        <v>tor górny:</v>
      </c>
      <c r="B25" s="292" t="e">
        <f>+VLOOKUP(N8,data!C211:D230,2,0)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</row>
    <row r="26" spans="1:11" ht="12.75" customHeight="1" x14ac:dyDescent="0.25">
      <c r="A26" s="6" t="str">
        <f>+Faworyt!A27</f>
        <v>Tor dolny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</row>
    <row r="27" spans="1:11" ht="12.75" customHeight="1" x14ac:dyDescent="0.25">
      <c r="A27" s="67" t="str">
        <f>+Faworyt!A28</f>
        <v>profil maskujący (maskownica):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</row>
    <row r="28" spans="1:11" ht="12.75" customHeight="1" x14ac:dyDescent="0.25">
      <c r="A28" s="6" t="str">
        <f>+Faworyt!A29</f>
        <v>górne wózki</v>
      </c>
      <c r="B28" s="66">
        <v>228023</v>
      </c>
      <c r="C28" s="475" t="str">
        <f>+VLOOKUP(B28,cennik!A:G,2,FALSE)</f>
        <v>SEVROLL Focus wózek górny 18mm 2szt</v>
      </c>
      <c r="D28" s="15">
        <f>IF((D41+D42)&gt;D4,0,D4-(D41+D42))</f>
        <v>0</v>
      </c>
      <c r="E28" s="193">
        <f>+VLOOKUP(B28,cennik!A:G,3,FALSE)</f>
        <v>13.907170000000001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</row>
    <row r="29" spans="1:11" ht="12.75" customHeight="1" x14ac:dyDescent="0.25">
      <c r="A29" s="6" t="str">
        <f>+Faworyt!A30</f>
        <v>dolne wózki</v>
      </c>
      <c r="B29" s="170">
        <f>IF(F4=M63,362316,229440)</f>
        <v>229440</v>
      </c>
      <c r="C29" s="23" t="str">
        <f>+VLOOKUP(B29,cennik!A:G,2,FALSE)</f>
        <v>SEVROLL wózek dolny WD 18C HI-TEC - 2szt</v>
      </c>
      <c r="D29" s="15">
        <f>+D4</f>
        <v>0</v>
      </c>
      <c r="E29" s="193">
        <f>+VLOOKUP(B29,cennik!A:G,3,FALSE)</f>
        <v>17.546399999999998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</row>
    <row r="30" spans="1:11" ht="12.75" customHeight="1" x14ac:dyDescent="0.25">
      <c r="A30" s="6" t="str">
        <f>texty!A89</f>
        <v>szczotka odbojowa</v>
      </c>
      <c r="B30" s="170">
        <v>229433</v>
      </c>
      <c r="C30" s="475" t="str">
        <f>+VLOOKUP(B30,cennik!A:G,2,FALSE)</f>
        <v>SEVROLL szczotka odbojowa bez kleju 4,8x4mm</v>
      </c>
      <c r="D30" s="15">
        <f>CEILING((B4*D4*2/1000),1)</f>
        <v>0</v>
      </c>
      <c r="E30" s="193">
        <f>+VLOOKUP(B30,cennik!A:G,3,FALSE)</f>
        <v>0.35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</row>
    <row r="31" spans="1:11" ht="12.75" customHeight="1" x14ac:dyDescent="0.25">
      <c r="A31" s="6" t="str">
        <f>+Faworyt!A32</f>
        <v>rączka</v>
      </c>
      <c r="B31" s="170" t="e">
        <f>+VLOOKUP(O7,data!C707:D708,2,0)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</row>
    <row r="32" spans="1:11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</row>
    <row r="33" spans="1:11" ht="12.75" customHeight="1" x14ac:dyDescent="0.25">
      <c r="A33" s="123" t="str">
        <f>+Faworyt!A34</f>
        <v>Akcesoria:</v>
      </c>
      <c r="B33" s="170"/>
      <c r="C33" s="23"/>
      <c r="D33" s="371" t="str">
        <f>+Faworyt!D34</f>
        <v>podaj ilość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</row>
    <row r="34" spans="1:11" ht="12.75" customHeight="1" x14ac:dyDescent="0.25">
      <c r="A34" s="6" t="str">
        <f>texty!A88</f>
        <v>pozycjoner wózka górnego</v>
      </c>
      <c r="B34" s="170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+F34*(100-G23)/100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174"/>
    </row>
    <row r="35" spans="1:11" ht="12.75" customHeight="1" x14ac:dyDescent="0.25">
      <c r="A35" s="6" t="str">
        <f>texty!A111</f>
        <v>pozycjoner</v>
      </c>
      <c r="B35" s="170">
        <f>IF(F4="Gemini",387424,89063)</f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</row>
    <row r="36" spans="1:11" ht="12.75" customHeight="1" x14ac:dyDescent="0.25">
      <c r="A36" s="320" t="str">
        <f>texty!A228</f>
        <v> Tłumienie MINI do 25 kg (para)</v>
      </c>
      <c r="B36" s="170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+F36*(100-G23)/100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</row>
    <row r="37" spans="1:11" ht="12.75" customHeight="1" x14ac:dyDescent="0.25">
      <c r="A37" s="320" t="str">
        <f>texty!A229</f>
        <v> Tłumienie MINI do 40 kg (para)</v>
      </c>
      <c r="B37" s="66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+F37*(100-G23)/100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</row>
    <row r="38" spans="1:11" ht="12.75" customHeight="1" x14ac:dyDescent="0.25">
      <c r="A38" s="320" t="str">
        <f>texty!A230</f>
        <v> Tłumienie MINI do 60 kg (para)</v>
      </c>
      <c r="B38" s="66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+F38*(100-G23)/100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</row>
    <row r="39" spans="1:11" ht="12.75" customHeight="1" x14ac:dyDescent="0.25">
      <c r="A39" s="320" t="str">
        <f>texty!A231</f>
        <v xml:space="preserve"> Tłumienie do skrzydła środkowego do 25 kg </v>
      </c>
      <c r="B39" s="66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+F39*(100-G23)/100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</row>
    <row r="40" spans="1:11" ht="12.75" customHeight="1" x14ac:dyDescent="0.25">
      <c r="A40" s="320" t="str">
        <f>texty!A232</f>
        <v xml:space="preserve"> Tłumienie do skrzydła środkowego do 40 kg </v>
      </c>
      <c r="B40" s="66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+F40*(100-G23)/100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</row>
    <row r="41" spans="1:11" ht="12.75" customHeight="1" x14ac:dyDescent="0.25">
      <c r="A41" s="6" t="str">
        <f>texty!A97</f>
        <v>tłumienie (para)25 kg</v>
      </c>
      <c r="B41" s="66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</row>
    <row r="42" spans="1:11" ht="12.75" customHeight="1" x14ac:dyDescent="0.25">
      <c r="A42" s="6" t="str">
        <f>texty!A98</f>
        <v>tłumienie (para) 50 kg</v>
      </c>
      <c r="B42" s="66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</row>
    <row r="43" spans="1:11" ht="12.75" customHeight="1" x14ac:dyDescent="0.25">
      <c r="A43" s="6" t="str">
        <f>texty!A196</f>
        <v>Klamra szczotki odbojowej</v>
      </c>
      <c r="B43" s="170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+F43*(100-G23)/100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</row>
    <row r="44" spans="1:11" ht="12.75" customHeight="1" x14ac:dyDescent="0.25">
      <c r="A44" s="134" t="str">
        <f>texty!A114</f>
        <v>profil łączący H18-3metry</v>
      </c>
      <c r="B44" s="170" t="e">
        <f>+VLOOKUP(O7,data!C577:D587,2,0)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</row>
    <row r="45" spans="1:11" ht="12.75" customHeight="1" x14ac:dyDescent="0.25">
      <c r="A45" s="134" t="str">
        <f>texty!A115</f>
        <v>Teownik -3metry</v>
      </c>
      <c r="B45" s="170" t="e">
        <f>+VLOOKUP(O7,data!C589:D598,2,0)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texty!A116</f>
        <v>Teownik decor -3metry</v>
      </c>
      <c r="B46" s="170" t="e">
        <f>+VLOOKUP(O7,data!C599:D608,2,0)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texty!A117</f>
        <v>"U" profil na DTD 18mm- 3 metry /gładki/</v>
      </c>
      <c r="B47" s="292" t="e">
        <f>+VLOOKUP(O7,data!C609:D619,2,0)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texty!A118</f>
        <v>"U" profil na DTD 18mm- 3 metry</v>
      </c>
      <c r="B48" s="170" t="e">
        <f>+VLOOKUP(O7,data!C619:D629,2,0)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4" ht="12.75" customHeight="1" x14ac:dyDescent="0.25">
      <c r="A49" s="134" t="str">
        <f>texty!A119</f>
        <v>kątownik mini 11x17mm - 1,7m</v>
      </c>
      <c r="B49" s="292" t="e">
        <f>+VLOOKUP(O7,data!C630:D640,2,0)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4" ht="12.75" customHeight="1" x14ac:dyDescent="0.25">
      <c r="A50" s="134" t="str">
        <f>texty!A120</f>
        <v>kątownik mini 11x17mm - 2,35m</v>
      </c>
      <c r="B50" s="292" t="e">
        <f>+VLOOKUP(O7,data!C642:D652,2,0)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4" ht="12.75" customHeight="1" x14ac:dyDescent="0.25">
      <c r="A51" s="134" t="str">
        <f>texty!A121</f>
        <v>kątownik mini 11x17mm - 3,00m</v>
      </c>
      <c r="B51" s="482" t="e">
        <f>+VLOOKUP(O7,data!C654:D664,2,0)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4" ht="12.75" customHeight="1" x14ac:dyDescent="0.25">
      <c r="A52" s="134" t="str">
        <f>texty!A122</f>
        <v>kątownik K2 19x18mm - 1,7m</v>
      </c>
      <c r="B52" s="66" t="e">
        <f>+VLOOKUP(O7,data!C666:D675,2,0)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4" ht="12.75" customHeight="1" x14ac:dyDescent="0.25">
      <c r="A53" s="134" t="str">
        <f>texty!A123</f>
        <v>kątownik K2 19x18mm - 2,35m</v>
      </c>
      <c r="B53" s="170" t="e">
        <f>+VLOOKUP(O7,data!C676:D685,2,0)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</row>
    <row r="54" spans="1:14" ht="12.75" customHeight="1" x14ac:dyDescent="0.25">
      <c r="A54" s="134" t="str">
        <f>texty!A124</f>
        <v>kątownik K2 19x18mm - 3,00m</v>
      </c>
      <c r="B54" s="170" t="e">
        <f>+VLOOKUP(O7,data!C686:D695,2,0)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</row>
    <row r="55" spans="1:14" ht="12.75" customHeight="1" x14ac:dyDescent="0.25">
      <c r="A55" s="320" t="str">
        <f>texty!A240</f>
        <v>zamek do drzwi przesuwnych</v>
      </c>
      <c r="B55" s="66">
        <v>216363</v>
      </c>
      <c r="C55" s="475" t="str">
        <f>+VLOOKUP(B55,cennik!A:G,2,FALSE)</f>
        <v>SEVROLL zamek do drzwi przesuwnych 10/18mm</v>
      </c>
      <c r="D55" s="27"/>
      <c r="E55" s="193">
        <f>+VLOOKUP(B55,cennik!A:G,3,FALSE)</f>
        <v>66.840599999999995</v>
      </c>
      <c r="F55" s="99">
        <f t="shared" si="1"/>
        <v>0</v>
      </c>
      <c r="G55" s="98">
        <f>+F55*(100-G23)/100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</row>
    <row r="56" spans="1:14" ht="12.75" customHeight="1" x14ac:dyDescent="0.25">
      <c r="A56" s="6" t="str">
        <f>texty!A112</f>
        <v>szczotka przeciwkurzowa samoprzylepna</v>
      </c>
      <c r="B56" s="66">
        <v>308639</v>
      </c>
      <c r="C56" s="23" t="str">
        <f>+VLOOKUP(B56,cennik!A:G,2,FALSE)</f>
        <v>SEVROLL szczotka przeciwkurzowa z klejem 6,7x13mm szara</v>
      </c>
      <c r="D56" s="27"/>
      <c r="E56" s="193">
        <f>+VLOOKUP(B56,cennik!A:G,3,FALSE)</f>
        <v>1.2647999999999999</v>
      </c>
      <c r="F56" s="99">
        <f t="shared" si="1"/>
        <v>0</v>
      </c>
      <c r="G56" s="98">
        <f>+F56*(100-G23)/100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J57" s="174"/>
      <c r="K57" s="174"/>
    </row>
    <row r="58" spans="1:14" ht="15" x14ac:dyDescent="0.25">
      <c r="A58" s="209" t="str">
        <f>texty!A190</f>
        <v xml:space="preserve">tutaj można znaleźć inne akcesoria </v>
      </c>
      <c r="B58" s="210"/>
      <c r="C58" s="210"/>
      <c r="D58" s="210"/>
      <c r="E58" s="210"/>
      <c r="F58" s="210"/>
      <c r="G58" s="210"/>
      <c r="H58" s="210"/>
      <c r="I58" s="210"/>
      <c r="J58" s="210"/>
      <c r="K58" s="5"/>
    </row>
    <row r="59" spans="1:14" ht="12.75" customHeight="1" x14ac:dyDescent="0.25">
      <c r="A59" s="209" t="str">
        <f>texty!A244</f>
        <v>rysunek techniczny tego systemu</v>
      </c>
      <c r="C59" s="36"/>
      <c r="D59" s="74" t="str">
        <f>+Faworyt!D61</f>
        <v>w sumie (bez VAT)</v>
      </c>
      <c r="E59" s="94"/>
      <c r="F59" s="107" t="e">
        <f>SUM(F25:F56)</f>
        <v>#N/A</v>
      </c>
      <c r="G59" s="107" t="e">
        <f>SUM(G25:G56)</f>
        <v>#N/A</v>
      </c>
      <c r="H59" s="5" t="str">
        <f>cennik!B2</f>
        <v>zł</v>
      </c>
      <c r="J59" s="166"/>
      <c r="K59" s="5"/>
    </row>
    <row r="60" spans="1:14" ht="12.75" customHeight="1" x14ac:dyDescent="0.25">
      <c r="A60" s="70" t="str">
        <f>System10!A67</f>
        <v>Uwagi</v>
      </c>
      <c r="B60" s="712"/>
      <c r="C60" s="713"/>
      <c r="D60" s="713"/>
      <c r="E60" s="713"/>
      <c r="F60" s="713"/>
      <c r="G60" s="714"/>
      <c r="H60" s="5"/>
      <c r="K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K61" s="5"/>
    </row>
    <row r="62" spans="1:14" ht="12.75" customHeight="1" x14ac:dyDescent="0.25">
      <c r="A62" s="698" t="str">
        <f>IF(N62=1,texty!A215,IF(J62&gt;0,texty!A214,""))</f>
        <v>niektóre elementy nie są produkowane w wybranej długości</v>
      </c>
      <c r="B62" s="698"/>
      <c r="C62" s="698"/>
      <c r="D62" s="698"/>
      <c r="E62" s="698"/>
      <c r="F62" s="698"/>
      <c r="G62" s="698"/>
      <c r="H62" s="698"/>
      <c r="J62" s="4" t="e">
        <f>SUM(J25:J56)</f>
        <v>#N/A</v>
      </c>
      <c r="N62" s="4">
        <f>IF(ISERROR(J62),1,0)</f>
        <v>1</v>
      </c>
    </row>
    <row r="63" spans="1:14" ht="12.75" hidden="1" customHeight="1" x14ac:dyDescent="0.25">
      <c r="L63" s="4" t="str">
        <f>texty!A128</f>
        <v>srebrny</v>
      </c>
      <c r="M63" s="19" t="s">
        <v>968</v>
      </c>
    </row>
    <row r="64" spans="1:14" ht="12.75" hidden="1" customHeight="1" x14ac:dyDescent="0.25">
      <c r="H64" s="127"/>
      <c r="L64" s="4" t="str">
        <f>texty!A130</f>
        <v>j.brąz</v>
      </c>
      <c r="M64" s="19" t="s">
        <v>42</v>
      </c>
    </row>
    <row r="65" ht="12.75" hidden="1" customHeight="1" x14ac:dyDescent="0.25"/>
    <row r="66" ht="12.75" hidden="1" customHeight="1" x14ac:dyDescent="0.25"/>
  </sheetData>
  <sheetProtection algorithmName="SHA-512" hashValue="PBs+NNT4UvYG8OAmPpGIT5CVI4G9R1ZqusAuZDnnn/QHRkKhFIOe5Kdkpfh5BHEX/DLnUaUYOVKzd8p/wo+RXA==" saltValue="1ku1+A2oDm7ST2ZBUK6j1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2:B15"/>
  </mergeCells>
  <phoneticPr fontId="0" type="noConversion"/>
  <conditionalFormatting sqref="A12">
    <cfRule type="expression" dxfId="80" priority="3">
      <formula>SUM($D$39:$D$40)&gt;0</formula>
    </cfRule>
  </conditionalFormatting>
  <conditionalFormatting sqref="D6">
    <cfRule type="expression" dxfId="78" priority="7">
      <formula>$D$4=4</formula>
    </cfRule>
    <cfRule type="expression" dxfId="77" priority="8">
      <formula>$D$4&lt;&gt;4</formula>
    </cfRule>
  </conditionalFormatting>
  <conditionalFormatting sqref="G4">
    <cfRule type="expression" dxfId="76" priority="6">
      <formula>$D$4=4</formula>
    </cfRule>
  </conditionalFormatting>
  <conditionalFormatting sqref="I17:I18">
    <cfRule type="expression" dxfId="75" priority="4">
      <formula>$F$4=$M$64</formula>
    </cfRule>
  </conditionalFormatting>
  <conditionalFormatting sqref="I19:I20">
    <cfRule type="expression" dxfId="74" priority="5">
      <formula>$F$4=$M$63</formula>
    </cfRule>
  </conditionalFormatting>
  <dataValidations count="7">
    <dataValidation type="list" allowBlank="1" showInputMessage="1" showErrorMessage="1" sqref="E5 F5" xr:uid="{00000000-0002-0000-1A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19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</v>
      </c>
    </row>
    <row r="2" spans="1:16" ht="18.75" customHeight="1" x14ac:dyDescent="0.25">
      <c r="A2" s="405" t="s">
        <v>828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2 742 mm /")</f>
        <v>wysokość / max.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skrzydło drzwi:</v>
      </c>
      <c r="B7" s="63" t="str">
        <f>IF(B4&gt;0,B4-42,"")</f>
        <v/>
      </c>
      <c r="C7" s="64" t="str">
        <f>IFERROR((((C4-3+29*(D4-1))/D4+IF(AND(D4=4,D6=2),M1,0))),"")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63" t="str">
        <f>IFERROR((B7-2),"")</f>
        <v/>
      </c>
      <c r="C8" s="389" t="str">
        <f>IFERROR((C7-3),"")</f>
        <v/>
      </c>
      <c r="D8" s="7"/>
      <c r="E8" s="7"/>
      <c r="F8" s="7"/>
      <c r="G8" s="4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długość rączki (+ 2 mm 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154" t="str">
        <f>texty!A64</f>
        <v>Nie można łączyć ze szkłem / lustrem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IF(SUM(D39:D40)&gt;0,texty!A246,"")</f>
        <v/>
      </c>
      <c r="B11" s="683"/>
      <c r="C11" s="600" t="str">
        <f>texty!A78</f>
        <v>dodatkowe zmniejszenie wysokośći wyliczonych wypełnień przy wykorzystaniu profili dzielących: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384"/>
      <c r="D12" s="7"/>
      <c r="E12" s="7"/>
      <c r="F12" s="7"/>
      <c r="G12" s="3"/>
      <c r="H12" s="5"/>
      <c r="L12" s="32"/>
      <c r="O12" s="21"/>
      <c r="P12" s="19"/>
    </row>
    <row r="13" spans="1:16" ht="20.25" customHeight="1" x14ac:dyDescent="0.25">
      <c r="A13" s="683"/>
      <c r="B13" s="683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8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6"/>
      <c r="B19" s="7"/>
      <c r="C19" s="25"/>
      <c r="D19" s="7"/>
      <c r="E19" s="7"/>
      <c r="F19" s="7"/>
      <c r="G19" s="5"/>
      <c r="H19" s="5"/>
      <c r="I19" s="687"/>
      <c r="L19" s="5"/>
    </row>
    <row r="20" spans="1:12" ht="14.25" customHeight="1" x14ac:dyDescent="0.25"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partnerska zniżka:</v>
      </c>
      <c r="H22" s="5"/>
      <c r="L22" s="5"/>
    </row>
    <row r="23" spans="1:12" ht="12.75" customHeight="1" x14ac:dyDescent="0.25">
      <c r="A23" s="123" t="str">
        <f>texty!A80</f>
        <v>Kody zamówieniowe,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kod</v>
      </c>
      <c r="C24" s="76" t="str">
        <f>+Faworyt!C25</f>
        <v>nazwa</v>
      </c>
      <c r="D24" s="76" t="str">
        <f>+Faworyt!D25</f>
        <v>szt.</v>
      </c>
      <c r="E24" s="76" t="str">
        <f>+Faworyt!E25</f>
        <v>cena/szt.</v>
      </c>
      <c r="F24" s="16" t="str">
        <f>+Faworyt!F25</f>
        <v>cena w sumie</v>
      </c>
      <c r="G24" s="16" t="str">
        <f>+Faworyt!G25</f>
        <v>w sumie netto:</v>
      </c>
      <c r="H24" s="16"/>
      <c r="I24" s="16" t="str">
        <f>texty!A29</f>
        <v>Uwagi:</v>
      </c>
      <c r="K24" s="16"/>
      <c r="L24" s="16"/>
    </row>
    <row r="25" spans="1:12" ht="12.75" customHeight="1" x14ac:dyDescent="0.25">
      <c r="A25" s="6" t="str">
        <f>+Faworyt!A26</f>
        <v>tor górny: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Tor dolny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profil maskujący (maskownica):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górne wózki</v>
      </c>
      <c r="B28" s="66">
        <v>228023</v>
      </c>
      <c r="C28" s="475" t="str">
        <f>+VLOOKUP(B28,cennik!A:G,2,FALSE)</f>
        <v>SEVROLL Focus wózek górny 18mm 2szt</v>
      </c>
      <c r="D28" s="15">
        <f>IF((D41+D42)&gt;D4,0,D4-(D41+D42))</f>
        <v>0</v>
      </c>
      <c r="E28" s="193">
        <f>+VLOOKUP(B28,cennik!A:G,3,FALSE)</f>
        <v>13.907170000000001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dolne wózki</v>
      </c>
      <c r="B29" s="170">
        <f>IF(F4=M63,362316,229440)</f>
        <v>229440</v>
      </c>
      <c r="C29" s="23" t="str">
        <f>+VLOOKUP(B29,cennik!A:G,2,FALSE)</f>
        <v>SEVROLL wózek dolny WD 18C HI-TEC - 2szt</v>
      </c>
      <c r="D29" s="15">
        <f>+D4</f>
        <v>0</v>
      </c>
      <c r="E29" s="193">
        <f>+VLOOKUP(B29,cennik!A:G,3,FALSE)</f>
        <v>17.546399999999998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szczotka odbojowa</v>
      </c>
      <c r="B30" s="170">
        <v>89131</v>
      </c>
      <c r="C30" s="475" t="str">
        <f>+VLOOKUP(B30,cennik!A:G,2,FALSE)</f>
        <v>SEVROLL szczotka odbojowa z klejem 6,7x4 mm, szara</v>
      </c>
      <c r="D30" s="15">
        <f>CEILING((B4*D4*2/1000),1)</f>
        <v>0</v>
      </c>
      <c r="E30" s="193">
        <f>+VLOOKUP(B30,cennik!A:G,3,FALSE)</f>
        <v>1.0506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rączka</v>
      </c>
      <c r="B31" s="170" t="e">
        <f>+VLOOKUP(P7,data!C703:D704,2,0)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3" t="str">
        <f>+Faworyt!A34</f>
        <v>Akcesoria:</v>
      </c>
      <c r="B33" s="170"/>
      <c r="C33" s="23"/>
      <c r="D33" s="371" t="str">
        <f>+Faworyt!D34</f>
        <v>podaj ilość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  <c r="L33" s="5"/>
    </row>
    <row r="34" spans="1:12" ht="12.75" customHeight="1" x14ac:dyDescent="0.25">
      <c r="A34" s="6" t="str">
        <f>texty!A88</f>
        <v>pozycjoner wózka górnego</v>
      </c>
      <c r="B34" s="170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+F34*(100-G23)/100</f>
        <v>0</v>
      </c>
      <c r="H34" s="5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6" t="str">
        <f>texty!A111</f>
        <v>pozycjoner</v>
      </c>
      <c r="B35" s="170">
        <f>IF(F4="Gemini",387424,89063)</f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 Tłumienie MINI do 25 kg (para)</v>
      </c>
      <c r="B36" s="170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+F36*(100-G23)/100</f>
        <v>0</v>
      </c>
      <c r="H36" s="22" t="str">
        <f>cennik!B2</f>
        <v>zł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 Tłumienie MINI do 40 kg (para)</v>
      </c>
      <c r="B37" s="66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+F37*(100-G23)/100</f>
        <v>0</v>
      </c>
      <c r="H37" s="22" t="str">
        <f>cennik!B2</f>
        <v>zł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texty!A230</f>
        <v> Tłumienie MINI do 60 kg (para)</v>
      </c>
      <c r="B38" s="66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+F38*(100-G23)/100</f>
        <v>0</v>
      </c>
      <c r="H38" s="22" t="str">
        <f>cennik!B2</f>
        <v>zł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texty!A231</f>
        <v xml:space="preserve"> Tłumienie do skrzydła środkowego do 25 kg </v>
      </c>
      <c r="B39" s="66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+F39*(100-G23)/100</f>
        <v>0</v>
      </c>
      <c r="H39" s="22" t="str">
        <f>cennik!B2</f>
        <v>zł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 xml:space="preserve"> Tłumienie do skrzydła środkowego do 40 kg </v>
      </c>
      <c r="B40" s="66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+F40*(100-G23)/100</f>
        <v>0</v>
      </c>
      <c r="H40" s="22" t="str">
        <f>cennik!B2</f>
        <v>zł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tłumienie (para)25 kg</v>
      </c>
      <c r="B41" s="66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zł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tłumienie (para) 50 kg</v>
      </c>
      <c r="B42" s="66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zł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Klamra szczotki odbojowej</v>
      </c>
      <c r="B43" s="170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+F43*(100-G23)/100</f>
        <v>0</v>
      </c>
      <c r="H43" s="5" t="str">
        <f>cennik!B2</f>
        <v>zł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profil łączący H18-3metry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texty!A115</f>
        <v>Teownik -3metry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texty!A116</f>
        <v>Teownik decor -3metry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na DTD 18mm- 3 metry /gładki/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texty!A118</f>
        <v>"U" profil na DTD 18mm- 3 metry</v>
      </c>
      <c r="B48" s="170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kątownik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kątownik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kątownik mini 11x17mm - 3,00m</v>
      </c>
      <c r="B51" s="48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kątownik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texty!A123</f>
        <v>kątownik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kątownik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zamek do drzwi przesuwnych</v>
      </c>
      <c r="B55" s="66">
        <v>216363</v>
      </c>
      <c r="C55" s="475" t="str">
        <f>+VLOOKUP(B55,cennik!A:G,2,FALSE)</f>
        <v>SEVROLL zamek do drzwi przesuwnych 10/18mm</v>
      </c>
      <c r="D55" s="27"/>
      <c r="E55" s="193">
        <f>+VLOOKUP(B55,cennik!A:G,3,FALSE)</f>
        <v>66.840599999999995</v>
      </c>
      <c r="F55" s="99">
        <f t="shared" si="1"/>
        <v>0</v>
      </c>
      <c r="G55" s="98">
        <f>+F55*(100-G23)/100</f>
        <v>0</v>
      </c>
      <c r="H55" s="5" t="str">
        <f>cennik!B2</f>
        <v>zł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szczotka przeciwkurzowa samoprzylepna</v>
      </c>
      <c r="B56" s="66">
        <v>308639</v>
      </c>
      <c r="C56" s="23" t="str">
        <f>+VLOOKUP(B56,cennik!A:G,2,FALSE)</f>
        <v>SEVROLL szczotka przeciwkurzowa z klejem 6,7x13mm szara</v>
      </c>
      <c r="D56" s="27"/>
      <c r="E56" s="193">
        <f>+VLOOKUP(B56,cennik!A:G,3,FALSE)</f>
        <v>1.2647999999999999</v>
      </c>
      <c r="F56" s="99">
        <f t="shared" si="1"/>
        <v>0</v>
      </c>
      <c r="G56" s="98">
        <f>+F56*(100-G23)/100</f>
        <v>0</v>
      </c>
      <c r="H56" s="5" t="str">
        <f>cennik!B2</f>
        <v>zł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K57" s="174"/>
      <c r="L57" s="5"/>
    </row>
    <row r="58" spans="1:14" ht="15" x14ac:dyDescent="0.25">
      <c r="A58" s="209" t="str">
        <f>texty!A190</f>
        <v xml:space="preserve">tutaj można znaleźć inne akcesoria 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rysunek techniczny tego systemu</v>
      </c>
      <c r="C59" s="36"/>
      <c r="D59" s="73" t="str">
        <f>+Faworyt!D61</f>
        <v>w sumie (bez VAT)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zł</v>
      </c>
      <c r="J59" s="166"/>
      <c r="K59" s="166"/>
      <c r="L59" s="5"/>
    </row>
    <row r="60" spans="1:14" ht="12.75" customHeight="1" x14ac:dyDescent="0.25">
      <c r="A60" s="70" t="str">
        <f>System10!A67</f>
        <v>Uwagi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L61" s="5"/>
    </row>
    <row r="62" spans="1:14" ht="12.75" customHeight="1" x14ac:dyDescent="0.25">
      <c r="A62" s="698" t="str">
        <f>IF(N62=1,texty!A215,IF(K62&gt;0,texty!A214,""))</f>
        <v>niektóre elementy nie są produkowane w wybranej długości</v>
      </c>
      <c r="B62" s="698"/>
      <c r="C62" s="698"/>
      <c r="D62" s="698"/>
      <c r="E62" s="698"/>
      <c r="F62" s="698"/>
      <c r="G62" s="698"/>
      <c r="H62" s="698"/>
      <c r="K62" s="5" t="e">
        <f>SUM(K25:K54)</f>
        <v>#N/A</v>
      </c>
      <c r="L62" s="5"/>
      <c r="N62" s="4">
        <f>IF(ISERROR(K62),1,0)</f>
        <v>1</v>
      </c>
    </row>
    <row r="63" spans="1:14" ht="12.75" hidden="1" customHeight="1" x14ac:dyDescent="0.25">
      <c r="L63" s="4" t="str">
        <f>texty!A128</f>
        <v>srebrny</v>
      </c>
      <c r="M63" s="19" t="s">
        <v>968</v>
      </c>
    </row>
    <row r="64" spans="1:14" ht="12.75" hidden="1" customHeight="1" x14ac:dyDescent="0.25">
      <c r="L64" s="4" t="str">
        <f>texty!A130</f>
        <v>j.brąz</v>
      </c>
      <c r="M64" s="19" t="s">
        <v>42</v>
      </c>
    </row>
  </sheetData>
  <sheetProtection algorithmName="SHA-512" hashValue="kifGmONRHCKhRw9NbjAMKMrwyzIBIYledAbDzW4cGPnbCa6rGQhBwwnl8+CvQA8KNeXxwIhbIDX6t/Jdg+wX7A==" saltValue="iwU4RkkDtT5YoYfmVQDZmQ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73" priority="3">
      <formula>SUM($D$39:$D$40)&gt;0</formula>
    </cfRule>
  </conditionalFormatting>
  <conditionalFormatting sqref="D6">
    <cfRule type="expression" dxfId="71" priority="7">
      <formula>$D$4=4</formula>
    </cfRule>
    <cfRule type="expression" dxfId="70" priority="8">
      <formula>$D$4&lt;&gt;4</formula>
    </cfRule>
  </conditionalFormatting>
  <conditionalFormatting sqref="G4">
    <cfRule type="expression" dxfId="69" priority="6">
      <formula>$D$4=4</formula>
    </cfRule>
  </conditionalFormatting>
  <conditionalFormatting sqref="I16:I17">
    <cfRule type="expression" dxfId="68" priority="4">
      <formula>$F$4=$M$64</formula>
    </cfRule>
  </conditionalFormatting>
  <conditionalFormatting sqref="I18:I19">
    <cfRule type="expression" dxfId="67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 F5" xr:uid="{00000000-0002-0000-1B00-000001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-8.3000000000000007</v>
      </c>
    </row>
    <row r="2" spans="1:16" ht="18.75" customHeight="1" x14ac:dyDescent="0.25">
      <c r="A2" s="405" t="s">
        <v>978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2 742 mm /")</f>
        <v>wysokość / max.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skrzydło drzwi:</v>
      </c>
      <c r="B7" s="63" t="str">
        <f>IF(B4&gt;0,B4-42,"")</f>
        <v/>
      </c>
      <c r="C7" s="64" t="str">
        <f>IFERROR((((C4-3+30*(D4-1))/D4+IF(AND(D4=4,D6=2),M1,0))),"")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63" t="str">
        <f>IFERROR((B7-2),"")</f>
        <v/>
      </c>
      <c r="C8" s="389" t="str">
        <f>IFERROR((C7-4),"")</f>
        <v/>
      </c>
      <c r="D8" s="7"/>
      <c r="E8" s="7"/>
      <c r="F8" s="7"/>
      <c r="G8" s="4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długość rączki (+ 2 mm 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26.4" x14ac:dyDescent="0.25">
      <c r="A10" s="400" t="str">
        <f>texty!A64</f>
        <v>Nie można łączyć ze szkłem / lustrem</v>
      </c>
      <c r="B10" s="65"/>
      <c r="C10" s="601" t="str">
        <f>texty!A78</f>
        <v>dodatkowe zmniejszenie wysokośći wyliczonych wypełnień przy wykorzystaniu profili dzielących:</v>
      </c>
      <c r="D10" s="7"/>
      <c r="E10" s="7"/>
      <c r="F10" s="7"/>
      <c r="G10" s="45"/>
      <c r="H10" s="5"/>
      <c r="O10" s="15"/>
      <c r="P10" s="19"/>
    </row>
    <row r="11" spans="1:16" ht="17.25" customHeight="1" x14ac:dyDescent="0.25">
      <c r="A11" s="683" t="str">
        <f>IF(SUM(D39:D40)&gt;0,texty!A246,"")</f>
        <v/>
      </c>
      <c r="B11" s="683"/>
      <c r="C11" s="390"/>
      <c r="D11" s="7"/>
      <c r="E11" s="7"/>
      <c r="F11" s="7"/>
      <c r="G11" s="45"/>
      <c r="H11" s="5"/>
      <c r="O11" s="15"/>
      <c r="P11" s="19"/>
    </row>
    <row r="12" spans="1:16" ht="26.7" customHeight="1" x14ac:dyDescent="0.25">
      <c r="A12" s="683"/>
      <c r="B12" s="683"/>
      <c r="C12" s="390"/>
      <c r="D12" s="7"/>
      <c r="E12" s="7"/>
      <c r="F12" s="7"/>
      <c r="G12" s="45"/>
      <c r="H12" s="5"/>
      <c r="O12" s="15"/>
      <c r="P12" s="19"/>
    </row>
    <row r="13" spans="1:16" ht="18.75" customHeight="1" x14ac:dyDescent="0.25">
      <c r="A13" s="683"/>
      <c r="B13" s="683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8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I19" s="687"/>
      <c r="L19" s="5"/>
    </row>
    <row r="20" spans="1:12" ht="14.25" customHeight="1" x14ac:dyDescent="0.25">
      <c r="A20" s="6"/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partnerska zniżka:</v>
      </c>
      <c r="H22" s="5"/>
      <c r="L22" s="5"/>
    </row>
    <row r="23" spans="1:12" ht="12.75" customHeight="1" x14ac:dyDescent="0.25">
      <c r="A23" s="123" t="str">
        <f>texty!A80</f>
        <v>Kody zamówieniowe,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kod</v>
      </c>
      <c r="C24" s="76" t="str">
        <f>+Faworyt!C25</f>
        <v>nazwa</v>
      </c>
      <c r="D24" s="76" t="str">
        <f>+Faworyt!D25</f>
        <v>szt.</v>
      </c>
      <c r="E24" s="76" t="str">
        <f>+Faworyt!E25</f>
        <v>cena/szt.</v>
      </c>
      <c r="F24" s="16" t="str">
        <f>+Faworyt!F25</f>
        <v>cena w sumie</v>
      </c>
      <c r="G24" s="16" t="str">
        <f>+Faworyt!G25</f>
        <v>w sumie netto:</v>
      </c>
      <c r="H24" s="16"/>
      <c r="I24" s="16" t="str">
        <f>texty!A29</f>
        <v>Uwagi:</v>
      </c>
      <c r="J24" s="16"/>
      <c r="L24" s="16"/>
    </row>
    <row r="25" spans="1:12" ht="12.75" customHeight="1" x14ac:dyDescent="0.25">
      <c r="A25" s="6" t="str">
        <f>+Faworyt!A26</f>
        <v>tor górny: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Tor dolny</v>
      </c>
      <c r="B26" s="170" t="e">
        <f>+VLOOKUP(O6,data!C4:D83,2,0)</f>
        <v>#N/A</v>
      </c>
      <c r="C26" s="23" t="e">
        <f>IF(B26=data!D64,texty!A239,+VLOOKUP(B26,cennik!A3:G9999,2,FALSE))</f>
        <v>#N/A</v>
      </c>
      <c r="D26" s="15">
        <v>1</v>
      </c>
      <c r="E26" s="86" t="e">
        <f>IF(B26=data!D73,0,+VLOOKUP(B26,cennik!A3:G9999,3,FALSE))</f>
        <v>#N/A</v>
      </c>
      <c r="F26" s="86" t="e">
        <f t="shared" si="0"/>
        <v>#N/A</v>
      </c>
      <c r="G26" s="87" t="e">
        <f>+F26*(100-G23)/100</f>
        <v>#N/A</v>
      </c>
      <c r="H26" s="22" t="str">
        <f>cennik!B2</f>
        <v>zł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profil maskujący (maskownica):</v>
      </c>
      <c r="B27" s="292" t="e">
        <f>+VLOOKUP(O6,data!C115:D210,2,0)</f>
        <v>#N/A</v>
      </c>
      <c r="C27" s="23" t="e">
        <f>IF(B27=data!D64,texty!A239,+VLOOKUP(B27,cennik!A3:G9999,2,FALSE))</f>
        <v>#N/A</v>
      </c>
      <c r="D27" s="7">
        <v>1</v>
      </c>
      <c r="E27" s="86" t="e">
        <f>IF(B27=data!D73,0,+VLOOKUP(B27,cennik!A3:G9999,3,FALSE))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6" t="str">
        <f>+Faworyt!A29</f>
        <v>górne wózki</v>
      </c>
      <c r="B28" s="66">
        <v>228023</v>
      </c>
      <c r="C28" s="475" t="str">
        <f>+VLOOKUP(B28,cennik!A:G,2,FALSE)</f>
        <v>SEVROLL Focus wózek górny 18mm 2szt</v>
      </c>
      <c r="D28" s="15">
        <f>IF((D41+D42)&gt;D4,0,D4-(D42+D41))</f>
        <v>0</v>
      </c>
      <c r="E28" s="193">
        <f>+VLOOKUP(B28,cennik!A:G,3,FALSE)</f>
        <v>13.907170000000001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dolne wózki</v>
      </c>
      <c r="B29" s="170">
        <f>IF(F4=Ergo!M63,362316,229440)</f>
        <v>229440</v>
      </c>
      <c r="C29" s="23" t="str">
        <f>+VLOOKUP(B29,cennik!A:G,2,FALSE)</f>
        <v>SEVROLL wózek dolny WD 18C HI-TEC - 2szt</v>
      </c>
      <c r="D29" s="15">
        <f>+D4</f>
        <v>0</v>
      </c>
      <c r="E29" s="193">
        <f>+VLOOKUP(B29,cennik!A:G,3,FALSE)</f>
        <v>17.546399999999998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szczotka odbojowa</v>
      </c>
      <c r="B30" s="170">
        <v>229433</v>
      </c>
      <c r="C30" s="475" t="str">
        <f>+VLOOKUP(B30,cennik!A:G,2,FALSE)</f>
        <v>SEVROLL szczotka odbojowa bez kleju 4,8x4mm</v>
      </c>
      <c r="D30" s="15">
        <f>CEILING((B4*D4*2/1000),1)</f>
        <v>0</v>
      </c>
      <c r="E30" s="193">
        <f>+VLOOKUP(B30,cennik!A:G,3,FALSE)</f>
        <v>0.35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rączka</v>
      </c>
      <c r="B31" s="170" t="e">
        <f>+VLOOKUP(P7,data!C731:D734,2,0)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6"/>
      <c r="H32" s="87"/>
      <c r="I32" s="363" t="str">
        <f>IFERROR(IF((VLOOKUP(B32,cennik!A:L,12,0))="O",texty!A250,""),"")</f>
        <v/>
      </c>
      <c r="J32" s="166"/>
      <c r="K32" s="174"/>
      <c r="L32" s="5"/>
    </row>
    <row r="33" spans="1:12" ht="12.75" customHeight="1" x14ac:dyDescent="0.25">
      <c r="A33" s="123" t="str">
        <f>+Faworyt!A34</f>
        <v>Akcesoria:</v>
      </c>
      <c r="B33" s="170"/>
      <c r="C33" s="23"/>
      <c r="D33" s="371" t="str">
        <f>+Faworyt!D34</f>
        <v>podaj ilość</v>
      </c>
      <c r="E33" s="86"/>
      <c r="F33" s="86"/>
      <c r="G33" s="86"/>
      <c r="H33" s="87"/>
      <c r="I33" s="363" t="str">
        <f>IFERROR(IF((VLOOKUP(B33,cennik!A:L,12,0))="O",texty!A250,""),"")</f>
        <v/>
      </c>
      <c r="J33" s="166"/>
      <c r="K33" s="174"/>
      <c r="L33" s="5"/>
    </row>
    <row r="34" spans="1:12" ht="12.75" customHeight="1" x14ac:dyDescent="0.25">
      <c r="A34" s="6" t="str">
        <f>texty!A88</f>
        <v>pozycjoner wózka górnego</v>
      </c>
      <c r="B34" s="170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+F34*(100-F23)/100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>pozycjoner</v>
      </c>
      <c r="B35" s="170">
        <f>IF(F4="Gemini",387424,89063)</f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 Tłumienie MINI do 25 kg (para)</v>
      </c>
      <c r="B36" s="170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+F36*(100-F23)/100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 Tłumienie MINI do 40 kg (para)</v>
      </c>
      <c r="B37" s="66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+F37*(100-F23)/100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 Tłumienie MINI do 60 kg (para)</v>
      </c>
      <c r="B38" s="66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+F38*(100-F23)/100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 xml:space="preserve"> Tłumienie do skrzydła środkowego do 25 kg </v>
      </c>
      <c r="B39" s="66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+F39*(100-F23)/100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 xml:space="preserve"> Tłumienie do skrzydła środkowego do 40 kg </v>
      </c>
      <c r="B40" s="66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+F40*(100-F23)/100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tłumienie (para)25 kg</v>
      </c>
      <c r="B41" s="66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tłumienie (para) 50 kg</v>
      </c>
      <c r="B42" s="66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Klamra szczotki odbojowej</v>
      </c>
      <c r="B43" s="170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+F43*(100-F23)/100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profil łączący H18-3metry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Teownik -3metry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Teownik decor -3metry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na DTD 18mm- 3 metry /gładki/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na DTD 18mm- 3 metry</v>
      </c>
      <c r="B48" s="170" t="e">
        <f>+VLOOKUP(P7,data!C619:D629,2,0)</f>
        <v>#N/A</v>
      </c>
      <c r="C48" s="475" t="e">
        <f>IF(B48=data!D64,texty!A239,+VLOOKUP(B48,cennik!A3:G9999,2,FALSE))</f>
        <v>#N/A</v>
      </c>
      <c r="D48" s="27"/>
      <c r="E48" s="86" t="e">
        <f>IF(B48=data!D73,0,+VLOOKUP(B48,cennik!A3:G9999,3,FALSE))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4" ht="12.75" customHeight="1" x14ac:dyDescent="0.25">
      <c r="A49" s="134" t="str">
        <f>texty!A119</f>
        <v>kątownik mini 11x17mm - 1,7m</v>
      </c>
      <c r="B49" s="292" t="e">
        <f>+VLOOKUP(P7,data!C630:D640,2,0)</f>
        <v>#N/A</v>
      </c>
      <c r="C49" s="475" t="e">
        <f>IF(B49=data!D64,texty!A239,+VLOOKUP(B49,cennik!A3:G9999,2,FALSE))</f>
        <v>#N/A</v>
      </c>
      <c r="D49" s="27"/>
      <c r="E49" s="86" t="e">
        <f>IF(B49=data!D73,0,+VLOOKUP(B49,cennik!A3:G9999,3,FALSE))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texty!A120</f>
        <v>kątownik mini 11x17mm - 2,35m</v>
      </c>
      <c r="B50" s="292" t="e">
        <f>+VLOOKUP(P7,data!C642:D652,2,0)</f>
        <v>#N/A</v>
      </c>
      <c r="C50" s="475" t="e">
        <f>IF(B50=data!D64,texty!A239,+VLOOKUP(B50,cennik!A3:G9999,2,FALSE))</f>
        <v>#N/A</v>
      </c>
      <c r="D50" s="27"/>
      <c r="E50" s="86" t="e">
        <f>IF(B50=data!D73,0,+VLOOKUP(B50,cennik!A3:G9999,3,FALSE))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4" ht="12.75" customHeight="1" x14ac:dyDescent="0.25">
      <c r="A51" s="134" t="str">
        <f>texty!A121</f>
        <v>kątownik mini 11x17mm - 3,00m</v>
      </c>
      <c r="B51" s="482" t="e">
        <f>+VLOOKUP(P7,data!C654:D664,2,0)</f>
        <v>#N/A</v>
      </c>
      <c r="C51" s="475" t="e">
        <f>IF(B51=data!D64,texty!A239,+VLOOKUP(B51,cennik!A3:G9999,2,FALSE))</f>
        <v>#N/A</v>
      </c>
      <c r="D51" s="27"/>
      <c r="E51" s="86" t="e">
        <f>IF(B51=data!D73,0,+VLOOKUP(B51,cennik!A3:G9999,3,FALSE))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</row>
    <row r="52" spans="1:14" ht="12.75" customHeight="1" x14ac:dyDescent="0.25">
      <c r="A52" s="134" t="str">
        <f>texty!A122</f>
        <v>kątownik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texty!A123</f>
        <v>kątownik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134" t="str">
        <f>texty!A124</f>
        <v>kątownik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320" t="str">
        <f>texty!A240</f>
        <v>zamek do drzwi przesuwnych</v>
      </c>
      <c r="B55" s="66">
        <v>216363</v>
      </c>
      <c r="C55" s="475" t="str">
        <f>+VLOOKUP(B55,cennik!A:G,2,FALSE)</f>
        <v>SEVROLL zamek do drzwi przesuwnych 10/18mm</v>
      </c>
      <c r="D55" s="27"/>
      <c r="E55" s="193">
        <f>+VLOOKUP(B55,cennik!A:G,3,FALSE)</f>
        <v>66.840599999999995</v>
      </c>
      <c r="F55" s="99">
        <f t="shared" si="1"/>
        <v>0</v>
      </c>
      <c r="G55" s="98">
        <f>+F55*(100-F23)/100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 t="str">
        <f>texty!A112</f>
        <v>szczotka przeciwkurzowa samoprzylepna</v>
      </c>
      <c r="B56" s="66">
        <v>308639</v>
      </c>
      <c r="C56" s="23" t="str">
        <f>+VLOOKUP(B56,cennik!A:G,2,FALSE)</f>
        <v>SEVROLL szczotka przeciwkurzowa z klejem 6,7x13mm szara</v>
      </c>
      <c r="D56" s="27"/>
      <c r="E56" s="193">
        <f>+VLOOKUP(B56,cennik!A:G,3,FALSE)</f>
        <v>1.2647999999999999</v>
      </c>
      <c r="F56" s="99">
        <f t="shared" si="1"/>
        <v>0</v>
      </c>
      <c r="G56" s="98">
        <f>+F56*(100-F23)/100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4" ht="12.75" customHeight="1" x14ac:dyDescent="0.25">
      <c r="A57" s="6"/>
      <c r="B57" s="22"/>
      <c r="C57" s="23"/>
      <c r="D57" s="210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 xml:space="preserve">tutaj można znaleźć inne akcesoria 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rysunek techniczny tego systemu</v>
      </c>
      <c r="C59" s="36"/>
      <c r="D59" s="73" t="str">
        <f>+Faworyt!D61</f>
        <v>w sumie (bez VAT)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zł</v>
      </c>
      <c r="J59" s="166"/>
      <c r="K59" s="166"/>
      <c r="L59" s="5"/>
    </row>
    <row r="60" spans="1:14" ht="12.75" customHeight="1" x14ac:dyDescent="0.25">
      <c r="A60" s="70" t="str">
        <f>System10!A67</f>
        <v>Uwagi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L61" s="5"/>
    </row>
    <row r="62" spans="1:14" ht="12.75" customHeight="1" x14ac:dyDescent="0.25">
      <c r="A62" s="698" t="str">
        <f>IF(N62=1,texty!A215,IF(J62&gt;0,texty!A214,""))</f>
        <v>niektóre elementy nie są produkowane w wybranej długości</v>
      </c>
      <c r="B62" s="698"/>
      <c r="C62" s="698"/>
      <c r="D62" s="698"/>
      <c r="E62" s="698"/>
      <c r="F62" s="698"/>
      <c r="G62" s="698"/>
      <c r="H62" s="698"/>
      <c r="J62" s="5" t="e">
        <f>SUM(J25:J56)</f>
        <v>#N/A</v>
      </c>
      <c r="K62" s="4"/>
      <c r="L62" s="5"/>
      <c r="N62" s="4">
        <f>IF(ISERROR(J62),1,0)</f>
        <v>1</v>
      </c>
    </row>
    <row r="63" spans="1:14" ht="12.75" hidden="1" customHeight="1" x14ac:dyDescent="0.25">
      <c r="K63" s="5">
        <v>63</v>
      </c>
      <c r="L63" s="4" t="str">
        <f>texty!A128</f>
        <v>srebrny</v>
      </c>
      <c r="M63" s="19" t="s">
        <v>968</v>
      </c>
    </row>
    <row r="64" spans="1:14" ht="12.75" hidden="1" customHeight="1" x14ac:dyDescent="0.25">
      <c r="L64" s="4" t="str">
        <f>texty!A130</f>
        <v>j.brąz</v>
      </c>
      <c r="M64" s="19" t="s">
        <v>42</v>
      </c>
    </row>
    <row r="65" spans="12:12" ht="12.75" hidden="1" customHeight="1" x14ac:dyDescent="0.25">
      <c r="L65" s="4" t="str">
        <f>data!J5</f>
        <v>złoty/mosiądz</v>
      </c>
    </row>
    <row r="66" spans="12:12" ht="12.75" hidden="1" customHeight="1" x14ac:dyDescent="0.25">
      <c r="L66" s="4" t="str">
        <f>data!J17</f>
        <v> czarny mat</v>
      </c>
    </row>
  </sheetData>
  <sheetProtection algorithmName="SHA-512" hashValue="OjZPKFC9P4KncTjmt/zlqOZ4KdjRxEhPW+Fz+cUiIsJzbVV4zacuMEx1pSfhasgp4B1A0ST09/xh+MFPgXJ2iw==" saltValue="0hdTN/XEPJUHGLRqN5bvj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66" priority="3">
      <formula>SUM($D$39:$D$40)&gt;0</formula>
    </cfRule>
  </conditionalFormatting>
  <conditionalFormatting sqref="D6">
    <cfRule type="expression" dxfId="64" priority="7">
      <formula>$D$4=4</formula>
    </cfRule>
    <cfRule type="expression" dxfId="63" priority="8">
      <formula>$D$4&lt;&gt;4</formula>
    </cfRule>
  </conditionalFormatting>
  <conditionalFormatting sqref="G4">
    <cfRule type="expression" dxfId="62" priority="6">
      <formula>$D$4=4</formula>
    </cfRule>
  </conditionalFormatting>
  <conditionalFormatting sqref="I18:I19">
    <cfRule type="expression" dxfId="60" priority="39">
      <formula>$F$4=$M$63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 F5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$L$63:$L$66</formula1>
    </dataValidation>
    <dataValidation type="list" allowBlank="1" showInputMessage="1" showErrorMessage="1" sqref="F4" xr:uid="{00000000-0002-0000-1C00-000006000000}">
      <formula1>IF(OR(E4=L63,E4=L64),M63:M64,M63)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-7.8</v>
      </c>
    </row>
    <row r="2" spans="1:16" ht="18.75" customHeight="1" x14ac:dyDescent="0.25">
      <c r="A2" s="405" t="s">
        <v>567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43.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 2 742 mm /")</f>
        <v>wysokość / max. 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skrzydło drzwi:</v>
      </c>
      <c r="B7" s="63">
        <f>+B4-42</f>
        <v>-42</v>
      </c>
      <c r="C7" s="64" t="str">
        <f>IFERROR((((C4-3+28*(D4-1))/D4+IF(AND(D4=4,D6=2),M1,0))),"")</f>
        <v/>
      </c>
      <c r="D7" s="7"/>
      <c r="E7" s="7"/>
      <c r="F7" s="7"/>
      <c r="G7" s="695"/>
      <c r="H7" s="695"/>
      <c r="I7" s="69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63">
        <f>+B7-2</f>
        <v>-44</v>
      </c>
      <c r="C8" s="389" t="str">
        <f>IFERROR((C7-3),"")</f>
        <v/>
      </c>
      <c r="D8" s="7"/>
      <c r="E8" s="7"/>
      <c r="F8" s="7"/>
      <c r="G8" s="47"/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długość rączki (+ 2 mm )</v>
      </c>
      <c r="B9" s="388">
        <f>B8+2</f>
        <v>-42</v>
      </c>
      <c r="C9" s="381"/>
      <c r="D9" s="7"/>
      <c r="E9" s="7"/>
      <c r="F9" s="7"/>
      <c r="G9" s="4" t="str">
        <f>Faworyt!G8</f>
        <v>Maksymalna waga skrzydła to 50 kg</v>
      </c>
      <c r="H9" s="5"/>
      <c r="L9" s="33"/>
      <c r="M9" s="32"/>
    </row>
    <row r="10" spans="1:16" ht="12.75" customHeight="1" x14ac:dyDescent="0.25">
      <c r="A10" s="154" t="str">
        <f>texty!A64</f>
        <v>Nie można łączyć ze szkłem / lustrem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IF(SUM(D38:D39)&gt;0,texty!A246,"")</f>
        <v/>
      </c>
      <c r="B11" s="683"/>
      <c r="C11" s="601" t="str">
        <f>texty!A78</f>
        <v>dodatkowe zmniejszenie wysokośći wyliczonych wypełnień przy wykorzystaniu profili dzielących: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62"/>
      <c r="D12" s="7"/>
      <c r="H12" s="5"/>
      <c r="L12" s="5"/>
    </row>
    <row r="13" spans="1:16" ht="22.5" customHeight="1" x14ac:dyDescent="0.25">
      <c r="A13" s="683"/>
      <c r="B13" s="683"/>
      <c r="C13" s="151"/>
      <c r="D13" s="7"/>
      <c r="E13" s="7"/>
      <c r="F13" s="7"/>
      <c r="G13" s="5"/>
      <c r="H13" s="5"/>
      <c r="L13" s="5"/>
    </row>
    <row r="14" spans="1:16" ht="12.75" customHeight="1" x14ac:dyDescent="0.25">
      <c r="A14" s="9"/>
      <c r="B14" s="7"/>
      <c r="C14" s="10"/>
      <c r="D14" s="7"/>
      <c r="E14" s="7"/>
      <c r="F14" s="7"/>
      <c r="G14" s="5"/>
      <c r="H14" s="5"/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86" t="s">
        <v>974</v>
      </c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/>
      <c r="L16" s="5"/>
    </row>
    <row r="17" spans="1:12" ht="14.25" customHeight="1" x14ac:dyDescent="0.25">
      <c r="A17" s="6"/>
      <c r="B17" s="7"/>
      <c r="C17" s="25"/>
      <c r="D17" s="7"/>
      <c r="E17" s="7"/>
      <c r="F17" s="7"/>
      <c r="G17" s="5"/>
      <c r="H17" s="5"/>
      <c r="I17" s="687" t="s">
        <v>975</v>
      </c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/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398" t="s">
        <v>1000</v>
      </c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6"/>
      <c r="B21" s="7"/>
      <c r="C21" s="7"/>
      <c r="D21" s="11"/>
      <c r="E21" s="7"/>
      <c r="F21" s="5"/>
      <c r="G21" s="126" t="str">
        <f>+Faworyt!G23</f>
        <v>partnerska zniżka:</v>
      </c>
      <c r="H21" s="5"/>
      <c r="L21" s="5"/>
    </row>
    <row r="22" spans="1:12" ht="12.75" customHeight="1" x14ac:dyDescent="0.25">
      <c r="A22" s="123" t="str">
        <f>texty!A80</f>
        <v>Kody zamówieniowe, ceny:</v>
      </c>
      <c r="B22" s="7"/>
      <c r="C22" s="7"/>
      <c r="D22" s="7"/>
      <c r="E22" s="7"/>
      <c r="F22" s="5"/>
      <c r="G22" s="588">
        <f>profil!C15</f>
        <v>0</v>
      </c>
      <c r="H22" s="5" t="s">
        <v>55</v>
      </c>
      <c r="L22" s="5"/>
    </row>
    <row r="23" spans="1:12" s="77" customFormat="1" ht="12.75" customHeight="1" x14ac:dyDescent="0.25">
      <c r="A23" s="75"/>
      <c r="B23" s="76" t="str">
        <f>texty!A276</f>
        <v>kod</v>
      </c>
      <c r="C23" s="76" t="str">
        <f>+Faworyt!C25</f>
        <v>nazwa</v>
      </c>
      <c r="D23" s="76" t="str">
        <f>+Faworyt!D25</f>
        <v>szt.</v>
      </c>
      <c r="E23" s="76" t="str">
        <f>+Faworyt!E25</f>
        <v>cena/szt.</v>
      </c>
      <c r="F23" s="16" t="str">
        <f>+Faworyt!F25</f>
        <v>cena w sumie</v>
      </c>
      <c r="G23" s="16" t="str">
        <f>+Faworyt!G25</f>
        <v>w sumie netto:</v>
      </c>
      <c r="H23" s="16"/>
      <c r="I23" s="16" t="str">
        <f>texty!A29</f>
        <v>Uwagi:</v>
      </c>
      <c r="J23" s="16"/>
      <c r="L23" s="16"/>
    </row>
    <row r="24" spans="1:12" ht="12.75" customHeight="1" x14ac:dyDescent="0.25">
      <c r="A24" s="6" t="str">
        <f>+Faworyt!A26</f>
        <v>tor górny:</v>
      </c>
      <c r="B24" s="292" t="e">
        <f>+VLOOKUP(O8,data!C211:D255,2,0)</f>
        <v>#N/A</v>
      </c>
      <c r="C24" s="473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ref="F24:F30" si="0">+E24*D24</f>
        <v>#N/A</v>
      </c>
      <c r="G24" s="87" t="e">
        <f>+F24*(100-G22)/100</f>
        <v>#N/A</v>
      </c>
      <c r="H24" s="5" t="str">
        <f>cennik!B2</f>
        <v>zł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" t="str">
        <f>+Faworyt!A27</f>
        <v>Tor dolny</v>
      </c>
      <c r="B25" s="292" t="e">
        <f>+VLOOKUP(O6,data!C4:D83,2,0)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si="0"/>
        <v>#N/A</v>
      </c>
      <c r="G25" s="87" t="e">
        <f>+F25*(100-G22)/100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+Faworyt!A28</f>
        <v>profil maskujący (maskownica):</v>
      </c>
      <c r="B26" s="292" t="e">
        <f>+VLOOKUP(O6,data!C115:D210,2,0)</f>
        <v>#N/A</v>
      </c>
      <c r="C26" s="23" t="e">
        <f>IF(B26=data!D64,texty!A239,+VLOOKUP(B26,cennik!A:G,2,FALSE))</f>
        <v>#N/A</v>
      </c>
      <c r="D26" s="7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+F26*(100-G22)/100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+Faworyt!A29</f>
        <v>górne wózki</v>
      </c>
      <c r="B27" s="66">
        <v>228023</v>
      </c>
      <c r="C27" s="475" t="str">
        <f>+VLOOKUP(B27,cennik!A:G,2,FALSE)</f>
        <v>SEVROLL Focus wózek górny 18mm 2szt</v>
      </c>
      <c r="D27" s="15">
        <f>IF((D41+D40)&gt;D4,0,D4-(D40+D41))</f>
        <v>0</v>
      </c>
      <c r="E27" s="193">
        <f>+VLOOKUP(B27,cennik!A:G,3,FALSE)</f>
        <v>13.907170000000001</v>
      </c>
      <c r="F27" s="86">
        <f t="shared" si="0"/>
        <v>0</v>
      </c>
      <c r="G27" s="87">
        <f>+F27*(100-G22)/100</f>
        <v>0</v>
      </c>
      <c r="H27" s="5" t="str">
        <f>cennik!B2</f>
        <v>zł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+Faworyt!A30</f>
        <v>dolne wózki</v>
      </c>
      <c r="B28" s="170">
        <f>IF(F4=M63,362316,229440)</f>
        <v>229440</v>
      </c>
      <c r="C28" s="475" t="str">
        <f>+VLOOKUP(B28,cennik!A:G,2,FALSE)</f>
        <v>SEVROLL wózek dolny WD 18C HI-TEC - 2szt</v>
      </c>
      <c r="D28" s="15">
        <f>+D4</f>
        <v>0</v>
      </c>
      <c r="E28" s="193">
        <f>+VLOOKUP(B28,cennik!A:G,3,FALSE)</f>
        <v>17.546399999999998</v>
      </c>
      <c r="F28" s="86">
        <f t="shared" si="0"/>
        <v>0</v>
      </c>
      <c r="G28" s="87">
        <f>+F28*(100-G22)/100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+Faworyt!A31</f>
        <v>szczotka odbojowa</v>
      </c>
      <c r="B29" s="170">
        <v>89131</v>
      </c>
      <c r="C29" s="475" t="str">
        <f>+VLOOKUP(B29,cennik!A:G,2,FALSE)</f>
        <v>SEVROLL szczotka odbojowa z klejem 6,7x4 mm, szara</v>
      </c>
      <c r="D29" s="15">
        <f>CEILING((B4*D4*2/1000),1)</f>
        <v>0</v>
      </c>
      <c r="E29" s="193">
        <f>+VLOOKUP(B29,cennik!A:G,3,FALSE)</f>
        <v>1.0506</v>
      </c>
      <c r="F29" s="86">
        <f t="shared" si="0"/>
        <v>0</v>
      </c>
      <c r="G29" s="87">
        <f>+F29*(100-G22)/100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+Faworyt!A32</f>
        <v>rączka</v>
      </c>
      <c r="B30" s="170" t="e">
        <f>+VLOOKUP(P7,data!C806:D807,2,0)</f>
        <v>#N/A</v>
      </c>
      <c r="C30" s="475" t="e">
        <f>+VLOOKUP(B30,cennik!A:G,2,FALSE)</f>
        <v>#N/A</v>
      </c>
      <c r="D30" s="15">
        <f>IF(B9&lt;=1347,D4*2/2,D4*2)</f>
        <v>0</v>
      </c>
      <c r="E30" s="193" t="e">
        <f>+VLOOKUP(B30,cennik!A:G,3,FALSE)</f>
        <v>#N/A</v>
      </c>
      <c r="F30" s="86" t="e">
        <f t="shared" si="0"/>
        <v>#N/A</v>
      </c>
      <c r="G30" s="87" t="e">
        <f>+F30*(100-G22)/100</f>
        <v>#N/A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/>
      <c r="B31" s="170"/>
      <c r="C31" s="23"/>
      <c r="D31" s="15"/>
      <c r="E31" s="86"/>
      <c r="F31" s="86"/>
      <c r="G31" s="87"/>
      <c r="H31" s="5"/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123" t="str">
        <f>+Faworyt!A34</f>
        <v>Akcesoria:</v>
      </c>
      <c r="B32" s="170"/>
      <c r="C32" s="23"/>
      <c r="D32" s="371" t="str">
        <f>+Faworyt!D34</f>
        <v>podaj ilość</v>
      </c>
      <c r="E32" s="86"/>
      <c r="F32" s="86"/>
      <c r="G32" s="87"/>
      <c r="H32" s="5"/>
      <c r="I32" s="363" t="str">
        <f>IFERROR(IF((VLOOKUP(B32,cennik!A:L,12,0))="O",texty!A250,""),"")</f>
        <v/>
      </c>
      <c r="J32" s="174"/>
      <c r="L32" s="5"/>
    </row>
    <row r="33" spans="1:12" ht="12.75" customHeight="1" x14ac:dyDescent="0.25">
      <c r="A33" s="6" t="str">
        <f>texty!A88</f>
        <v>pozycjoner wózka górnego</v>
      </c>
      <c r="B33" s="170">
        <v>298035</v>
      </c>
      <c r="C33" s="475" t="str">
        <f>+VLOOKUP(B33,cennik!A:G,2,FALSE)</f>
        <v>SEVROLL Fix pozycjoner wózka górnego transparentny</v>
      </c>
      <c r="D33" s="27"/>
      <c r="E33" s="193">
        <f>+VLOOKUP(B33,cennik!A:G,3,FALSE)</f>
        <v>3.74519</v>
      </c>
      <c r="F33" s="99">
        <f>+E33*D33</f>
        <v>0</v>
      </c>
      <c r="G33" s="98">
        <f>+F33*(100-F22)/100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4"/>
      <c r="L33" s="5"/>
    </row>
    <row r="34" spans="1:12" ht="12.75" customHeight="1" x14ac:dyDescent="0.25">
      <c r="A34" s="6" t="str">
        <f>texty!A111</f>
        <v>pozycjoner</v>
      </c>
      <c r="B34" s="170">
        <f>IF(F4="Gemini",387424,89063)</f>
        <v>89063</v>
      </c>
      <c r="C34" s="475" t="str">
        <f>+VLOOKUP(B34,cennik!A:G,2,FALSE)</f>
        <v>SEVROLL pozycjoner wózka dolnego HI-TEC</v>
      </c>
      <c r="D34" s="27"/>
      <c r="E34" s="193">
        <f>+VLOOKUP(B34,cennik!A:G,3,FALSE)</f>
        <v>1.071</v>
      </c>
      <c r="F34" s="99">
        <f t="shared" ref="F34:F55" si="1">+E34*D34</f>
        <v>0</v>
      </c>
      <c r="G34" s="98">
        <f>+F34*(100-F22)/100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320" t="str">
        <f>texty!A228</f>
        <v> Tłumienie MINI do 25 kg (para)</v>
      </c>
      <c r="B35" s="170">
        <v>318662</v>
      </c>
      <c r="C35" s="23" t="str">
        <f>+VLOOKUP(B35,cennik!A:G,2,FALSE)</f>
        <v>SEVROLL tłumienie Mini SV25 (14-25kg)</v>
      </c>
      <c r="D35" s="278"/>
      <c r="E35" s="86">
        <f>+VLOOKUP(B35,cennik!A:G,3,FALSE)</f>
        <v>96.889799999999994</v>
      </c>
      <c r="F35" s="91">
        <f>+CEILING(D35,1)*E35</f>
        <v>0</v>
      </c>
      <c r="G35" s="98">
        <f>+F35*(100-F22)/100</f>
        <v>0</v>
      </c>
      <c r="H35" s="22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texty!A229</f>
        <v> Tłumienie MINI do 40 kg (para)</v>
      </c>
      <c r="B36" s="66">
        <v>283956</v>
      </c>
      <c r="C36" s="23" t="str">
        <f>+VLOOKUP(B36,cennik!A:G,2,FALSE)</f>
        <v>SEVROLL tłumienie Mini SV40 (25 - 40kg)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+F36*(100-F22)/100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texty!A230</f>
        <v> Tłumienie MINI do 60 kg (para)</v>
      </c>
      <c r="B37" s="66">
        <v>351743</v>
      </c>
      <c r="C37" s="23" t="str">
        <f>+VLOOKUP(B37,cennik!A:G,2,FALSE)</f>
        <v>SEVROLL tłumienie Mini SV60 (40 - 60kg)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+F37*(100-F22)/100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texty!A231</f>
        <v xml:space="preserve"> Tłumienie do skrzydła środkowego do 25 kg </v>
      </c>
      <c r="B38" s="66">
        <v>318663</v>
      </c>
      <c r="C38" s="23" t="str">
        <f>+VLOOKUP(B38,cennik!A:G,2,FALSE)</f>
        <v>SEVROLL tłumienie Central 10/18mm obustronne 25kg</v>
      </c>
      <c r="D38" s="278"/>
      <c r="E38" s="86">
        <f>+VLOOKUP(B38,cennik!A:G,3,FALSE)</f>
        <v>206.958</v>
      </c>
      <c r="F38" s="91">
        <f>+CEILING(D38,1)*E38</f>
        <v>0</v>
      </c>
      <c r="G38" s="98">
        <f>+F38*(100-F22)/100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texty!A232</f>
        <v xml:space="preserve"> Tłumienie do skrzydła środkowego do 40 kg </v>
      </c>
      <c r="B39" s="66">
        <v>283955</v>
      </c>
      <c r="C39" s="23" t="str">
        <f>+VLOOKUP(B39,cennik!A:G,2,FALSE)</f>
        <v>SEVROLL tłumienie Central 10/18mm obustronne 25-40kg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+F39*(100-F22)/100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6" t="str">
        <f>texty!A97</f>
        <v>tłumienie (para)25 kg</v>
      </c>
      <c r="B40" s="66">
        <v>227185</v>
      </c>
      <c r="C40" s="475" t="str">
        <f>+VLOOKUP(B40,cennik!A:G,2,FALSE)</f>
        <v>K-SEVROLL tłumienie 10/18mm 14-25kg L+P</v>
      </c>
      <c r="D40" s="27"/>
      <c r="E40" s="193">
        <f>+VLOOKUP(B40,cennik!A:G,3,FALSE)</f>
        <v>0</v>
      </c>
      <c r="F40" s="99">
        <f>+E40*D40</f>
        <v>0</v>
      </c>
      <c r="G40" s="98">
        <f>+F40*(100-F22)/100</f>
        <v>0</v>
      </c>
      <c r="H40" s="5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texty!A98</f>
        <v>tłumienie (para) 50 kg</v>
      </c>
      <c r="B41" s="66">
        <v>227187</v>
      </c>
      <c r="C41" s="475" t="str">
        <f>+VLOOKUP(B41,cennik!A:G,2,FALSE)</f>
        <v>K-SEVROLL tłumienie 10/18mm 25-50kg L+P</v>
      </c>
      <c r="D41" s="27"/>
      <c r="E41" s="193">
        <f>+VLOOKUP(B41,cennik!A:G,3,FALSE)</f>
        <v>0</v>
      </c>
      <c r="F41" s="99">
        <f>+E41*D41</f>
        <v>0</v>
      </c>
      <c r="G41" s="98">
        <f>+F41*(100-F22)/100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3"/>
    </row>
    <row r="42" spans="1:12" ht="12.75" customHeight="1" x14ac:dyDescent="0.25">
      <c r="A42" s="6" t="str">
        <f>texty!A196</f>
        <v>Klamra szczotki odbojowej</v>
      </c>
      <c r="B42" s="170">
        <v>223569</v>
      </c>
      <c r="C42" s="475" t="str">
        <f>+VLOOKUP(B42,cennik!A:G,2,FALSE)</f>
        <v>SEVROLL klips do szczotki przeciwkurzowej</v>
      </c>
      <c r="D42" s="27"/>
      <c r="E42" s="193">
        <f>+VLOOKUP(B42,cennik!A:G,3,FALSE)</f>
        <v>0.23857999999999999</v>
      </c>
      <c r="F42" s="99">
        <f t="shared" si="1"/>
        <v>0</v>
      </c>
      <c r="G42" s="98">
        <f>+F42*(100-F22)/100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134" t="str">
        <f>texty!A114</f>
        <v>profil łączący H18-3metry</v>
      </c>
      <c r="B43" s="170" t="e">
        <f>+VLOOKUP(P7,data!C577:D587,2,0)</f>
        <v>#N/A</v>
      </c>
      <c r="C43" s="475" t="e">
        <f>+VLOOKUP(B43,cennik!A:G,2,FALSE)</f>
        <v>#N/A</v>
      </c>
      <c r="D43" s="27"/>
      <c r="E43" s="193" t="e">
        <f>+VLOOKUP(B43,cennik!A:G,3,FALSE)</f>
        <v>#N/A</v>
      </c>
      <c r="F43" s="99" t="e">
        <f t="shared" si="1"/>
        <v>#N/A</v>
      </c>
      <c r="G43" s="98" t="e">
        <f>+F43*(100-F22)/100</f>
        <v>#N/A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texty!A115</f>
        <v>Teownik -3metry</v>
      </c>
      <c r="B44" s="170" t="e">
        <f>+VLOOKUP(P7,data!C589:D598,2,0)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+F44*(100-F22)/100</f>
        <v>#N/A</v>
      </c>
      <c r="H44" s="22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texty!A116</f>
        <v>Teownik decor -3metry</v>
      </c>
      <c r="B45" s="170" t="e">
        <f>+VLOOKUP(P7,data!C599:D608,2,0)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+F45*(100-F22)/100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texty!A117</f>
        <v>"U" profil na DTD 18mm- 3 metry /gładki/</v>
      </c>
      <c r="B46" s="292" t="e">
        <f>+VLOOKUP(P7,data!C609:D619,2,0)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+F46*(100-F22)/100</f>
        <v>#N/A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texty!A118</f>
        <v>"U" profil na DTD 18mm- 3 metry</v>
      </c>
      <c r="B47" s="170" t="e">
        <f>+VLOOKUP(P7,data!C619:D629,2,0)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+F47*(100-F22)/100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texty!A119</f>
        <v>kątownik mini 11x17mm - 1,7m</v>
      </c>
      <c r="B48" s="292" t="e">
        <f>+VLOOKUP(P7,data!C630:D640,2,0)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+F48*(100-F22)/100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5"/>
    </row>
    <row r="49" spans="1:14" ht="12.75" customHeight="1" x14ac:dyDescent="0.25">
      <c r="A49" s="134" t="str">
        <f>texty!A120</f>
        <v>kątownik mini 11x17mm - 2,35m</v>
      </c>
      <c r="B49" s="292" t="e">
        <f>+VLOOKUP(P7,data!C642:D652,2,0)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+F49*(100-F22)/100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texty!A121</f>
        <v>kątownik mini 11x17mm - 3,00m</v>
      </c>
      <c r="B50" s="482" t="e">
        <f>+VLOOKUP(P7,data!C654:D664,2,0)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+F50*(100-F22)/100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</row>
    <row r="51" spans="1:14" ht="12.75" customHeight="1" x14ac:dyDescent="0.25">
      <c r="A51" s="134" t="str">
        <f>texty!A122</f>
        <v>kątownik K2 19x18mm - 1,7m</v>
      </c>
      <c r="B51" s="66" t="e">
        <f>+VLOOKUP(P7,data!C666:D675,2,0)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+F51*(100-F22)/100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4" ht="12.75" customHeight="1" x14ac:dyDescent="0.25">
      <c r="A52" s="134" t="str">
        <f>texty!A123</f>
        <v>kątownik K2 19x18mm - 2,35m</v>
      </c>
      <c r="B52" s="170" t="e">
        <f>+VLOOKUP(P7,data!C676:D685,2,0)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+F52*(100-F22)/100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texty!A124</f>
        <v>kątownik K2 19x18mm - 3,00m</v>
      </c>
      <c r="B53" s="170" t="e">
        <f>+VLOOKUP(P7,data!C686:D695,2,0)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+F53*(100-F22)/100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320" t="str">
        <f>texty!A240</f>
        <v>zamek do drzwi przesuwnych</v>
      </c>
      <c r="B54" s="66">
        <v>216363</v>
      </c>
      <c r="C54" s="475" t="str">
        <f>+VLOOKUP(B54,cennik!A:G,2,FALSE)</f>
        <v>SEVROLL zamek do drzwi przesuwnych 10/18mm</v>
      </c>
      <c r="D54" s="27"/>
      <c r="E54" s="193">
        <f>+VLOOKUP(B54,cennik!A:G,3,FALSE)</f>
        <v>66.840599999999995</v>
      </c>
      <c r="F54" s="99">
        <f t="shared" si="1"/>
        <v>0</v>
      </c>
      <c r="G54" s="98">
        <f>+F54*(100-F22)/100</f>
        <v>0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6" t="str">
        <f>texty!A112</f>
        <v>szczotka przeciwkurzowa samoprzylepna</v>
      </c>
      <c r="B55" s="66">
        <v>308639</v>
      </c>
      <c r="C55" s="23" t="str">
        <f>+VLOOKUP(B55,cennik!A:G,2,FALSE)</f>
        <v>SEVROLL szczotka przeciwkurzowa z klejem 6,7x13mm szara</v>
      </c>
      <c r="D55" s="27"/>
      <c r="E55" s="193">
        <f>+VLOOKUP(B55,cennik!A:G,3,FALSE)</f>
        <v>1.2647999999999999</v>
      </c>
      <c r="F55" s="99">
        <f t="shared" si="1"/>
        <v>0</v>
      </c>
      <c r="G55" s="98">
        <f>+F55*(100-F22)/100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/>
      <c r="B56" s="22"/>
      <c r="C56" s="23"/>
      <c r="D56" s="193"/>
      <c r="E56" s="193"/>
      <c r="F56" s="99"/>
      <c r="G56" s="98"/>
      <c r="H56" s="5"/>
      <c r="I56" s="166"/>
      <c r="J56" s="174"/>
      <c r="K56" s="4"/>
      <c r="L56" s="5"/>
    </row>
    <row r="57" spans="1:14" ht="15" x14ac:dyDescent="0.25">
      <c r="A57" s="209" t="str">
        <f>texty!A190</f>
        <v xml:space="preserve">tutaj można znaleźć inne akcesoria </v>
      </c>
      <c r="B57" s="210"/>
      <c r="C57" s="210"/>
      <c r="D57" s="210"/>
      <c r="E57" s="210"/>
      <c r="F57" s="210"/>
      <c r="G57" s="210"/>
      <c r="H57" s="210"/>
      <c r="I57" s="210"/>
      <c r="J57" s="210"/>
      <c r="K57" s="126"/>
      <c r="L57" s="5"/>
    </row>
    <row r="58" spans="1:14" ht="12.75" customHeight="1" x14ac:dyDescent="0.25">
      <c r="A58" s="209" t="str">
        <f>texty!A244</f>
        <v>rysunek techniczny tego systemu</v>
      </c>
      <c r="C58" s="36"/>
      <c r="D58" s="73" t="str">
        <f>+Faworyt!D61</f>
        <v>w sumie (bez VAT)</v>
      </c>
      <c r="E58" s="109"/>
      <c r="F58" s="110" t="e">
        <f>SUM(F24:F55)</f>
        <v>#N/A</v>
      </c>
      <c r="G58" s="110" t="e">
        <f>SUM(G24:G55)</f>
        <v>#N/A</v>
      </c>
      <c r="H58" s="5" t="str">
        <f>cennik!B2</f>
        <v>zł</v>
      </c>
      <c r="I58" s="4"/>
      <c r="L58" s="5"/>
    </row>
    <row r="59" spans="1:14" ht="12.75" customHeight="1" x14ac:dyDescent="0.25">
      <c r="A59" s="70" t="str">
        <f>System10!A67</f>
        <v>Uwagi</v>
      </c>
      <c r="B59" s="712"/>
      <c r="C59" s="713"/>
      <c r="D59" s="713"/>
      <c r="E59" s="713"/>
      <c r="F59" s="713"/>
      <c r="G59" s="714"/>
      <c r="H59" s="5"/>
      <c r="L59" s="5"/>
    </row>
    <row r="60" spans="1:14" ht="12.75" customHeight="1" x14ac:dyDescent="0.25">
      <c r="A60" s="711" t="str">
        <f>profil!U15</f>
        <v/>
      </c>
      <c r="B60" s="697"/>
      <c r="C60" s="697"/>
      <c r="D60" s="697"/>
      <c r="E60" s="697"/>
      <c r="F60" s="697"/>
      <c r="G60" s="697"/>
      <c r="H60" s="697"/>
      <c r="L60" s="5"/>
    </row>
    <row r="61" spans="1:14" ht="12.75" customHeight="1" x14ac:dyDescent="0.25">
      <c r="A61" s="698" t="str">
        <f>IF(N61=1,texty!A215,IF(J61&gt;0,texty!A214,""))</f>
        <v>niektóre elementy nie są produkowane w wybranej długości</v>
      </c>
      <c r="B61" s="698"/>
      <c r="C61" s="698"/>
      <c r="D61" s="698"/>
      <c r="E61" s="698"/>
      <c r="F61" s="698"/>
      <c r="G61" s="698"/>
      <c r="H61" s="698"/>
      <c r="J61" s="5" t="e">
        <f>SUM(J24:J55)</f>
        <v>#N/A</v>
      </c>
      <c r="L61" s="5"/>
      <c r="N61" s="4">
        <f>IF(ISERROR(J61),1,0)</f>
        <v>1</v>
      </c>
    </row>
    <row r="62" spans="1:14" ht="12.75" hidden="1" customHeight="1" x14ac:dyDescent="0.25">
      <c r="A62" s="59"/>
      <c r="J62" s="45"/>
      <c r="L62" s="5"/>
    </row>
    <row r="63" spans="1:14" ht="12.75" hidden="1" customHeight="1" x14ac:dyDescent="0.25">
      <c r="L63" s="4" t="str">
        <f>texty!A128</f>
        <v>srebrny</v>
      </c>
      <c r="M63" s="19" t="s">
        <v>968</v>
      </c>
    </row>
    <row r="64" spans="1:14" ht="12.75" hidden="1" customHeight="1" x14ac:dyDescent="0.25">
      <c r="L64" s="4" t="str">
        <f>texty!A130</f>
        <v>j.brąz</v>
      </c>
      <c r="M64" s="19" t="s">
        <v>42</v>
      </c>
    </row>
  </sheetData>
  <sheetProtection algorithmName="SHA-512" hashValue="Sg8w4aQwcdfhYzEZNnaLDpDuB2zeLlHopDn1JDRmcm02Lbj56dMjacP1V/6pnLhbrzEBCS5duc35B7grCf73DA==" saltValue="aDHMUbx97An1YoGHq2EEmw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3"/>
  </mergeCells>
  <conditionalFormatting sqref="A11">
    <cfRule type="expression" dxfId="59" priority="3">
      <formula>SUM($D$38:$D$39)&gt;0</formula>
    </cfRule>
  </conditionalFormatting>
  <conditionalFormatting sqref="D6">
    <cfRule type="expression" dxfId="57" priority="7">
      <formula>$D$4=4</formula>
    </cfRule>
    <cfRule type="expression" dxfId="56" priority="8">
      <formula>$D$4&lt;&gt;4</formula>
    </cfRule>
  </conditionalFormatting>
  <conditionalFormatting sqref="G4">
    <cfRule type="expression" dxfId="55" priority="6">
      <formula>$D$4=4</formula>
    </cfRule>
  </conditionalFormatting>
  <conditionalFormatting sqref="I15:I16">
    <cfRule type="expression" dxfId="54" priority="4">
      <formula>$F$4=$M$64</formula>
    </cfRule>
  </conditionalFormatting>
  <conditionalFormatting sqref="I17:I18">
    <cfRule type="expression" dxfId="53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 F5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A24:I55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-4.3</v>
      </c>
    </row>
    <row r="2" spans="1:16" ht="18.75" customHeight="1" x14ac:dyDescent="0.25">
      <c r="A2" s="405" t="s">
        <v>731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 2 742 mm /")</f>
        <v>wysokość / max. 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skrzydło drzwi:</v>
      </c>
      <c r="B7" s="63" t="str">
        <f>IF(B4&gt;0,B4-42,"")</f>
        <v/>
      </c>
      <c r="C7" s="64" t="str">
        <f>IFERROR((((C4+17*(D4-1))/D4+IF(AND(D4=4,D6=2),M1,0))),"")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63" t="str">
        <f>IFERROR((B7-2),"")</f>
        <v/>
      </c>
      <c r="C8" s="389" t="str">
        <f>IFERROR((C7-7),"")</f>
        <v/>
      </c>
      <c r="D8" s="7"/>
      <c r="E8" s="7"/>
      <c r="F8" s="7"/>
      <c r="G8" s="4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długość rączki (+ 2 mm )</v>
      </c>
      <c r="B9" s="63" t="str">
        <f>IFERROR((B8+2),"")</f>
        <v/>
      </c>
      <c r="C9" s="39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B10" s="378" t="str">
        <f>texty!A64</f>
        <v>Nie można łączyć ze szkłem / lustrem</v>
      </c>
      <c r="C10" s="80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IF(SUM(D37:D38)&gt;0,texty!A246,"")</f>
        <v/>
      </c>
      <c r="B11" s="683"/>
      <c r="C11" s="602" t="str">
        <f>texty!A78</f>
        <v>dodatkowe zmniejszenie wysokośći wyliczonych wypełnień przy wykorzystaniu profili dzielących: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62"/>
      <c r="D12" s="7"/>
      <c r="H12" s="5"/>
      <c r="L12" s="5"/>
    </row>
    <row r="13" spans="1:16" ht="21.75" customHeight="1" x14ac:dyDescent="0.25">
      <c r="A13" s="683"/>
      <c r="B13" s="683"/>
      <c r="C13" s="151"/>
      <c r="D13" s="7"/>
      <c r="E13" s="7"/>
      <c r="F13" s="7"/>
      <c r="G13" s="5"/>
      <c r="H13" s="5"/>
      <c r="L13" s="5"/>
    </row>
    <row r="14" spans="1:16" ht="26.25" customHeight="1" x14ac:dyDescent="0.25">
      <c r="A14" s="9"/>
      <c r="B14" s="7"/>
      <c r="C14" s="10"/>
      <c r="D14" s="7"/>
      <c r="E14" s="7"/>
      <c r="F14" s="7"/>
      <c r="G14" s="5"/>
      <c r="H14" s="5"/>
      <c r="I14" s="603" t="s">
        <v>974</v>
      </c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04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7" t="s">
        <v>975</v>
      </c>
      <c r="L16" s="5"/>
    </row>
    <row r="17" spans="1:12" ht="11.25" customHeight="1" x14ac:dyDescent="0.25">
      <c r="B17" s="7"/>
      <c r="C17" s="25"/>
      <c r="D17" s="7"/>
      <c r="E17" s="7"/>
      <c r="F17" s="7"/>
      <c r="G17" s="5"/>
      <c r="H17" s="5"/>
      <c r="I17" s="687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L18" s="5"/>
    </row>
    <row r="19" spans="1:12" ht="14.25" customHeight="1" x14ac:dyDescent="0.25">
      <c r="A19" s="398" t="s">
        <v>1000</v>
      </c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6"/>
      <c r="B20" s="7"/>
      <c r="C20" s="7"/>
      <c r="D20" s="11"/>
      <c r="E20" s="7"/>
      <c r="F20" s="5"/>
      <c r="G20" s="126" t="str">
        <f>+Faworyt!G23</f>
        <v>partnerska zniżka:</v>
      </c>
      <c r="H20" s="5"/>
      <c r="L20" s="5"/>
    </row>
    <row r="21" spans="1:12" ht="12.75" customHeight="1" x14ac:dyDescent="0.25">
      <c r="A21" s="123" t="str">
        <f>texty!A80</f>
        <v>Kody zamówieniowe, ceny:</v>
      </c>
      <c r="B21" s="7"/>
      <c r="C21" s="7"/>
      <c r="D21" s="7"/>
      <c r="E21" s="7"/>
      <c r="F21" s="5"/>
      <c r="G21" s="588">
        <f>profil!C15</f>
        <v>0</v>
      </c>
      <c r="H21" s="5" t="s">
        <v>55</v>
      </c>
      <c r="L21" s="5"/>
    </row>
    <row r="22" spans="1:12" s="77" customFormat="1" ht="12.75" customHeight="1" x14ac:dyDescent="0.25">
      <c r="A22" s="75"/>
      <c r="B22" s="76" t="str">
        <f>texty!A276</f>
        <v>kod</v>
      </c>
      <c r="C22" s="76" t="str">
        <f>+Faworyt!C25</f>
        <v>nazwa</v>
      </c>
      <c r="D22" s="76" t="str">
        <f>+Faworyt!D25</f>
        <v>szt.</v>
      </c>
      <c r="E22" s="76" t="str">
        <f>+Faworyt!E25</f>
        <v>cena/szt.</v>
      </c>
      <c r="F22" s="16" t="str">
        <f>+Faworyt!F25</f>
        <v>cena w sumie</v>
      </c>
      <c r="G22" s="16" t="str">
        <f>+Faworyt!G25</f>
        <v>w sumie netto:</v>
      </c>
      <c r="H22" s="16"/>
      <c r="I22" s="16" t="str">
        <f>texty!A29</f>
        <v>Uwagi:</v>
      </c>
      <c r="J22" s="16"/>
      <c r="L22" s="16"/>
    </row>
    <row r="23" spans="1:12" ht="12.75" customHeight="1" x14ac:dyDescent="0.25">
      <c r="A23" s="6" t="str">
        <f>+Faworyt!A26</f>
        <v>tor górny:</v>
      </c>
      <c r="B23" s="292" t="e">
        <f>+VLOOKUP(O8,data!C211:D230,2,0)</f>
        <v>#N/A</v>
      </c>
      <c r="C23" s="475" t="e">
        <f>+VLOOKUP(B23,cennik!A:G,2,FALSE)</f>
        <v>#N/A</v>
      </c>
      <c r="D23" s="7">
        <v>1</v>
      </c>
      <c r="E23" s="193" t="e">
        <f>+VLOOKUP(B23,cennik!A:G,3,FALSE)</f>
        <v>#N/A</v>
      </c>
      <c r="F23" s="86" t="e">
        <f t="shared" ref="F23:F29" si="0">+E23*D23</f>
        <v>#N/A</v>
      </c>
      <c r="G23" s="87" t="e">
        <f>+F23*(100-G21)/100</f>
        <v>#N/A</v>
      </c>
      <c r="H23" s="5" t="str">
        <f>cennik!B2</f>
        <v>zł</v>
      </c>
      <c r="I23" s="363" t="str">
        <f>IFERROR(IF((VLOOKUP(B23,cennik!A:L,12,0))="O",texty!A250,""),"")</f>
        <v/>
      </c>
      <c r="J23" s="174" t="e">
        <f>IF(D23&gt;0,IF(VLOOKUP(B23,cennik!A:L,12,FALSE)="O",1,""),"")</f>
        <v>#N/A</v>
      </c>
      <c r="L23" s="5"/>
    </row>
    <row r="24" spans="1:12" ht="12.75" customHeight="1" x14ac:dyDescent="0.25">
      <c r="A24" s="6" t="str">
        <f>+Faworyt!A27</f>
        <v>Tor dolny</v>
      </c>
      <c r="B24" s="292" t="e">
        <f>+VLOOKUP(O6,data!C4:D83,2,0)</f>
        <v>#N/A</v>
      </c>
      <c r="C24" s="475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si="0"/>
        <v>#N/A</v>
      </c>
      <c r="G24" s="87" t="e">
        <f>+F24*(100-G21)/100</f>
        <v>#N/A</v>
      </c>
      <c r="H24" s="5" t="str">
        <f>cennik!B2</f>
        <v>zł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7" t="str">
        <f>+Faworyt!A28</f>
        <v>profil maskujący (maskownica):</v>
      </c>
      <c r="B25" s="292" t="e">
        <f>+VLOOKUP(O6,data!C115:D210,2,0)</f>
        <v>#N/A</v>
      </c>
      <c r="C25" s="23" t="e">
        <f>IF(B25=data!D64,texty!A239,+VLOOKUP(B25,cennik!A:G,2,FALSE))</f>
        <v>#N/A</v>
      </c>
      <c r="D25" s="7">
        <v>1</v>
      </c>
      <c r="E25" s="86" t="e">
        <f>IF(B25=data!D73,0,+VLOOKUP(B25,cennik!A:G,3,FALSE))</f>
        <v>#N/A</v>
      </c>
      <c r="F25" s="86" t="e">
        <f t="shared" si="0"/>
        <v>#N/A</v>
      </c>
      <c r="G25" s="87" t="e">
        <f>+F25*(100-G21)/100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+Faworyt!A29</f>
        <v>górne wózki</v>
      </c>
      <c r="B26" s="66">
        <v>228023</v>
      </c>
      <c r="C26" s="475" t="str">
        <f>+VLOOKUP(B26,cennik!A:G,2,FALSE)</f>
        <v>SEVROLL Focus wózek górny 18mm 2szt</v>
      </c>
      <c r="D26" s="15">
        <f>IF((D40+D39)&gt;D4,0,D4-(D39+D40))</f>
        <v>0</v>
      </c>
      <c r="E26" s="193">
        <f>+VLOOKUP(B26,cennik!A:G,3,FALSE)</f>
        <v>13.907170000000001</v>
      </c>
      <c r="F26" s="86">
        <f t="shared" si="0"/>
        <v>0</v>
      </c>
      <c r="G26" s="87">
        <f>+F26*(100-G21)/100</f>
        <v>0</v>
      </c>
      <c r="H26" s="5" t="str">
        <f>cennik!B2</f>
        <v>zł</v>
      </c>
      <c r="I26" s="363" t="str">
        <f>IFERROR(IF((VLOOKUP(B26,cennik!A:L,12,0))="O",texty!A250,""),"")</f>
        <v/>
      </c>
      <c r="J26" s="174" t="str">
        <f>IF(D26&gt;0,IF(VLOOKUP(B26,cennik!A:L,12,FALSE)="O",1,""),"")</f>
        <v/>
      </c>
      <c r="L26" s="5"/>
    </row>
    <row r="27" spans="1:12" ht="12.75" customHeight="1" x14ac:dyDescent="0.25">
      <c r="A27" s="6" t="str">
        <f>+Faworyt!A30</f>
        <v>dolne wózki</v>
      </c>
      <c r="B27" s="170">
        <f>IF(F4=M62,362316,229440)</f>
        <v>229440</v>
      </c>
      <c r="C27" s="475" t="str">
        <f>+VLOOKUP(B27,cennik!A:G,2,FALSE)</f>
        <v>SEVROLL wózek dolny WD 18C HI-TEC - 2szt</v>
      </c>
      <c r="D27" s="15">
        <f>+D4</f>
        <v>0</v>
      </c>
      <c r="E27" s="193">
        <f>+VLOOKUP(B27,cennik!A:G,3,FALSE)</f>
        <v>17.546399999999998</v>
      </c>
      <c r="F27" s="86">
        <f t="shared" si="0"/>
        <v>0</v>
      </c>
      <c r="G27" s="87">
        <f>+F27*(100-G21)/100</f>
        <v>0</v>
      </c>
      <c r="H27" s="5" t="str">
        <f>cennik!B2</f>
        <v>zł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+Faworyt!A31</f>
        <v>szczotka odbojowa</v>
      </c>
      <c r="B28" s="170">
        <v>229433</v>
      </c>
      <c r="C28" s="475" t="str">
        <f>+VLOOKUP(B28,cennik!A:G,2,FALSE)</f>
        <v>SEVROLL szczotka odbojowa bez kleju 4,8x4mm</v>
      </c>
      <c r="D28" s="15">
        <f>CEILING((B4*D4*2/1000),1)</f>
        <v>0</v>
      </c>
      <c r="E28" s="193">
        <f>+VLOOKUP(B28,cennik!A:G,3,FALSE)</f>
        <v>0.35</v>
      </c>
      <c r="F28" s="86">
        <f t="shared" si="0"/>
        <v>0</v>
      </c>
      <c r="G28" s="87">
        <f>+F28*(100-G21)/100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+Faworyt!A32</f>
        <v>rączka</v>
      </c>
      <c r="B29" s="170">
        <v>233428</v>
      </c>
      <c r="C29" s="475" t="str">
        <f>+VLOOKUP(B29,cennik!A:G,2,FALSE)</f>
        <v>Sevroll Fiona II rączka 2,7m srebrna</v>
      </c>
      <c r="D29" s="15">
        <f>IF(B9&lt;=1285,D4*2/2,D4*2)</f>
        <v>0</v>
      </c>
      <c r="E29" s="193" t="e">
        <f>+VLOOKUP(B29,cennik!A:G,3,FALSE)</f>
        <v>#N/A</v>
      </c>
      <c r="F29" s="86" t="e">
        <f t="shared" si="0"/>
        <v>#N/A</v>
      </c>
      <c r="G29" s="87" t="e">
        <f>+F29*(100-G21)/100</f>
        <v>#N/A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/>
      <c r="B30" s="170"/>
      <c r="C30" s="23"/>
      <c r="D30" s="15"/>
      <c r="E30" s="86"/>
      <c r="F30" s="86"/>
      <c r="G30" s="87"/>
      <c r="H30" s="5"/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123" t="str">
        <f>+Faworyt!A34</f>
        <v>Akcesoria:</v>
      </c>
      <c r="B31" s="170"/>
      <c r="C31" s="23"/>
      <c r="D31" s="371" t="str">
        <f>+Faworyt!D34</f>
        <v>podaj ilość</v>
      </c>
      <c r="E31" s="86"/>
      <c r="F31" s="86"/>
      <c r="G31" s="87"/>
      <c r="H31" s="5"/>
      <c r="I31" s="363" t="str">
        <f>IFERROR(IF((VLOOKUP(B31,cennik!A:L,12,0))="O",texty!A250,""),"")</f>
        <v/>
      </c>
      <c r="J31" s="174"/>
      <c r="L31" s="5"/>
    </row>
    <row r="32" spans="1:12" ht="12.75" customHeight="1" x14ac:dyDescent="0.25">
      <c r="A32" s="6" t="str">
        <f>texty!A88</f>
        <v>pozycjoner wózka górnego</v>
      </c>
      <c r="B32" s="170">
        <v>298035</v>
      </c>
      <c r="C32" s="475" t="str">
        <f>+VLOOKUP(B32,cennik!A:G,2,FALSE)</f>
        <v>SEVROLL Fix pozycjoner wózka górnego transparentny</v>
      </c>
      <c r="D32" s="27"/>
      <c r="E32" s="193">
        <f>+VLOOKUP(B32,cennik!A:G,3,FALSE)</f>
        <v>3.74519</v>
      </c>
      <c r="F32" s="99">
        <f>+E32*D32</f>
        <v>0</v>
      </c>
      <c r="G32" s="98">
        <f>+F32*(100-F21)/100</f>
        <v>0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texty!A111</f>
        <v>pozycjoner</v>
      </c>
      <c r="B33" s="170">
        <f>IF(F4="Gemini",387424,89063)</f>
        <v>89063</v>
      </c>
      <c r="C33" s="475" t="str">
        <f>+VLOOKUP(B33,cennik!A:G,2,FALSE)</f>
        <v>SEVROLL pozycjoner wózka dolnego HI-TEC</v>
      </c>
      <c r="D33" s="27"/>
      <c r="E33" s="193">
        <f>+VLOOKUP(B33,cennik!A:G,3,FALSE)</f>
        <v>1.071</v>
      </c>
      <c r="F33" s="99">
        <f t="shared" ref="F33:F54" si="1">+E33*D33</f>
        <v>0</v>
      </c>
      <c r="G33" s="98">
        <f>+F33*(100-F21)/100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texty!A228</f>
        <v> Tłumienie MINI do 25 kg (para)</v>
      </c>
      <c r="B34" s="170">
        <v>318662</v>
      </c>
      <c r="C34" s="23" t="str">
        <f>+VLOOKUP(B34,cennik!A:G,2,FALSE)</f>
        <v>SEVROLL tłumienie Mini SV25 (14-25kg)</v>
      </c>
      <c r="D34" s="278"/>
      <c r="E34" s="86">
        <f>+VLOOKUP(B34,cennik!A:G,3,FALSE)</f>
        <v>96.889799999999994</v>
      </c>
      <c r="F34" s="91">
        <f>+CEILING(D34,1)*E34</f>
        <v>0</v>
      </c>
      <c r="G34" s="98">
        <f>+F34*(100-F21)/100</f>
        <v>0</v>
      </c>
      <c r="H34" s="22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texty!A229</f>
        <v> Tłumienie MINI do 40 kg (para)</v>
      </c>
      <c r="B35" s="66">
        <v>283956</v>
      </c>
      <c r="C35" s="23" t="str">
        <f>+VLOOKUP(B35,cennik!A:G,2,FALSE)</f>
        <v>SEVROLL tłumienie Mini SV40 (25 - 40kg)</v>
      </c>
      <c r="D35" s="278"/>
      <c r="E35" s="86">
        <f>+VLOOKUP(B35,cennik!A:G,3,FALSE)</f>
        <v>96.889799999999994</v>
      </c>
      <c r="F35" s="91">
        <f>+CEILING(D35,1)*E35</f>
        <v>0</v>
      </c>
      <c r="G35" s="98">
        <f>+F35*(100-F21)/100</f>
        <v>0</v>
      </c>
      <c r="H35" s="22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texty!A230</f>
        <v> Tłumienie MINI do 60 kg (para)</v>
      </c>
      <c r="B36" s="66">
        <v>351743</v>
      </c>
      <c r="C36" s="23" t="str">
        <f>+VLOOKUP(B36,cennik!A:G,2,FALSE)</f>
        <v>SEVROLL tłumienie Mini SV60 (40 - 60kg)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+F36*(100-F21)/100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texty!A231</f>
        <v xml:space="preserve"> Tłumienie do skrzydła środkowego do 25 kg </v>
      </c>
      <c r="B37" s="66">
        <v>318663</v>
      </c>
      <c r="C37" s="23" t="str">
        <f>+VLOOKUP(B37,cennik!A:G,2,FALSE)</f>
        <v>SEVROLL tłumienie Central 10/18mm obustronne 25kg</v>
      </c>
      <c r="D37" s="278"/>
      <c r="E37" s="86">
        <f>+VLOOKUP(B37,cennik!A:G,3,FALSE)</f>
        <v>206.958</v>
      </c>
      <c r="F37" s="91">
        <f>+CEILING(D37,1)*E37</f>
        <v>0</v>
      </c>
      <c r="G37" s="98">
        <f>+F37*(100-F21)/100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texty!A232</f>
        <v xml:space="preserve"> Tłumienie do skrzydła środkowego do 40 kg </v>
      </c>
      <c r="B38" s="66">
        <v>283955</v>
      </c>
      <c r="C38" s="23" t="str">
        <f>+VLOOKUP(B38,cennik!A:G,2,FALSE)</f>
        <v>SEVROLL tłumienie Central 10/18mm obustronne 25-40kg</v>
      </c>
      <c r="D38" s="278"/>
      <c r="E38" s="86">
        <f>+VLOOKUP(B38,cennik!A:G,3,FALSE)</f>
        <v>206.958</v>
      </c>
      <c r="F38" s="91">
        <f>+CEILING(D38,1)*E38</f>
        <v>0</v>
      </c>
      <c r="G38" s="98">
        <f>+F38*(100-F21)/100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" t="str">
        <f>texty!A97</f>
        <v>tłumienie (para)25 kg</v>
      </c>
      <c r="B39" s="66">
        <v>227185</v>
      </c>
      <c r="C39" s="475" t="str">
        <f>+VLOOKUP(B39,cennik!A:G,2,FALSE)</f>
        <v>K-SEVROLL tłumienie 10/18mm 14-25kg L+P</v>
      </c>
      <c r="D39" s="27"/>
      <c r="E39" s="193">
        <f>+VLOOKUP(B39,cennik!A:G,3,FALSE)</f>
        <v>0</v>
      </c>
      <c r="F39" s="99">
        <f>+E39*D39</f>
        <v>0</v>
      </c>
      <c r="G39" s="98">
        <f>+F39*(100-F21)/100</f>
        <v>0</v>
      </c>
      <c r="H39" s="5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" t="str">
        <f>texty!A98</f>
        <v>tłumienie (para) 50 kg</v>
      </c>
      <c r="B40" s="66">
        <v>227187</v>
      </c>
      <c r="C40" s="475" t="str">
        <f>+VLOOKUP(B40,cennik!A:G,2,FALSE)</f>
        <v>K-SEVROLL tłumienie 10/18mm 25-50kg L+P</v>
      </c>
      <c r="D40" s="27"/>
      <c r="E40" s="193">
        <f>+VLOOKUP(B40,cennik!A:G,3,FALSE)</f>
        <v>0</v>
      </c>
      <c r="F40" s="99">
        <f>+E40*D40</f>
        <v>0</v>
      </c>
      <c r="G40" s="98">
        <f>+F40*(100-F21)/100</f>
        <v>0</v>
      </c>
      <c r="H40" s="5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texty!A196</f>
        <v>Klamra szczotki odbojowej</v>
      </c>
      <c r="B41" s="170">
        <v>223569</v>
      </c>
      <c r="C41" s="475" t="str">
        <f>+VLOOKUP(B41,cennik!A:G,2,FALSE)</f>
        <v>SEVROLL klips do szczotki przeciwkurzowej</v>
      </c>
      <c r="D41" s="27"/>
      <c r="E41" s="193">
        <f>+VLOOKUP(B41,cennik!A:G,3,FALSE)</f>
        <v>0.23857999999999999</v>
      </c>
      <c r="F41" s="99">
        <f t="shared" si="1"/>
        <v>0</v>
      </c>
      <c r="G41" s="98">
        <f>+F41*(100-F21)/100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3"/>
    </row>
    <row r="42" spans="1:12" ht="12.75" customHeight="1" x14ac:dyDescent="0.25">
      <c r="A42" s="134" t="str">
        <f>texty!A114</f>
        <v>profil łączący H18-3metry</v>
      </c>
      <c r="B42" s="170" t="e">
        <f>+VLOOKUP(P7,data!C577:D587,2,0)</f>
        <v>#N/A</v>
      </c>
      <c r="C42" s="475" t="e">
        <f>+VLOOKUP(B42,cennik!A:G,2,FALSE)</f>
        <v>#N/A</v>
      </c>
      <c r="D42" s="27"/>
      <c r="E42" s="193" t="e">
        <f>+VLOOKUP(B42,cennik!A:G,3,FALSE)</f>
        <v>#N/A</v>
      </c>
      <c r="F42" s="99" t="e">
        <f t="shared" si="1"/>
        <v>#N/A</v>
      </c>
      <c r="G42" s="98" t="e">
        <f>+F42*(100-F21)/100</f>
        <v>#N/A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134" t="str">
        <f>texty!A115</f>
        <v>Teownik -3metry</v>
      </c>
      <c r="B43" s="170" t="e">
        <f>+VLOOKUP(P7,data!C589:D598,2,0)</f>
        <v>#N/A</v>
      </c>
      <c r="C43" s="475" t="e">
        <f>IF(B43=data!D64,texty!A239,+VLOOKUP(B43,cennik!A:G,2,FALSE))</f>
        <v>#N/A</v>
      </c>
      <c r="D43" s="27"/>
      <c r="E43" s="86" t="e">
        <f>IF(B43=data!D73,0,+VLOOKUP(B43,cennik!A:G,3,FALSE))</f>
        <v>#N/A</v>
      </c>
      <c r="F43" s="86" t="e">
        <f t="shared" si="1"/>
        <v>#N/A</v>
      </c>
      <c r="G43" s="98" t="e">
        <f>+F43*(100-F21)/100</f>
        <v>#N/A</v>
      </c>
      <c r="H43" s="22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texty!A116</f>
        <v>Teownik decor -3metry</v>
      </c>
      <c r="B44" s="170" t="e">
        <f>+VLOOKUP(P7,data!C599:D608,2,0)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+F44*(100-F21)/100</f>
        <v>#N/A</v>
      </c>
      <c r="H44" s="22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texty!A117</f>
        <v>"U" profil na DTD 18mm- 3 metry /gładki/</v>
      </c>
      <c r="B45" s="292" t="e">
        <f>+VLOOKUP(P7,data!C609:D619,2,0)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+F45*(100-F21)/100</f>
        <v>#N/A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texty!A118</f>
        <v>"U" profil na DTD 18mm- 3 metry</v>
      </c>
      <c r="B46" s="170" t="e">
        <f>+VLOOKUP(P7,data!C619:D629,2,0)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+F46*(100-F21)/100</f>
        <v>#N/A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134" t="str">
        <f>texty!A119</f>
        <v>kątownik mini 11x17mm - 1,7m</v>
      </c>
      <c r="B47" s="292" t="e">
        <f>+VLOOKUP(P7,data!C630:D640,2,0)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>+E47*D47</f>
        <v>#N/A</v>
      </c>
      <c r="G47" s="98" t="e">
        <f>+F47*(100-F21)/100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texty!A120</f>
        <v>kątownik mini 11x17mm - 2,35m</v>
      </c>
      <c r="B48" s="292" t="e">
        <f>+VLOOKUP(P7,data!C642:D652,2,0)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+F48*(100-F21)/100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texty!A121</f>
        <v>kątownik mini 11x17mm - 3,00m</v>
      </c>
      <c r="B49" s="482" t="e">
        <f>+VLOOKUP(P7,data!C654:D664,2,0)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+F49*(100-F21)/100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texty!A122</f>
        <v>kątownik K2 19x18mm - 1,7m</v>
      </c>
      <c r="B50" s="66" t="e">
        <f>+VLOOKUP(P7,data!C666:D675,2,0)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+F50*(100-F21)/100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texty!A123</f>
        <v>kątownik K2 19x18mm - 2,35m</v>
      </c>
      <c r="B51" s="170" t="e">
        <f>+VLOOKUP(P7,data!C676:D685,2,0)</f>
        <v>#N/A</v>
      </c>
      <c r="C51" s="475" t="e">
        <f>IF(B51=data!D64,texty!A239,+VLOOKUP(B51,cennik!A:G,2,FALSE))</f>
        <v>#N/A</v>
      </c>
      <c r="D51" s="28"/>
      <c r="E51" s="86" t="e">
        <f>IF(B51=data!D73,0,+VLOOKUP(B51,cennik!A:G,3,FALSE))</f>
        <v>#N/A</v>
      </c>
      <c r="F51" s="86" t="e">
        <f t="shared" si="1"/>
        <v>#N/A</v>
      </c>
      <c r="G51" s="98" t="e">
        <f>+F51*(100-F21)/100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texty!A124</f>
        <v>kątownik K2 19x18mm - 3,00m</v>
      </c>
      <c r="B52" s="170" t="e">
        <f>+VLOOKUP(P7,data!C686:D695,2,0)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+F52*(100-F21)/100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320" t="str">
        <f>texty!A240</f>
        <v>zamek do drzwi przesuwnych</v>
      </c>
      <c r="B53" s="66">
        <v>216363</v>
      </c>
      <c r="C53" s="475" t="str">
        <f>+VLOOKUP(B53,cennik!A:G,2,FALSE)</f>
        <v>SEVROLL zamek do drzwi przesuwnych 10/18mm</v>
      </c>
      <c r="D53" s="27"/>
      <c r="E53" s="193">
        <f>+VLOOKUP(B53,cennik!A:G,3,FALSE)</f>
        <v>66.840599999999995</v>
      </c>
      <c r="F53" s="99">
        <f t="shared" si="1"/>
        <v>0</v>
      </c>
      <c r="G53" s="98">
        <f>+F53*(100-F21)/100</f>
        <v>0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" t="str">
        <f>texty!A112</f>
        <v>szczotka przeciwkurzowa samoprzylepna</v>
      </c>
      <c r="B54" s="66">
        <v>308639</v>
      </c>
      <c r="C54" s="23" t="str">
        <f>+VLOOKUP(B54,cennik!A:G,2,FALSE)</f>
        <v>SEVROLL szczotka przeciwkurzowa z klejem 6,7x13mm szara</v>
      </c>
      <c r="D54" s="27"/>
      <c r="E54" s="193">
        <f>+VLOOKUP(B54,cennik!A:G,3,FALSE)</f>
        <v>1.2647999999999999</v>
      </c>
      <c r="F54" s="99">
        <f t="shared" si="1"/>
        <v>0</v>
      </c>
      <c r="G54" s="98">
        <f>+F54*(100-F21)/100</f>
        <v>0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6"/>
      <c r="B55" s="22"/>
      <c r="C55" s="23"/>
      <c r="D55" s="210"/>
      <c r="E55" s="193"/>
      <c r="F55" s="99"/>
      <c r="G55" s="98"/>
      <c r="H55" s="5"/>
      <c r="I55" s="166"/>
      <c r="J55" s="174"/>
      <c r="L55" s="5"/>
    </row>
    <row r="56" spans="1:14" ht="15" x14ac:dyDescent="0.25">
      <c r="A56" s="209" t="str">
        <f>texty!A190</f>
        <v xml:space="preserve">tutaj można znaleźć inne akcesoria </v>
      </c>
      <c r="B56" s="210"/>
      <c r="C56" s="210"/>
      <c r="D56" s="210"/>
      <c r="E56" s="210"/>
      <c r="F56" s="210"/>
      <c r="G56" s="210"/>
      <c r="H56" s="210"/>
      <c r="I56" s="210"/>
      <c r="J56" s="210"/>
      <c r="K56" s="126"/>
      <c r="L56" s="5"/>
    </row>
    <row r="57" spans="1:14" ht="12.75" customHeight="1" x14ac:dyDescent="0.25">
      <c r="A57" s="209" t="str">
        <f>texty!A244</f>
        <v>rysunek techniczny tego systemu</v>
      </c>
      <c r="C57" s="36"/>
      <c r="D57" s="73" t="str">
        <f>+Faworyt!D61</f>
        <v>w sumie (bez VAT)</v>
      </c>
      <c r="E57" s="109"/>
      <c r="F57" s="110" t="e">
        <f>SUM(F23:F54)</f>
        <v>#N/A</v>
      </c>
      <c r="G57" s="110" t="e">
        <f>SUM(G23:G54)</f>
        <v>#N/A</v>
      </c>
      <c r="H57" s="5" t="str">
        <f>cennik!B2</f>
        <v>zł</v>
      </c>
      <c r="L57" s="5"/>
    </row>
    <row r="58" spans="1:14" ht="12.75" customHeight="1" x14ac:dyDescent="0.25">
      <c r="A58" s="70" t="str">
        <f>System10!A67</f>
        <v>Uwagi</v>
      </c>
      <c r="B58" s="712"/>
      <c r="C58" s="713"/>
      <c r="D58" s="713"/>
      <c r="E58" s="713"/>
      <c r="F58" s="713"/>
      <c r="G58" s="714"/>
      <c r="H58" s="5"/>
      <c r="L58" s="5"/>
    </row>
    <row r="59" spans="1:14" ht="12.75" customHeight="1" x14ac:dyDescent="0.25">
      <c r="A59" s="711" t="str">
        <f>profil!U15</f>
        <v/>
      </c>
      <c r="B59" s="697"/>
      <c r="C59" s="697"/>
      <c r="D59" s="697"/>
      <c r="E59" s="697"/>
      <c r="F59" s="697"/>
      <c r="G59" s="697"/>
      <c r="H59" s="697"/>
      <c r="L59" s="5"/>
    </row>
    <row r="60" spans="1:14" ht="12.75" customHeight="1" x14ac:dyDescent="0.25">
      <c r="A60" s="698" t="str">
        <f>IF(N60=1,texty!A215,IF(J60&gt;0,texty!A214,""))</f>
        <v>niektóre elementy nie są produkowane w wybranej długości</v>
      </c>
      <c r="B60" s="698"/>
      <c r="C60" s="698"/>
      <c r="D60" s="698"/>
      <c r="E60" s="698"/>
      <c r="F60" s="698"/>
      <c r="G60" s="698"/>
      <c r="H60" s="698"/>
      <c r="J60" s="5" t="e">
        <f>SUM(J23:J54)</f>
        <v>#N/A</v>
      </c>
      <c r="L60" s="5"/>
      <c r="N60" s="4">
        <f>IF(ISERROR(J60),1,0)</f>
        <v>1</v>
      </c>
    </row>
    <row r="61" spans="1:14" ht="12.75" hidden="1" customHeight="1" x14ac:dyDescent="0.25">
      <c r="A61" s="59"/>
      <c r="L61" s="5"/>
    </row>
    <row r="62" spans="1:14" ht="12.75" hidden="1" customHeight="1" x14ac:dyDescent="0.25">
      <c r="L62" s="4" t="str">
        <f>texty!A128</f>
        <v>srebrny</v>
      </c>
      <c r="M62" s="19" t="s">
        <v>968</v>
      </c>
    </row>
    <row r="63" spans="1:14" ht="12.75" hidden="1" customHeight="1" x14ac:dyDescent="0.25">
      <c r="M63" s="19" t="s">
        <v>42</v>
      </c>
    </row>
  </sheetData>
  <sheetProtection algorithmName="SHA-512" hashValue="Ik2ISYlsUOKCFt4FbsEDoE1d91GsuDhhpEyf1R7yxtx2A92vYvek7G+auKt3opIDRA7QAQwbr48FQwU1NX2/yA==" saltValue="nMjyUvJqSCm/RDlBZM88SQ==" spinCount="100000" sheet="1" objects="1" scenarios="1"/>
  <mergeCells count="7">
    <mergeCell ref="A60:H60"/>
    <mergeCell ref="B5:E5"/>
    <mergeCell ref="A59:H59"/>
    <mergeCell ref="B58:G58"/>
    <mergeCell ref="G4:I6"/>
    <mergeCell ref="I16:I17"/>
    <mergeCell ref="A11:B13"/>
  </mergeCells>
  <conditionalFormatting sqref="A11">
    <cfRule type="expression" dxfId="52" priority="3">
      <formula>SUM($D$37:$D$38)&gt;0</formula>
    </cfRule>
  </conditionalFormatting>
  <conditionalFormatting sqref="D6">
    <cfRule type="expression" dxfId="50" priority="7">
      <formula>$D$4=4</formula>
    </cfRule>
    <cfRule type="expression" dxfId="49" priority="8">
      <formula>$D$4&lt;&gt;4</formula>
    </cfRule>
  </conditionalFormatting>
  <conditionalFormatting sqref="G4">
    <cfRule type="expression" dxfId="48" priority="6">
      <formula>$D$4=4</formula>
    </cfRule>
  </conditionalFormatting>
  <conditionalFormatting sqref="I14">
    <cfRule type="expression" dxfId="47" priority="5">
      <formula>$F$4=$M$63</formula>
    </cfRule>
  </conditionalFormatting>
  <conditionalFormatting sqref="I16:I17">
    <cfRule type="expression" dxfId="46" priority="41">
      <formula>$F$4=$M$62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 F5" xr:uid="{00000000-0002-0000-1E00-000002000000}">
      <formula1>"stříbrná,zlatá,oliva"</formula1>
      <formula2>0</formula2>
    </dataValidation>
    <dataValidation type="whole" allowBlank="1" showInputMessage="1" showErrorMessage="1" errorTitle="Nelze" error="Max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A23:I54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61.88671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-8.8000000000000007</v>
      </c>
    </row>
    <row r="2" spans="1:16" ht="18.75" customHeight="1" x14ac:dyDescent="0.25">
      <c r="A2" s="405" t="s">
        <v>79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Katalog Okuć meblowych 2024 str. 7.41</v>
      </c>
      <c r="B3" s="318" t="str">
        <f>CONCATENATE(texty!A34," / max.        2 742 mm /")</f>
        <v>wysokość / max.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318" t="str">
        <f>texty!A38</f>
        <v>rodzaj toru dolnego</v>
      </c>
      <c r="G3" s="5"/>
      <c r="H3" s="5"/>
      <c r="L3" s="5"/>
    </row>
    <row r="4" spans="1:16" ht="18" customHeight="1" x14ac:dyDescent="0.25">
      <c r="A4" s="9" t="str">
        <f>texty!A70</f>
        <v>WEWNĘTRZNY ROZMIAR SZAFY: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wypełnij 5 pól !!!!! informacje w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texty!A47</f>
        <v>skrzydło drzwi:</v>
      </c>
      <c r="B7" s="53" t="str">
        <f>IF(B4&gt;0,B4-42,"")</f>
        <v/>
      </c>
      <c r="C7" s="55" t="str">
        <f>IFERROR((((C4-3+32*(D4-1))/D4+IF(AND(D4=4,D6=2),M1,0))),"")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rozmiar lustra / na DTD 12mm/</v>
      </c>
      <c r="B10" s="57" t="str">
        <f>IFERROR((B8-4),"")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długość rączki (+ 2 mm 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IFERROR((IF(B7&gt;2400,texty!A194,IF(C7&gt;700,texty!A194,""))),"")</f>
        <v>Maksymalny wymiar skrzydła w lustrze 2400x700mm</v>
      </c>
      <c r="C12" s="80"/>
      <c r="D12" s="7"/>
      <c r="H12" s="5"/>
      <c r="L12" s="5"/>
    </row>
    <row r="13" spans="1:16" ht="26.4" x14ac:dyDescent="0.25">
      <c r="A13" s="683" t="str">
        <f>IF(SUM(D39:D40)&gt;0,texty!A246,"")</f>
        <v/>
      </c>
      <c r="B13" s="683"/>
      <c r="C13" s="605" t="str">
        <f>texty!A78</f>
        <v>dodatkowe zmniejszenie wysokośći wyliczonych wypełnień przy wykorzystaniu profili dzielących:</v>
      </c>
      <c r="D13" s="7"/>
      <c r="G13" s="5"/>
      <c r="L13" s="31"/>
    </row>
    <row r="14" spans="1:16" ht="32.25" customHeight="1" x14ac:dyDescent="0.25">
      <c r="A14" s="683"/>
      <c r="B14" s="683"/>
      <c r="C14" s="392"/>
      <c r="D14" s="7"/>
      <c r="G14" s="5"/>
      <c r="L14" s="31"/>
    </row>
    <row r="15" spans="1:16" ht="13.2" x14ac:dyDescent="0.25">
      <c r="A15" s="6"/>
      <c r="B15" s="54"/>
      <c r="C15" s="392"/>
      <c r="D15" s="7"/>
      <c r="G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+System10!G25</f>
        <v>partnerska zniżka:</v>
      </c>
      <c r="H22" s="5"/>
      <c r="L22" s="5"/>
    </row>
    <row r="23" spans="1:12" ht="12.75" customHeight="1" x14ac:dyDescent="0.25">
      <c r="A23" s="12" t="str">
        <f>texty!A80</f>
        <v>Kody zamówieniowe,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B24" s="76" t="str">
        <f>texty!A276</f>
        <v>kod</v>
      </c>
      <c r="C24" s="76" t="str">
        <f>+System10!C27</f>
        <v>nazwa</v>
      </c>
      <c r="D24" s="76" t="str">
        <f>+System10!D27</f>
        <v>szt.</v>
      </c>
      <c r="E24" s="76" t="str">
        <f>+System10!E27</f>
        <v>cena/szt.</v>
      </c>
      <c r="F24" s="16" t="str">
        <f>+System10!F27</f>
        <v>cena w sumie</v>
      </c>
      <c r="G24" s="16" t="str">
        <f>+System10!G27</f>
        <v>w sumie netto:</v>
      </c>
      <c r="H24" s="16"/>
      <c r="I24" s="16" t="str">
        <f>texty!A29</f>
        <v>Uwagi:</v>
      </c>
      <c r="J24" s="16"/>
      <c r="L24" s="16"/>
    </row>
    <row r="25" spans="1:12" ht="12.75" customHeight="1" x14ac:dyDescent="0.25">
      <c r="A25" s="6" t="str">
        <f>+Faworyt!A26</f>
        <v>tor górny:</v>
      </c>
      <c r="B25" s="292" t="e">
        <f>+VLOOKUP(O8,data!C211:D230,2,0)</f>
        <v>#N/A</v>
      </c>
      <c r="C25" s="46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Tor dolny</v>
      </c>
      <c r="B26" s="292" t="e">
        <f>+VLOOKUP(O6,data!C4:D83,2,0)</f>
        <v>#N/A</v>
      </c>
      <c r="C26" s="46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profil maskujący (maskownica):</v>
      </c>
      <c r="B27" s="292" t="e">
        <f>+VLOOKUP(O6,data!C115:D210,2,0)</f>
        <v>#N/A</v>
      </c>
      <c r="C27" s="467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górne wózki</v>
      </c>
      <c r="B28" s="66">
        <v>228023</v>
      </c>
      <c r="C28" s="465" t="str">
        <f>+VLOOKUP(B28,cennik!A:G,2,FALSE)</f>
        <v>SEVROLL Focus wózek górny 18mm 2szt</v>
      </c>
      <c r="D28" s="15">
        <f>IF((D42+D41)&gt;D4,0,D4-(D41+D42))</f>
        <v>0</v>
      </c>
      <c r="E28" s="193">
        <f>+VLOOKUP(B28,cennik!A:G,3,FALSE)</f>
        <v>13.907170000000001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dolne wózki</v>
      </c>
      <c r="B29" s="170">
        <f>IF(F4=M62,362316,229440)</f>
        <v>229440</v>
      </c>
      <c r="C29" s="465" t="str">
        <f>+VLOOKUP(B29,cennik!A:G,2,FALSE)</f>
        <v>SEVROLL wózek dolny WD 18C HI-TEC - 2szt</v>
      </c>
      <c r="D29" s="15">
        <f>+D4</f>
        <v>0</v>
      </c>
      <c r="E29" s="193">
        <f>+VLOOKUP(B29,cennik!A:G,3,FALSE)</f>
        <v>17.546399999999998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szczotka odbojowa</v>
      </c>
      <c r="B30" s="170">
        <v>229433</v>
      </c>
      <c r="C30" s="465" t="str">
        <f>+VLOOKUP(B30,cennik!A:G,2,FALSE)</f>
        <v>SEVROLL szczotka odbojowa bez kleju 4,8x4mm</v>
      </c>
      <c r="D30" s="15">
        <f>CEILING((B4*D4*2/1000),1)</f>
        <v>0</v>
      </c>
      <c r="E30" s="193">
        <f>+VLOOKUP(B30,cennik!A:G,3,FALSE)</f>
        <v>0.35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rączka</v>
      </c>
      <c r="B31" s="170" t="e">
        <f>+VLOOKUP(P7,data!C735:D736,2,0)</f>
        <v>#N/A</v>
      </c>
      <c r="C31" s="46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467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Akcesoria:</v>
      </c>
      <c r="B33" s="114"/>
      <c r="C33" s="483"/>
      <c r="D33" s="370" t="str">
        <f>Faworyt!D34</f>
        <v>podaj ilość</v>
      </c>
      <c r="E33" s="124"/>
      <c r="F33" s="124"/>
      <c r="G33" s="125"/>
      <c r="H33" s="119"/>
      <c r="I33" s="363" t="str">
        <f>IFERROR(IF((VLOOKUP(B33,cennik!A:L,12,0))="O",texty!A250,""),"")</f>
        <v/>
      </c>
      <c r="J33" s="174"/>
      <c r="L33" s="119"/>
    </row>
    <row r="34" spans="1:12" ht="12.75" customHeight="1" x14ac:dyDescent="0.25">
      <c r="A34" s="67" t="str">
        <f>texty!A88</f>
        <v>pozycjoner wózka górnego</v>
      </c>
      <c r="B34" s="170">
        <v>298035</v>
      </c>
      <c r="C34" s="46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+F34*(100-G23)/100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67" t="str">
        <f>texty!A111</f>
        <v>pozycjoner</v>
      </c>
      <c r="B35" s="170">
        <f>IF(F4="Gemini",387424,89063)</f>
        <v>89063</v>
      </c>
      <c r="C35" s="46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67" t="str">
        <f>texty!A228</f>
        <v> Tłumienie MINI do 25 kg (para)</v>
      </c>
      <c r="B36" s="170">
        <v>318662</v>
      </c>
      <c r="C36" s="467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+F36*(100-G23)/100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67" t="str">
        <f>texty!A229</f>
        <v> Tłumienie MINI do 40 kg (para)</v>
      </c>
      <c r="B37" s="66">
        <v>283956</v>
      </c>
      <c r="C37" s="467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+F37*(100-G23)/100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67" t="str">
        <f>texty!A230</f>
        <v> Tłumienie MINI do 60 kg (para)</v>
      </c>
      <c r="B38" s="66">
        <v>351743</v>
      </c>
      <c r="C38" s="467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+F38*(100-G23)/100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7" t="str">
        <f>texty!A231</f>
        <v xml:space="preserve"> Tłumienie do skrzydła środkowego do 25 kg </v>
      </c>
      <c r="B39" s="66">
        <v>318663</v>
      </c>
      <c r="C39" s="467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+F39*(100-G23)/100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7" t="str">
        <f>texty!A232</f>
        <v xml:space="preserve"> Tłumienie do skrzydła środkowego do 40 kg </v>
      </c>
      <c r="B40" s="66">
        <v>283955</v>
      </c>
      <c r="C40" s="467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+F40*(100-G23)/100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</row>
    <row r="41" spans="1:12" ht="12.75" customHeight="1" x14ac:dyDescent="0.25">
      <c r="A41" s="67" t="str">
        <f>texty!A97</f>
        <v>tłumienie (para)25 kg</v>
      </c>
      <c r="B41" s="66">
        <v>227185</v>
      </c>
      <c r="C41" s="46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</row>
    <row r="42" spans="1:12" ht="12.75" customHeight="1" x14ac:dyDescent="0.25">
      <c r="A42" s="67" t="str">
        <f>texty!A98</f>
        <v>tłumienie (para) 50 kg</v>
      </c>
      <c r="B42" s="66">
        <v>227187</v>
      </c>
      <c r="C42" s="46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67" t="str">
        <f>texty!A196</f>
        <v>Klamra szczotki odbojowej</v>
      </c>
      <c r="B43" s="170">
        <v>223569</v>
      </c>
      <c r="C43" s="46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+F43*(100-G23)/100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67" t="str">
        <f>texty!A114</f>
        <v>profil łączący H18-3metry</v>
      </c>
      <c r="B44" s="170" t="e">
        <f>+VLOOKUP(P7,data!C577:D587,2,0)</f>
        <v>#N/A</v>
      </c>
      <c r="C44" s="46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67" t="str">
        <f>texty!A115</f>
        <v>Teownik -3metry</v>
      </c>
      <c r="B45" s="170" t="e">
        <f>+VLOOKUP(P7,data!C589:D598,2,0)</f>
        <v>#N/A</v>
      </c>
      <c r="C45" s="46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67" t="str">
        <f>texty!A116</f>
        <v>Teownik decor -3metry</v>
      </c>
      <c r="B46" s="170" t="e">
        <f>+VLOOKUP(P7,data!C599:D608,2,0)</f>
        <v>#N/A</v>
      </c>
      <c r="C46" s="46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67" t="str">
        <f>texty!A117</f>
        <v>"U" profil na DTD 18mm- 3 metry /gładki/</v>
      </c>
      <c r="B47" s="292" t="e">
        <f>+VLOOKUP(P7,data!C609:D619,2,0)</f>
        <v>#N/A</v>
      </c>
      <c r="C47" s="46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3"/>
    </row>
    <row r="48" spans="1:12" ht="12.75" customHeight="1" x14ac:dyDescent="0.25">
      <c r="A48" s="67" t="str">
        <f>texty!A118</f>
        <v>"U" profil na DTD 18mm- 3 metry</v>
      </c>
      <c r="B48" s="170" t="e">
        <f>+VLOOKUP(P7,data!C619:D629,2,0)</f>
        <v>#N/A</v>
      </c>
      <c r="C48" s="46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3"/>
    </row>
    <row r="49" spans="1:14" ht="12.75" customHeight="1" x14ac:dyDescent="0.25">
      <c r="A49" s="67" t="str">
        <f>texty!A119</f>
        <v>kątownik mini 11x17mm - 1,7m</v>
      </c>
      <c r="B49" s="292" t="e">
        <f>+VLOOKUP(P7,data!C630:D640,2,0)</f>
        <v>#N/A</v>
      </c>
      <c r="C49" s="46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67" t="str">
        <f>texty!A120</f>
        <v>kątownik mini 11x17mm - 2,35m</v>
      </c>
      <c r="B50" s="292" t="e">
        <f>+VLOOKUP(P7,data!C642:D652,2,0)</f>
        <v>#N/A</v>
      </c>
      <c r="C50" s="46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67" t="str">
        <f>texty!A121</f>
        <v>kątownik mini 11x17mm - 3,00m</v>
      </c>
      <c r="B51" s="482" t="e">
        <f>+VLOOKUP(P7,data!C654:D664,2,0)</f>
        <v>#N/A</v>
      </c>
      <c r="C51" s="46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67" t="str">
        <f>texty!A122</f>
        <v>kątownik K2 19x18mm - 1,7m</v>
      </c>
      <c r="B52" s="66" t="e">
        <f>+VLOOKUP(P7,data!C666:D675,2,0)</f>
        <v>#N/A</v>
      </c>
      <c r="C52" s="46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67" t="str">
        <f>texty!A123</f>
        <v>kątownik K2 19x18mm - 2,35m</v>
      </c>
      <c r="B53" s="170" t="e">
        <f>+VLOOKUP(P7,data!C676:D685,2,0)</f>
        <v>#N/A</v>
      </c>
      <c r="C53" s="46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7" t="str">
        <f>texty!A124</f>
        <v>kątownik K2 19x18mm - 3,00m</v>
      </c>
      <c r="B54" s="170" t="e">
        <f>+VLOOKUP(P7,data!C686:D695,2,0)</f>
        <v>#N/A</v>
      </c>
      <c r="C54" s="46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zacisk do dylatacji wypełnienia 16 mm</v>
      </c>
      <c r="B55" s="170">
        <v>308631</v>
      </c>
      <c r="C55" s="465" t="str">
        <f>+VLOOKUP(B55,cennik!A:G,2,FALSE)</f>
        <v>SEVROLL klin do płyty laminowanej grubość 2 mm (100 szt.)</v>
      </c>
      <c r="D55" s="27"/>
      <c r="E55" s="193">
        <f>+VLOOKUP(B55,cennik!A:G,3,FALSE)</f>
        <v>30.24597</v>
      </c>
      <c r="F55" s="99">
        <f t="shared" si="1"/>
        <v>0</v>
      </c>
      <c r="G55" s="98">
        <f>+F55*(100-G23)/100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7" t="str">
        <f>texty!A240</f>
        <v>zamek do drzwi przesuwnych</v>
      </c>
      <c r="B56" s="66">
        <v>216363</v>
      </c>
      <c r="C56" s="465" t="str">
        <f>+VLOOKUP(B56,cennik!A:G,2,FALSE)</f>
        <v>SEVROLL zamek do drzwi przesuwnych 10/18mm</v>
      </c>
      <c r="D56" s="27"/>
      <c r="E56" s="193">
        <f>+VLOOKUP(B56,cennik!A:G,3,FALSE)</f>
        <v>66.840599999999995</v>
      </c>
      <c r="F56" s="99">
        <f t="shared" si="1"/>
        <v>0</v>
      </c>
      <c r="G56" s="98">
        <f>+F56*(100-G23)/100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7" t="str">
        <f>texty!A112</f>
        <v>szczotka przeciwkurzowa samoprzylepna</v>
      </c>
      <c r="B57" s="66">
        <v>308639</v>
      </c>
      <c r="C57" s="467" t="str">
        <f>+VLOOKUP(B57,cennik!A:G,2,FALSE)</f>
        <v>SEVROLL szczotka przeciwkurzowa z klejem 6,7x13mm szara</v>
      </c>
      <c r="D57" s="27"/>
      <c r="E57" s="193">
        <f>+VLOOKUP(B57,cennik!A:G,3,FALSE)</f>
        <v>1.2647999999999999</v>
      </c>
      <c r="F57" s="99">
        <f t="shared" si="1"/>
        <v>0</v>
      </c>
      <c r="G57" s="98">
        <f>+F57*(100-G23)/100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 xml:space="preserve">tutaj można znaleźć inne akcesoria 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rysunek techniczny tego systemu</v>
      </c>
      <c r="B60" s="15"/>
      <c r="C60" s="23"/>
      <c r="D60" s="71" t="str">
        <f>Faworyt!D61</f>
        <v>w sumie (bez VAT)</v>
      </c>
      <c r="E60" s="108"/>
      <c r="F60" s="111" t="e">
        <f>SUM(F25:F57)</f>
        <v>#N/A</v>
      </c>
      <c r="G60" s="112" t="e">
        <f>SUM(G25:G57)</f>
        <v>#N/A</v>
      </c>
      <c r="H60" s="5" t="str">
        <f>cennik!B2</f>
        <v>zł</v>
      </c>
      <c r="L60" s="5"/>
    </row>
    <row r="61" spans="1:14" ht="12.75" customHeight="1" x14ac:dyDescent="0.25">
      <c r="A61" s="70" t="str">
        <f>System10!A67</f>
        <v>Uwagi</v>
      </c>
      <c r="B61" s="712"/>
      <c r="C61" s="713"/>
      <c r="D61" s="713"/>
      <c r="E61" s="713"/>
      <c r="F61" s="713"/>
      <c r="G61" s="714"/>
      <c r="H61" s="5"/>
      <c r="L61" s="5"/>
    </row>
    <row r="62" spans="1:14" ht="12.75" customHeight="1" x14ac:dyDescent="0.25">
      <c r="A62" s="711" t="str">
        <f>profil!U15</f>
        <v/>
      </c>
      <c r="B62" s="697"/>
      <c r="C62" s="697"/>
      <c r="D62" s="697"/>
      <c r="E62" s="697"/>
      <c r="F62" s="697"/>
      <c r="G62" s="697"/>
      <c r="H62" s="697"/>
      <c r="L62" s="5" t="str">
        <f>texty!A128</f>
        <v>srebrny</v>
      </c>
      <c r="M62" s="19" t="s">
        <v>968</v>
      </c>
    </row>
    <row r="63" spans="1:14" ht="12.75" customHeight="1" x14ac:dyDescent="0.25">
      <c r="A63" s="698" t="str">
        <f>IF(N63=1,texty!A215,IF(J63&gt;0,texty!A214,""))</f>
        <v>niektóre elementy nie są produkowane w wybranej długości</v>
      </c>
      <c r="B63" s="698"/>
      <c r="C63" s="698"/>
      <c r="D63" s="698"/>
      <c r="E63" s="698"/>
      <c r="F63" s="698"/>
      <c r="G63" s="698"/>
      <c r="H63" s="698"/>
      <c r="J63" s="5" t="e">
        <f>SUM(J25:J57)</f>
        <v>#N/A</v>
      </c>
      <c r="L63" s="5" t="str">
        <f>texty!A130</f>
        <v>j.brąz</v>
      </c>
      <c r="M63" s="19" t="s">
        <v>42</v>
      </c>
      <c r="N63" s="4">
        <f>IF(ISERROR(J63),1,0)</f>
        <v>1</v>
      </c>
    </row>
    <row r="64" spans="1:14" ht="12.75" hidden="1" customHeight="1" x14ac:dyDescent="0.25">
      <c r="A64" s="59"/>
    </row>
  </sheetData>
  <sheetProtection algorithmName="SHA-512" hashValue="5yAirPafVRiJfJ5tTg65WsTt21PimH9gJQUrbqoXyv3N8IriHW/ybOftTjsgykvKkTH8AG3mxxJVHEeC+1l3Bg==" saltValue="w5hM0uJpIlZ3+vGxf6m6X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A13">
    <cfRule type="expression" dxfId="45" priority="3">
      <formula>SUM($D$39:$D$40)&gt;0</formula>
    </cfRule>
  </conditionalFormatting>
  <conditionalFormatting sqref="D6">
    <cfRule type="expression" dxfId="43" priority="9">
      <formula>$D$4=4</formula>
    </cfRule>
    <cfRule type="expression" dxfId="42" priority="10">
      <formula>$D$4&lt;&gt;4</formula>
    </cfRule>
  </conditionalFormatting>
  <conditionalFormatting sqref="G4">
    <cfRule type="expression" dxfId="41" priority="8">
      <formula>$D$4=4</formula>
    </cfRule>
  </conditionalFormatting>
  <conditionalFormatting sqref="I16:I17">
    <cfRule type="expression" dxfId="40" priority="4">
      <formula>$F$4=$M$63</formula>
    </cfRule>
  </conditionalFormatting>
  <conditionalFormatting sqref="I18:I19">
    <cfRule type="expression" dxfId="39" priority="5">
      <formula>$F$4=$M$62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 F5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7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44140625" style="4" customWidth="1"/>
    <col min="2" max="2" width="16.332031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-5.8</v>
      </c>
    </row>
    <row r="2" spans="1:21" ht="18.75" customHeight="1" x14ac:dyDescent="0.25">
      <c r="A2" s="405" t="s">
        <v>853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21" ht="40.5" customHeight="1" thickBot="1" x14ac:dyDescent="0.3">
      <c r="A3" s="582" t="str">
        <f>CONCATENATE(texty!A243," ",7,".",54)</f>
        <v>Katalog Okuć meblowych 2024 str. 7.54</v>
      </c>
      <c r="B3" s="318" t="str">
        <f>CONCATENATE(texty!A34," / max.        2 742 mm /")</f>
        <v>wysokość / max.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7"/>
      <c r="G3" s="5"/>
      <c r="H3" s="5"/>
      <c r="L3" s="5"/>
      <c r="M3" s="15"/>
      <c r="N3" s="19"/>
      <c r="O3" s="15"/>
    </row>
    <row r="4" spans="1:21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7"/>
      <c r="G4" s="695"/>
      <c r="H4" s="695"/>
      <c r="I4" s="695"/>
      <c r="K4" s="173"/>
      <c r="L4" s="7"/>
      <c r="M4" s="15"/>
      <c r="N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wypełnij 4 pola !!!! Informacje w mm</v>
      </c>
      <c r="C5" s="715"/>
      <c r="D5" s="715"/>
      <c r="E5" s="715"/>
      <c r="F5" s="366"/>
      <c r="G5" s="695"/>
      <c r="H5" s="695"/>
      <c r="I5" s="695"/>
      <c r="K5" s="173"/>
      <c r="L5" s="3"/>
      <c r="M5" s="15"/>
      <c r="N5" s="4" t="str">
        <f>N8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/>
      <c r="R6" s="684"/>
      <c r="S6" s="684"/>
      <c r="T6" s="684"/>
      <c r="U6" s="684"/>
    </row>
    <row r="7" spans="1:21" ht="12.75" customHeight="1" x14ac:dyDescent="0.25">
      <c r="A7" s="9" t="str">
        <f>texty!A71</f>
        <v>skrzydło drzwi:</v>
      </c>
      <c r="B7" s="53" t="str">
        <f>IF(B4&gt;0,B4-42,"")</f>
        <v/>
      </c>
      <c r="C7" s="55" t="str">
        <f>IFERROR((((C4-3+20*(D4-1))/D4+IF(AND(D4=4,D6=2),M1,0))),"")</f>
        <v/>
      </c>
      <c r="D7" s="7"/>
      <c r="E7" s="7"/>
      <c r="F7" s="7"/>
      <c r="G7" s="46"/>
      <c r="H7" s="5"/>
      <c r="L7" s="5"/>
      <c r="N7" s="15">
        <f>IF(C4&lt;1701,1700,IF(C4&lt;2351,2350,IF(C4&lt;3001,3000,IF(C4&lt;4051,4050,6000))))</f>
        <v>1700</v>
      </c>
      <c r="O7" s="19">
        <f>+E4</f>
        <v>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texty!A72</f>
        <v>rozmiar wypełnienia 10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texty!A43</f>
        <v>Maksymalna waga skrzydła to 50 kg</v>
      </c>
      <c r="H8" s="5"/>
      <c r="L8" s="5"/>
      <c r="N8" s="21" t="str">
        <f>CONCATENATE(N7,"-",E4)</f>
        <v>1700-</v>
      </c>
      <c r="O8" s="19"/>
      <c r="P8" s="19"/>
      <c r="R8" s="147"/>
    </row>
    <row r="9" spans="1:21" ht="12.75" customHeight="1" x14ac:dyDescent="0.25">
      <c r="A9" s="9" t="str">
        <f>texty!A75</f>
        <v>Tor górny / dolny</v>
      </c>
      <c r="B9" s="53"/>
      <c r="C9" s="172" t="str">
        <f>TRIM(C4)</f>
        <v/>
      </c>
      <c r="D9" s="7"/>
      <c r="E9" s="7"/>
      <c r="F9" s="7"/>
      <c r="H9" s="36"/>
      <c r="L9" s="5"/>
      <c r="O9" s="21"/>
      <c r="P9" s="19"/>
      <c r="R9" s="147"/>
    </row>
    <row r="10" spans="1:21" ht="12.75" customHeight="1" x14ac:dyDescent="0.25">
      <c r="A10" s="9" t="str">
        <f>texty!A76</f>
        <v>rączka</v>
      </c>
      <c r="B10" s="380" t="str">
        <f>+B7</f>
        <v/>
      </c>
      <c r="C10" s="381"/>
      <c r="D10" s="7"/>
      <c r="E10" s="7"/>
      <c r="F10" s="7"/>
      <c r="G10" s="5"/>
      <c r="H10" s="5"/>
      <c r="L10" s="5"/>
      <c r="R10" s="147"/>
    </row>
    <row r="11" spans="1:21" ht="12.75" customHeight="1" x14ac:dyDescent="0.25">
      <c r="A11" s="154" t="str">
        <f>texty!A64</f>
        <v>Nie można łączyć ze szkłem / lustrem</v>
      </c>
      <c r="B11" s="54"/>
      <c r="C11" s="10"/>
      <c r="D11" s="7"/>
      <c r="E11" s="7"/>
      <c r="F11" s="7"/>
      <c r="G11" s="5"/>
      <c r="H11" s="5"/>
      <c r="L11" s="31"/>
      <c r="R11" s="147"/>
    </row>
    <row r="12" spans="1:21" ht="26.4" x14ac:dyDescent="0.25">
      <c r="A12" s="683" t="str">
        <f>IF(SUM(D39:D40)&gt;0,texty!A246,"")</f>
        <v/>
      </c>
      <c r="B12" s="683"/>
      <c r="C12" s="606" t="str">
        <f>texty!A78</f>
        <v>dodatkowe zmniejszenie wysokośći wyliczonych wypełnień przy wykorzystaniu profili dzielących:</v>
      </c>
      <c r="D12" s="7"/>
      <c r="E12" s="7"/>
      <c r="F12" s="7"/>
      <c r="G12" s="5"/>
      <c r="H12" s="5"/>
      <c r="L12" s="5"/>
      <c r="R12" s="147"/>
    </row>
    <row r="13" spans="1:21" ht="33" customHeight="1" x14ac:dyDescent="0.25">
      <c r="A13" s="683"/>
      <c r="B13" s="683"/>
      <c r="C13" s="393"/>
      <c r="D13" s="7"/>
      <c r="E13" s="7"/>
      <c r="F13" s="7"/>
      <c r="G13" s="5"/>
      <c r="H13" s="5"/>
      <c r="L13" s="5"/>
      <c r="R13" s="147"/>
    </row>
    <row r="14" spans="1:21" ht="13.2" x14ac:dyDescent="0.25">
      <c r="A14" s="6"/>
      <c r="B14" s="7"/>
      <c r="C14" s="393"/>
      <c r="D14" s="7"/>
      <c r="E14" s="7"/>
      <c r="F14" s="7"/>
      <c r="G14" s="5"/>
      <c r="H14" s="5"/>
      <c r="L14" s="5"/>
      <c r="R14" s="147"/>
    </row>
    <row r="15" spans="1:21" ht="12.75" customHeight="1" x14ac:dyDescent="0.25">
      <c r="A15" s="6"/>
      <c r="B15" s="7"/>
      <c r="C15" s="10"/>
      <c r="D15" s="7"/>
      <c r="E15" s="7"/>
      <c r="F15" s="7"/>
      <c r="G15" s="5"/>
      <c r="H15" s="5"/>
      <c r="L15" s="5"/>
    </row>
    <row r="16" spans="1:21" ht="12.75" customHeight="1" x14ac:dyDescent="0.25">
      <c r="A16" s="6"/>
      <c r="B16" s="7"/>
      <c r="C16" s="10"/>
      <c r="D16" s="7"/>
      <c r="E16" s="7"/>
      <c r="F16" s="7"/>
      <c r="G16" s="5"/>
      <c r="H16" s="5"/>
      <c r="L16" s="5"/>
    </row>
    <row r="17" spans="1:22" ht="14.25" customHeight="1" x14ac:dyDescent="0.25">
      <c r="A17" s="6"/>
      <c r="B17" s="7"/>
      <c r="C17" s="25"/>
      <c r="D17" s="7"/>
      <c r="E17" s="7"/>
      <c r="F17" s="7"/>
      <c r="G17" s="5"/>
      <c r="H17" s="5"/>
      <c r="L17" s="5"/>
    </row>
    <row r="18" spans="1:22" ht="16.5" customHeight="1" x14ac:dyDescent="0.25">
      <c r="A18" s="9"/>
      <c r="B18" s="7"/>
      <c r="C18" s="7"/>
      <c r="E18" s="7"/>
      <c r="F18" s="7"/>
      <c r="G18" s="5"/>
      <c r="H18" s="5"/>
      <c r="L18" s="5"/>
      <c r="M18" s="5"/>
    </row>
    <row r="19" spans="1:22" ht="12.75" customHeight="1" x14ac:dyDescent="0.25">
      <c r="A19" s="6"/>
      <c r="B19" s="7"/>
      <c r="C19" s="7"/>
      <c r="D19" s="7"/>
      <c r="E19" s="7"/>
      <c r="F19" s="7"/>
      <c r="G19" s="5"/>
      <c r="H19" s="5"/>
      <c r="L19" s="3"/>
      <c r="T19" s="150"/>
      <c r="U19" s="150"/>
      <c r="V19" s="150"/>
    </row>
    <row r="20" spans="1:22" ht="12.75" customHeight="1" x14ac:dyDescent="0.25">
      <c r="B20" s="396"/>
      <c r="C20" s="7"/>
      <c r="D20" s="7"/>
      <c r="E20" s="7"/>
      <c r="F20" s="7"/>
      <c r="G20" s="5"/>
      <c r="H20" s="5"/>
      <c r="V20" s="150"/>
    </row>
    <row r="21" spans="1:22" ht="12.75" customHeight="1" x14ac:dyDescent="0.25">
      <c r="A21" s="397" t="s">
        <v>992</v>
      </c>
      <c r="B21" s="7"/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partnerska zniżka:</v>
      </c>
      <c r="H22" s="5"/>
      <c r="M22" s="5"/>
      <c r="U22" s="150"/>
    </row>
    <row r="23" spans="1:22" ht="12.75" customHeight="1" x14ac:dyDescent="0.25">
      <c r="A23" s="12" t="str">
        <f>texty!A80</f>
        <v>Kody zamówieniowe,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kod</v>
      </c>
      <c r="C24" s="16" t="str">
        <f>+System10!C27</f>
        <v>nazwa</v>
      </c>
      <c r="D24" s="17" t="str">
        <f>+System10!D27</f>
        <v>szt.</v>
      </c>
      <c r="E24" s="17" t="str">
        <f>+System10!E27</f>
        <v>cena/szt.</v>
      </c>
      <c r="F24" s="17" t="str">
        <f>+System10!F27</f>
        <v>cena w sumie</v>
      </c>
      <c r="G24" s="18" t="str">
        <f>+System10!G27</f>
        <v>w sumie netto:</v>
      </c>
      <c r="H24" s="5"/>
      <c r="I24" s="16" t="str">
        <f>texty!A29</f>
        <v>Uwagi: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Tor górny:</v>
      </c>
      <c r="B25" s="66" t="e">
        <f>+VLOOKUP(N5,data!C737:D746,2,0)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0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Tor dolny</v>
      </c>
      <c r="B26" s="66" t="e">
        <f>+VLOOKUP(N5,data!C747:D756,2,0)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profil maskujący (maskownica):</v>
      </c>
      <c r="B27" s="66" t="e">
        <f>+VLOOKUP(N5,data!C757:D766,2,0)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>+E27*D27</f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górne wózki</v>
      </c>
      <c r="B28" s="66">
        <v>98092</v>
      </c>
      <c r="C28" s="23" t="str">
        <f>+VLOOKUP(B28,cennik!A:G,2,FALSE)</f>
        <v>SEVROLL Comfort wózek górny 18mm - 2szt</v>
      </c>
      <c r="D28" s="15">
        <f>IF((D41+D42)&gt;D4,0,D4-(D42+D41))</f>
        <v>0</v>
      </c>
      <c r="E28" s="86">
        <f>+VLOOKUP(B28,cennik!A:G,3,FALSE)</f>
        <v>25.245000000000001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dolne wózki</v>
      </c>
      <c r="B29" s="66">
        <v>362316</v>
      </c>
      <c r="C29" s="23" t="str">
        <f>+VLOOKUP(B29,cennik!A:G,2,FALSE)</f>
        <v>SEVROLL 2x wózek dolny do płyty laminowanej 18mm bez pozycjonera bez sprężyny</v>
      </c>
      <c r="D29" s="15">
        <f>+D4</f>
        <v>0</v>
      </c>
      <c r="E29" s="86">
        <f>+VLOOKUP(B29,cennik!A:G,3,FALSE)</f>
        <v>18.35596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szczotka odbojowa</v>
      </c>
      <c r="B30" s="66">
        <v>229433</v>
      </c>
      <c r="C30" s="23" t="str">
        <f>+VLOOKUP(B30,cennik!A:G,2,FALSE)</f>
        <v>SEVROLL szczotka odbojowa bez kleju 4,8x4mm</v>
      </c>
      <c r="D30" s="15">
        <f>CEILING((B4*D4*2/1000),1)</f>
        <v>0</v>
      </c>
      <c r="E30" s="86">
        <f>+VLOOKUP(B30,cennik!A:G,3,FALSE)</f>
        <v>0.35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rączka</v>
      </c>
      <c r="B31" s="66" t="e">
        <f>+VLOOKUP(O7,data!C813:D814,2,0)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367" t="e">
        <f>+E31*D31</f>
        <v>#N/A</v>
      </c>
      <c r="G31" s="368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Akcesoria:</v>
      </c>
      <c r="B33" s="113"/>
      <c r="C33" s="116"/>
      <c r="D33" s="370" t="str">
        <f>+Faworyt!D34</f>
        <v>podaj ilość</v>
      </c>
      <c r="E33" s="124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pozycjoner wózka górnego</v>
      </c>
      <c r="B34" s="66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+F34*(100-F23)/100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pozycjoner</v>
      </c>
      <c r="B35" s="66"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 Tłumienie MINI do 25 kg (para)</v>
      </c>
      <c r="B36" s="66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+F36*(100-F23)/100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 Tłumienie MINI do 40 kg (para)</v>
      </c>
      <c r="B37" s="66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+F37*(100-F23)/100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 Tłumienie MINI do 60 kg (para)</v>
      </c>
      <c r="B38" s="66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+F38*(100-F23)/100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 xml:space="preserve"> Tłumienie do skrzydła środkowego do 25 kg </v>
      </c>
      <c r="B39" s="66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+F39*(100-F23)/100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 xml:space="preserve"> Tłumienie do skrzydła środkowego do 40 kg </v>
      </c>
      <c r="B40" s="66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+F40*(100-F23)/100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tłumienie (para)25 kg</v>
      </c>
      <c r="B41" s="66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tłumienie (para) 50 kg</v>
      </c>
      <c r="B42" s="66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Klamra szczotki odbojowej</v>
      </c>
      <c r="B43" s="66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+F43*(100-F23)/100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profil łączący H18-3metry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Teownik -3metry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Teownik decor -3metry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18mm- 3 metry /gładki/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18mm- 3 metry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kątownik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kątownik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kątownik mini 11x17mm - 3,00m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kątownik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kątownik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kątownik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zamek do drzwi przesuwnych</v>
      </c>
      <c r="B55" s="66">
        <v>216363</v>
      </c>
      <c r="C55" s="475" t="str">
        <f>+VLOOKUP(B55,cennik!A:G,2,FALSE)</f>
        <v>SEVROLL zamek do drzwi przesuwnych 10/18mm</v>
      </c>
      <c r="D55" s="27"/>
      <c r="E55" s="193">
        <f>+VLOOKUP(B55,cennik!A:G,3,FALSE)</f>
        <v>66.840599999999995</v>
      </c>
      <c r="F55" s="99">
        <f t="shared" si="1"/>
        <v>0</v>
      </c>
      <c r="G55" s="98">
        <f>+F55*(100-F23)/100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szczotka przeciwkurzowa samoprzylepna</v>
      </c>
      <c r="B56" s="66">
        <v>308639</v>
      </c>
      <c r="C56" s="23" t="str">
        <f>+VLOOKUP(B56,cennik!A:G,2,FALSE)</f>
        <v>SEVROLL szczotka przeciwkurzowa z klejem 6,7x13mm szara</v>
      </c>
      <c r="D56" s="27"/>
      <c r="E56" s="193">
        <f>+VLOOKUP(B56,cennik!A:G,3,FALSE)</f>
        <v>1.2647999999999999</v>
      </c>
      <c r="F56" s="99">
        <f t="shared" si="1"/>
        <v>0</v>
      </c>
      <c r="G56" s="98">
        <f>+F56*(100-F23)/100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B57" s="153"/>
      <c r="C57" s="153"/>
      <c r="D57" s="86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 xml:space="preserve">tutaj można znaleźć inne akcesoria 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</row>
    <row r="59" spans="1:14" ht="12.75" customHeight="1" x14ac:dyDescent="0.25">
      <c r="A59" s="209" t="str">
        <f>texty!A244</f>
        <v>rysunek techniczny tego systemu</v>
      </c>
      <c r="B59" s="7"/>
      <c r="C59" s="7"/>
      <c r="D59" s="71" t="str">
        <f>texty!A15</f>
        <v>w sumie (bez VAT)</v>
      </c>
      <c r="E59" s="94"/>
      <c r="F59" s="96" t="e">
        <f>SUM(F25:F56)</f>
        <v>#N/A</v>
      </c>
      <c r="G59" s="96" t="e">
        <f>SUM(G25:G56)</f>
        <v>#N/A</v>
      </c>
      <c r="H59" s="5" t="str">
        <f>cennik!B2</f>
        <v>zł</v>
      </c>
      <c r="J59" s="166"/>
      <c r="K59" s="166"/>
      <c r="L59" s="4" t="str">
        <f>texty!A128</f>
        <v>srebrny</v>
      </c>
      <c r="M59" s="19" t="s">
        <v>971</v>
      </c>
    </row>
    <row r="60" spans="1:14" ht="12.75" customHeight="1" x14ac:dyDescent="0.25">
      <c r="A60" s="70" t="str">
        <f>System10!A67</f>
        <v>Uwagi</v>
      </c>
      <c r="B60" s="700"/>
      <c r="C60" s="701"/>
      <c r="D60" s="701"/>
      <c r="E60" s="701"/>
      <c r="F60" s="701"/>
      <c r="G60" s="702"/>
      <c r="H60" s="5"/>
      <c r="L60" s="4" t="str">
        <f>texty!A130</f>
        <v>j.brąz</v>
      </c>
      <c r="M60" s="19" t="s">
        <v>42</v>
      </c>
    </row>
    <row r="61" spans="1:14" ht="12.75" customHeight="1" x14ac:dyDescent="0.25">
      <c r="A61" s="696" t="str">
        <f>profil!U15</f>
        <v/>
      </c>
      <c r="B61" s="697"/>
      <c r="C61" s="697"/>
      <c r="D61" s="697"/>
      <c r="E61" s="697"/>
      <c r="F61" s="697"/>
      <c r="G61" s="697"/>
      <c r="H61" s="697"/>
    </row>
    <row r="62" spans="1:14" ht="12.75" customHeight="1" x14ac:dyDescent="0.25">
      <c r="A62" s="698" t="str">
        <f>IF(N62=1,texty!A215,IF(J62&gt;0,texty!A214,""))</f>
        <v>niektóre elementy nie są produkowane w wybranej długości</v>
      </c>
      <c r="B62" s="698"/>
      <c r="C62" s="698"/>
      <c r="D62" s="698"/>
      <c r="E62" s="698"/>
      <c r="F62" s="698"/>
      <c r="G62" s="698"/>
      <c r="H62" s="698"/>
      <c r="J62" s="5" t="e">
        <f>SUM(J25:J56)</f>
        <v>#N/A</v>
      </c>
      <c r="N62" s="4">
        <f>IF(ISERROR(J62),1,0)</f>
        <v>1</v>
      </c>
    </row>
    <row r="75" spans="1:1" ht="12.75" hidden="1" customHeight="1" x14ac:dyDescent="0.25">
      <c r="A75" s="4">
        <v>3</v>
      </c>
    </row>
  </sheetData>
  <sheetProtection algorithmName="SHA-512" hashValue="isl3NAI1mDPycgeeaaXuYEsAip2iIWENg8n+RAZK95WL51TDwX6D1lQvXdb0BAXhmORLnrfmm0Kliz9I86G1jw==" saltValue="qG18o8jjDESLH7bzTve3X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A12">
    <cfRule type="expression" dxfId="38" priority="3">
      <formula>SUM($D$39:$D$40)&gt;0</formula>
    </cfRule>
  </conditionalFormatting>
  <conditionalFormatting sqref="D6">
    <cfRule type="expression" dxfId="36" priority="5">
      <formula>$D$4=4</formula>
    </cfRule>
    <cfRule type="expression" dxfId="35" priority="6">
      <formula>$D$4&lt;&gt;4</formula>
    </cfRule>
  </conditionalFormatting>
  <conditionalFormatting sqref="G4">
    <cfRule type="expression" dxfId="34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8.109375" style="4" customWidth="1"/>
    <col min="3" max="3" width="53.664062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377"/>
      <c r="B1" s="396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855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21" ht="39.75" customHeight="1" thickBot="1" x14ac:dyDescent="0.3">
      <c r="A3" s="582" t="str">
        <f>CONCATENATE(texty!A243," ",7,".",54)</f>
        <v>Katalog Okuć meblowych 2024 str. 7.54</v>
      </c>
      <c r="B3" s="318" t="str">
        <f>CONCATENATE(texty!A34," 
/ max. 2 742 mm /")</f>
        <v>wysokość 
/ max.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8"/>
      <c r="G3" s="5"/>
      <c r="H3" s="5"/>
      <c r="L3" s="5"/>
    </row>
    <row r="4" spans="1:21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8"/>
      <c r="G4" s="695"/>
      <c r="H4" s="695"/>
      <c r="I4" s="695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wypełnij 4 pola !!!! Informacje w mm</v>
      </c>
      <c r="C5" s="715"/>
      <c r="D5" s="715"/>
      <c r="E5" s="715"/>
      <c r="F5" s="366"/>
      <c r="G5" s="695"/>
      <c r="H5" s="695"/>
      <c r="I5" s="695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/>
      <c r="S6" s="684"/>
      <c r="T6" s="684"/>
      <c r="U6" s="684"/>
    </row>
    <row r="7" spans="1:21" ht="12.75" customHeight="1" x14ac:dyDescent="0.25">
      <c r="A7" s="9" t="str">
        <f>texty!A71</f>
        <v>skrzydło drzwi: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rozmiar lustra / na DTD 12mm/</v>
      </c>
      <c r="B10" s="53" t="str">
        <f>IFERROR((B8-2),"")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9" t="str">
        <f>texty!A51</f>
        <v>długość rączki (+ 2 mm )</v>
      </c>
      <c r="B11" s="379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Maksymalny wymiar skrzydła w lustrze 2400x700mm</v>
      </c>
      <c r="B12" s="717"/>
      <c r="C12" s="600" t="str">
        <f>texty!A78</f>
        <v>dodatkowe zmniejszenie wysokośći wyliczonych wypełnień przy wykorzystaniu profili dzielących:</v>
      </c>
      <c r="D12" s="7"/>
      <c r="E12" s="7"/>
      <c r="F12" s="7"/>
      <c r="G12" s="5"/>
      <c r="L12" s="5"/>
    </row>
    <row r="13" spans="1:21" ht="19.95" customHeight="1" x14ac:dyDescent="0.25">
      <c r="A13" s="683" t="str">
        <f>IF(SUM(D39:D40)&gt;0,texty!A246,"")</f>
        <v/>
      </c>
      <c r="B13" s="683"/>
      <c r="C13" s="81"/>
      <c r="D13" s="7"/>
      <c r="E13" s="7"/>
      <c r="F13" s="7"/>
      <c r="G13" s="5"/>
      <c r="H13" s="5"/>
      <c r="L13" s="31"/>
    </row>
    <row r="14" spans="1:21" ht="46.5" customHeight="1" x14ac:dyDescent="0.25">
      <c r="A14" s="683"/>
      <c r="B14" s="683"/>
      <c r="C14" s="81"/>
      <c r="D14" s="7"/>
      <c r="E14" s="7"/>
      <c r="F14" s="7"/>
      <c r="G14" s="5"/>
      <c r="H14" s="5"/>
      <c r="L14" s="31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partnerska zniżka:</v>
      </c>
      <c r="H22" s="5"/>
      <c r="M22" s="5"/>
      <c r="U22" s="150"/>
    </row>
    <row r="23" spans="1:22" ht="12.75" customHeight="1" x14ac:dyDescent="0.25">
      <c r="A23" s="12" t="str">
        <f>texty!A80</f>
        <v>Kody zamówieniowe,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kod</v>
      </c>
      <c r="C24" s="16" t="str">
        <f>+System10!C27</f>
        <v>nazwa</v>
      </c>
      <c r="D24" s="17" t="str">
        <f>+System10!D27</f>
        <v>szt.</v>
      </c>
      <c r="E24" s="17" t="str">
        <f>+System10!E27</f>
        <v>cena/szt.</v>
      </c>
      <c r="F24" s="17" t="str">
        <f>+System10!F27</f>
        <v>cena w sumie</v>
      </c>
      <c r="G24" s="18" t="str">
        <f>+System10!G27</f>
        <v>w sumie netto:</v>
      </c>
      <c r="H24" s="5"/>
      <c r="I24" s="16" t="str">
        <f>texty!A29</f>
        <v>Uwagi: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Tor górny: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Tor dolny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profil maskujący (maskownica):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górne wózki</v>
      </c>
      <c r="B28" s="66">
        <v>98092</v>
      </c>
      <c r="C28" s="23" t="str">
        <f>+VLOOKUP(B28,cennik!A:G,2,FALSE)</f>
        <v>SEVROLL Comfort wózek górny 18mm - 2szt</v>
      </c>
      <c r="D28" s="15">
        <f>IF((D42+D41)&gt;D4,0,D4-(D41+D42))</f>
        <v>0</v>
      </c>
      <c r="E28" s="86">
        <f>+VLOOKUP(B28,cennik!A:G,3,FALSE)</f>
        <v>25.245000000000001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dolne wózki</v>
      </c>
      <c r="B29" s="66">
        <v>362316</v>
      </c>
      <c r="C29" s="23" t="str">
        <f>+VLOOKUP(B29,cennik!A:G,2,FALSE)</f>
        <v>SEVROLL 2x wózek dolny do płyty laminowanej 18mm bez pozycjonera bez sprężyny</v>
      </c>
      <c r="D29" s="15">
        <f>+D4</f>
        <v>0</v>
      </c>
      <c r="E29" s="86">
        <f>+VLOOKUP(B29,cennik!A:G,3,FALSE)</f>
        <v>18.35596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szczotka odbojowa</v>
      </c>
      <c r="B30" s="66">
        <v>229433</v>
      </c>
      <c r="C30" s="23" t="str">
        <f>+VLOOKUP(B30,cennik!A:G,2,FALSE)</f>
        <v>SEVROLL szczotka odbojowa bez kleju 4,8x4mm</v>
      </c>
      <c r="D30" s="15">
        <f>CEILING((B4*D4*2/1000),1)</f>
        <v>0</v>
      </c>
      <c r="E30" s="86">
        <f>+VLOOKUP(B30,cennik!A:G,3,FALSE)</f>
        <v>0.35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rączka</v>
      </c>
      <c r="B31" s="66" t="e">
        <f>+VLOOKUP(P7,data!C815:D816,2,0)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Akcesoria:</v>
      </c>
      <c r="B33" s="113"/>
      <c r="C33" s="116"/>
      <c r="D33" s="371" t="str">
        <f>+Faworyt!D34</f>
        <v>podaj ilość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pozycjoner wózka górnego</v>
      </c>
      <c r="B34" s="66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+F34*(100-F23)/100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pozycjoner</v>
      </c>
      <c r="B35" s="66"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 Tłumienie MINI do 25 kg (para)</v>
      </c>
      <c r="B36" s="66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+F36*(100-F23)/100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 Tłumienie MINI do 40 kg (para)</v>
      </c>
      <c r="B37" s="66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+F37*(100-F23)/100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 Tłumienie MINI do 60 kg (para)</v>
      </c>
      <c r="B38" s="66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+F38*(100-F23)/100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 xml:space="preserve"> Tłumienie do skrzydła środkowego do 25 kg </v>
      </c>
      <c r="B39" s="66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+F39*(100-F23)/100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 xml:space="preserve"> Tłumienie do skrzydła środkowego do 40 kg </v>
      </c>
      <c r="B40" s="66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+F40*(100-F23)/100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tłumienie (para)25 kg</v>
      </c>
      <c r="B41" s="66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tłumienie (para) 50 kg</v>
      </c>
      <c r="B42" s="66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Klamra szczotki odbojowej</v>
      </c>
      <c r="B43" s="66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+F43*(100-F23)/100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profil łączący H18-3metry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Teownik -3metry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Teownik decor -3metry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18mm- 3 metry /gładki/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18mm- 3 metry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kątownik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kątownik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kątownik mini 11x17mm - 3,00m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kątownik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kątownik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kątownik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zacisk do dylatacji wypełnienia 16 mm</v>
      </c>
      <c r="B55" s="66">
        <v>308631</v>
      </c>
      <c r="C55" s="475" t="str">
        <f>+VLOOKUP(B55,cennik!A:G,2,FALSE)</f>
        <v>SEVROLL klin do płyty laminowanej grubość 2 mm (100 szt.)</v>
      </c>
      <c r="D55" s="27"/>
      <c r="E55" s="193">
        <f>+VLOOKUP(B55,cennik!A:G,3,FALSE)</f>
        <v>30.24597</v>
      </c>
      <c r="F55" s="99">
        <f t="shared" si="1"/>
        <v>0</v>
      </c>
      <c r="G55" s="98">
        <f>+F55*(100-G23)/100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320" t="str">
        <f>texty!A240</f>
        <v>zamek do drzwi przesuwnych</v>
      </c>
      <c r="B56" s="66">
        <v>216363</v>
      </c>
      <c r="C56" s="475" t="str">
        <f>+VLOOKUP(B56,cennik!A:G,2,FALSE)</f>
        <v>SEVROLL zamek do drzwi przesuwnych 10/18mm</v>
      </c>
      <c r="D56" s="27"/>
      <c r="E56" s="193">
        <f>+VLOOKUP(B56,cennik!A:G,3,FALSE)</f>
        <v>66.840599999999995</v>
      </c>
      <c r="F56" s="99">
        <f t="shared" si="1"/>
        <v>0</v>
      </c>
      <c r="G56" s="98">
        <f>+F56*(100-F23)/100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szczotka przeciwkurzowa samoprzylepna</v>
      </c>
      <c r="B57" s="66">
        <v>308639</v>
      </c>
      <c r="C57" s="23" t="str">
        <f>+VLOOKUP(B57,cennik!A:G,2,FALSE)</f>
        <v>SEVROLL szczotka przeciwkurzowa z klejem 6,7x13mm szara</v>
      </c>
      <c r="D57" s="27"/>
      <c r="E57" s="193">
        <f>+VLOOKUP(B57,cennik!A:G,3,FALSE)</f>
        <v>1.2647999999999999</v>
      </c>
      <c r="F57" s="99">
        <f t="shared" si="1"/>
        <v>0</v>
      </c>
      <c r="G57" s="98">
        <f>+F57*(100-F23)/100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 xml:space="preserve">tutaj można znaleźć inne akcesoria </v>
      </c>
      <c r="B59" s="210"/>
      <c r="C59" s="210"/>
      <c r="D59" s="210"/>
      <c r="E59" s="210"/>
      <c r="F59" s="210"/>
      <c r="G59" s="210"/>
      <c r="H59" s="210"/>
      <c r="I59" s="210"/>
      <c r="J59" s="126"/>
    </row>
    <row r="60" spans="1:14" ht="12.75" customHeight="1" x14ac:dyDescent="0.25">
      <c r="A60" s="209" t="str">
        <f>texty!A244</f>
        <v>rysunek techniczny tego systemu</v>
      </c>
      <c r="B60" s="7"/>
      <c r="C60" s="7"/>
      <c r="D60" s="71" t="str">
        <f>texty!A15</f>
        <v>w sumie (bez VAT)</v>
      </c>
      <c r="E60" s="94"/>
      <c r="F60" s="96" t="e">
        <f>SUM(F25:F56)</f>
        <v>#N/A</v>
      </c>
      <c r="G60" s="96" t="e">
        <f>SUM(G25:G56)</f>
        <v>#N/A</v>
      </c>
      <c r="H60" s="5" t="str">
        <f>cennik!B2</f>
        <v>zł</v>
      </c>
      <c r="I60" s="166"/>
      <c r="J60" s="166"/>
      <c r="L60" s="4" t="str">
        <f>texty!A128</f>
        <v>srebrny</v>
      </c>
    </row>
    <row r="61" spans="1:14" ht="12.75" customHeight="1" x14ac:dyDescent="0.25">
      <c r="A61" s="70" t="str">
        <f>System10!A67</f>
        <v>Uwagi</v>
      </c>
      <c r="B61" s="700"/>
      <c r="C61" s="701"/>
      <c r="D61" s="701"/>
      <c r="E61" s="701"/>
      <c r="F61" s="701"/>
      <c r="G61" s="702"/>
      <c r="H61" s="5"/>
      <c r="L61" s="4" t="str">
        <f>texty!A130</f>
        <v>j.brąz</v>
      </c>
    </row>
    <row r="62" spans="1:14" ht="12.75" customHeight="1" x14ac:dyDescent="0.25">
      <c r="A62" s="696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4" ht="12.75" customHeight="1" x14ac:dyDescent="0.25">
      <c r="A63" s="698" t="str">
        <f>IF(N63=1,texty!A215,IF(J63&gt;0,texty!A214,""))</f>
        <v>niektóre elementy nie są produkowane w wybranej długości</v>
      </c>
      <c r="B63" s="698"/>
      <c r="C63" s="698"/>
      <c r="D63" s="698"/>
      <c r="E63" s="698"/>
      <c r="F63" s="698"/>
      <c r="G63" s="698"/>
      <c r="H63" s="698"/>
      <c r="J63" s="5" t="e">
        <f>SUM(J25:J56)</f>
        <v>#N/A</v>
      </c>
      <c r="N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kmMba642G+20xNE1eczAXZo7/RUpBfTwA41QsBg7IFsbButi7Ek2THbpu/9jryozfo2B9K56ABaUJJTYCvDreQ==" saltValue="ZD9NhgJ3M7Cu4i3CRR8zoA==" spinCount="100000" sheet="1" objects="1" scenarios="1"/>
  <mergeCells count="11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  <mergeCell ref="A12:B12"/>
  </mergeCells>
  <conditionalFormatting sqref="A13">
    <cfRule type="expression" dxfId="33" priority="3">
      <formula>SUM($D$39:$D$40)&gt;0</formula>
    </cfRule>
  </conditionalFormatting>
  <conditionalFormatting sqref="D6">
    <cfRule type="expression" dxfId="31" priority="5">
      <formula>$D$4=4</formula>
    </cfRule>
    <cfRule type="expression" dxfId="30" priority="6">
      <formula>$D$4&lt;&gt;4</formula>
    </cfRule>
  </conditionalFormatting>
  <conditionalFormatting sqref="G4">
    <cfRule type="expression" dxfId="29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6"/>
  <sheetViews>
    <sheetView showGridLines="0" zoomScaleNormal="100" zoomScaleSheetLayoutView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4.5546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854</v>
      </c>
      <c r="B2" s="50" t="str">
        <f>profil!T7</f>
        <v>Klient, , NIP:</v>
      </c>
      <c r="C2" s="7"/>
      <c r="D2" s="7"/>
      <c r="E2" s="7"/>
      <c r="F2" s="7"/>
      <c r="G2" s="5"/>
      <c r="H2" s="5"/>
      <c r="L2" s="5">
        <v>3</v>
      </c>
    </row>
    <row r="3" spans="1:21" ht="42.75" customHeight="1" thickBot="1" x14ac:dyDescent="0.3">
      <c r="A3" s="582" t="str">
        <f>CONCATENATE(texty!A243," ",7,".",54)</f>
        <v>Katalog Okuć meblowych 2024 str. 7.54</v>
      </c>
      <c r="B3" s="318" t="str">
        <f>CONCATENATE(texty!A34," / max.        2 742 mm /")</f>
        <v>wysokość / max.        2 742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8"/>
      <c r="G3" s="5"/>
      <c r="H3" s="5"/>
      <c r="L3" s="5"/>
    </row>
    <row r="4" spans="1:21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8"/>
      <c r="G4" s="695"/>
      <c r="H4" s="695"/>
      <c r="I4" s="695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wypełnij 4 pola !!!! Informacje w mm</v>
      </c>
      <c r="C5" s="715"/>
      <c r="D5" s="715"/>
      <c r="E5" s="715"/>
      <c r="F5" s="366"/>
      <c r="G5" s="695"/>
      <c r="H5" s="695"/>
      <c r="I5" s="695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/>
      <c r="S6" s="684"/>
      <c r="T6" s="684"/>
      <c r="U6" s="684"/>
    </row>
    <row r="7" spans="1:21" ht="12.75" customHeight="1" x14ac:dyDescent="0.25">
      <c r="A7" s="9" t="str">
        <f>texty!A71</f>
        <v>skrzydło drzwi: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texty!A48</f>
        <v>rozmiar wypełnienia 18mm:</v>
      </c>
      <c r="B8" s="53" t="str">
        <f>IFERROR((B7-2),"")</f>
        <v/>
      </c>
      <c r="C8" s="55" t="str">
        <f>IFERROR((C7-40),"")</f>
        <v/>
      </c>
      <c r="D8" s="7"/>
      <c r="E8" s="7"/>
      <c r="F8" s="7"/>
      <c r="G8" s="3" t="str">
        <f>Faworyt!G8</f>
        <v>Maksymalna waga skrzydła to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rozmiar lustra / na DTD 12mm/</v>
      </c>
      <c r="B10" s="53" t="str">
        <f>IFERROR((B8-2),"")</f>
        <v/>
      </c>
      <c r="C10" s="61" t="str">
        <f>IFERROR((C9-36),"")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395" t="str">
        <f>texty!A51</f>
        <v>długość rączki (+ 2 mm )</v>
      </c>
      <c r="B11" s="394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Maksymalny wymiar skrzydła w lustrze 2400x700mm</v>
      </c>
      <c r="B12" s="717"/>
      <c r="C12" s="600" t="str">
        <f>texty!A78</f>
        <v>dodatkowe zmniejszenie wysokośći wyliczonych wypełnień przy wykorzystaniu profili dzielących:</v>
      </c>
      <c r="D12" s="7"/>
      <c r="E12" s="7"/>
      <c r="F12" s="7"/>
      <c r="G12" s="5"/>
      <c r="L12" s="5"/>
    </row>
    <row r="13" spans="1:21" ht="19.95" customHeight="1" x14ac:dyDescent="0.25">
      <c r="A13" s="683" t="str">
        <f>IF(SUM(D39:D40)&gt;0,texty!A246,"")</f>
        <v/>
      </c>
      <c r="B13" s="683"/>
      <c r="C13" s="384"/>
      <c r="D13" s="7"/>
      <c r="E13" s="7"/>
      <c r="F13" s="7"/>
      <c r="G13" s="5"/>
      <c r="L13" s="5"/>
    </row>
    <row r="14" spans="1:21" ht="41.25" customHeight="1" x14ac:dyDescent="0.25">
      <c r="A14" s="683"/>
      <c r="B14" s="683"/>
      <c r="C14" s="384"/>
      <c r="D14" s="7"/>
      <c r="E14" s="7"/>
      <c r="F14" s="7"/>
      <c r="G14" s="5"/>
      <c r="L14" s="5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partnerska zniżka:</v>
      </c>
      <c r="H22" s="5"/>
      <c r="M22" s="5"/>
      <c r="U22" s="150"/>
    </row>
    <row r="23" spans="1:22" ht="12.75" customHeight="1" x14ac:dyDescent="0.25">
      <c r="A23" s="12" t="str">
        <f>texty!A80</f>
        <v>Kody zamówieniowe,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kod</v>
      </c>
      <c r="C24" s="16" t="str">
        <f>+System10!C27</f>
        <v>nazwa</v>
      </c>
      <c r="D24" s="17" t="str">
        <f>+System10!D27</f>
        <v>szt.</v>
      </c>
      <c r="E24" s="17" t="str">
        <f>+System10!E27</f>
        <v>cena/szt.</v>
      </c>
      <c r="F24" s="17" t="str">
        <f>+System10!F27</f>
        <v>cena w sumie</v>
      </c>
      <c r="G24" s="18" t="str">
        <f>+System10!G27</f>
        <v>w sumie netto:</v>
      </c>
      <c r="H24" s="5"/>
      <c r="I24" s="16" t="str">
        <f>texty!A29</f>
        <v>Uwagi: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Tor górny: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zł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Tor dolny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profil maskujący (maskownica):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górne wózki</v>
      </c>
      <c r="B28" s="66">
        <v>98092</v>
      </c>
      <c r="C28" s="23" t="str">
        <f>+VLOOKUP(B28,cennik!A:G,2,FALSE)</f>
        <v>SEVROLL Comfort wózek górny 18mm - 2szt</v>
      </c>
      <c r="D28" s="15">
        <f>IF((D42+D41)&gt;D4,0,D4-(D42+D41))</f>
        <v>0</v>
      </c>
      <c r="E28" s="86">
        <f>+VLOOKUP(B28,cennik!A:G,3,FALSE)</f>
        <v>25.245000000000001</v>
      </c>
      <c r="F28" s="86">
        <f t="shared" si="0"/>
        <v>0</v>
      </c>
      <c r="G28" s="87">
        <f>+F28*(100-G23)/100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dolne wózki</v>
      </c>
      <c r="B29" s="66">
        <v>362316</v>
      </c>
      <c r="C29" s="23" t="str">
        <f>+VLOOKUP(B29,cennik!A:G,2,FALSE)</f>
        <v>SEVROLL 2x wózek dolny do płyty laminowanej 18mm bez pozycjonera bez sprężyny</v>
      </c>
      <c r="D29" s="15">
        <f>+D4</f>
        <v>0</v>
      </c>
      <c r="E29" s="86">
        <f>+VLOOKUP(B29,cennik!A:G,3,FALSE)</f>
        <v>18.35596</v>
      </c>
      <c r="F29" s="86">
        <f t="shared" si="0"/>
        <v>0</v>
      </c>
      <c r="G29" s="87">
        <f>+F29*(100-G23)/100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szczotka odbojowa</v>
      </c>
      <c r="B30" s="66">
        <v>229433</v>
      </c>
      <c r="C30" s="23" t="str">
        <f>+VLOOKUP(B30,cennik!A:G,2,FALSE)</f>
        <v>SEVROLL szczotka odbojowa bez kleju 4,8x4mm</v>
      </c>
      <c r="D30" s="15">
        <f>CEILING((B4*D4*2/1000),1)</f>
        <v>0</v>
      </c>
      <c r="E30" s="86">
        <f>+VLOOKUP(B30,cennik!A:G,3,FALSE)</f>
        <v>0.35</v>
      </c>
      <c r="F30" s="86">
        <f t="shared" si="0"/>
        <v>0</v>
      </c>
      <c r="G30" s="87">
        <f>+F30*(100-G23)/100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rączka</v>
      </c>
      <c r="B31" s="66" t="e">
        <f>+VLOOKUP(P7,data!C817:D818,2,0)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Akcesoria:</v>
      </c>
      <c r="B33" s="113"/>
      <c r="C33" s="116"/>
      <c r="D33" s="371" t="str">
        <f>+Faworyt!D34</f>
        <v>podaj ilość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pozycjoner wózka górnego</v>
      </c>
      <c r="B34" s="66">
        <v>298035</v>
      </c>
      <c r="C34" s="475" t="str">
        <f>+VLOOKUP(B34,cennik!A:G,2,FALSE)</f>
        <v>SEVROLL Fix pozycjoner wózka górnego transparentny</v>
      </c>
      <c r="D34" s="27"/>
      <c r="E34" s="193">
        <f>+VLOOKUP(B34,cennik!A:G,3,FALSE)</f>
        <v>3.74519</v>
      </c>
      <c r="F34" s="99">
        <f>+E34*D34</f>
        <v>0</v>
      </c>
      <c r="G34" s="98">
        <f>+F34*(100-F23)/100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pozycjoner</v>
      </c>
      <c r="B35" s="66">
        <v>89063</v>
      </c>
      <c r="C35" s="475" t="str">
        <f>+VLOOKUP(B35,cennik!A:G,2,FALSE)</f>
        <v>SEVROLL pozycjoner wózka dolnego HI-TEC</v>
      </c>
      <c r="D35" s="27"/>
      <c r="E35" s="193">
        <f>+VLOOKUP(B35,cennik!A:G,3,FALSE)</f>
        <v>1.071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 Tłumienie MINI do 25 kg (para)</v>
      </c>
      <c r="B36" s="66">
        <v>318662</v>
      </c>
      <c r="C36" s="23" t="str">
        <f>+VLOOKUP(B36,cennik!A:G,2,FALSE)</f>
        <v>SEVROLL tłumienie Mini SV25 (14-25kg)</v>
      </c>
      <c r="D36" s="278"/>
      <c r="E36" s="86">
        <f>+VLOOKUP(B36,cennik!A:G,3,FALSE)</f>
        <v>96.889799999999994</v>
      </c>
      <c r="F36" s="91">
        <f>+CEILING(D36,1)*E36</f>
        <v>0</v>
      </c>
      <c r="G36" s="98">
        <f>+F36*(100-F23)/100</f>
        <v>0</v>
      </c>
      <c r="H36" s="22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 Tłumienie MINI do 40 kg (para)</v>
      </c>
      <c r="B37" s="66">
        <v>283956</v>
      </c>
      <c r="C37" s="23" t="str">
        <f>+VLOOKUP(B37,cennik!A:G,2,FALSE)</f>
        <v>SEVROLL tłumienie Mini SV40 (25 - 40kg)</v>
      </c>
      <c r="D37" s="278"/>
      <c r="E37" s="86">
        <f>+VLOOKUP(B37,cennik!A:G,3,FALSE)</f>
        <v>96.889799999999994</v>
      </c>
      <c r="F37" s="91">
        <f>+CEILING(D37,1)*E37</f>
        <v>0</v>
      </c>
      <c r="G37" s="98">
        <f>+F37*(100-F23)/100</f>
        <v>0</v>
      </c>
      <c r="H37" s="22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 Tłumienie MINI do 60 kg (para)</v>
      </c>
      <c r="B38" s="66">
        <v>351743</v>
      </c>
      <c r="C38" s="23" t="str">
        <f>+VLOOKUP(B38,cennik!A:G,2,FALSE)</f>
        <v>SEVROLL tłumienie Mini SV60 (40 - 60kg)</v>
      </c>
      <c r="D38" s="278"/>
      <c r="E38" s="86">
        <f>+VLOOKUP(B38,cennik!A:G,3,FALSE)</f>
        <v>96.889799999999994</v>
      </c>
      <c r="F38" s="91">
        <f>+CEILING(D38,1)*E38</f>
        <v>0</v>
      </c>
      <c r="G38" s="98">
        <f>+F38*(100-F23)/100</f>
        <v>0</v>
      </c>
      <c r="H38" s="22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 xml:space="preserve"> Tłumienie do skrzydła środkowego do 25 kg </v>
      </c>
      <c r="B39" s="66">
        <v>318663</v>
      </c>
      <c r="C39" s="23" t="str">
        <f>+VLOOKUP(B39,cennik!A:G,2,FALSE)</f>
        <v>SEVROLL tłumienie Central 10/18mm obustronne 25kg</v>
      </c>
      <c r="D39" s="278"/>
      <c r="E39" s="86">
        <f>+VLOOKUP(B39,cennik!A:G,3,FALSE)</f>
        <v>206.958</v>
      </c>
      <c r="F39" s="91">
        <f>+CEILING(D39,1)*E39</f>
        <v>0</v>
      </c>
      <c r="G39" s="98">
        <f>+F39*(100-F23)/100</f>
        <v>0</v>
      </c>
      <c r="H39" s="22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 xml:space="preserve"> Tłumienie do skrzydła środkowego do 40 kg </v>
      </c>
      <c r="B40" s="66">
        <v>283955</v>
      </c>
      <c r="C40" s="23" t="str">
        <f>+VLOOKUP(B40,cennik!A:G,2,FALSE)</f>
        <v>SEVROLL tłumienie Central 10/18mm obustronne 25-40kg</v>
      </c>
      <c r="D40" s="278"/>
      <c r="E40" s="86">
        <f>+VLOOKUP(B40,cennik!A:G,3,FALSE)</f>
        <v>206.958</v>
      </c>
      <c r="F40" s="91">
        <f>+CEILING(D40,1)*E40</f>
        <v>0</v>
      </c>
      <c r="G40" s="98">
        <f>+F40*(100-F23)/100</f>
        <v>0</v>
      </c>
      <c r="H40" s="22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tłumienie (para)25 kg</v>
      </c>
      <c r="B41" s="66">
        <v>227185</v>
      </c>
      <c r="C41" s="475" t="str">
        <f>+VLOOKUP(B41,cennik!A:G,2,FALSE)</f>
        <v>K-SEVROLL tłumienie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tłumienie (para) 50 kg</v>
      </c>
      <c r="B42" s="66">
        <v>227187</v>
      </c>
      <c r="C42" s="475" t="str">
        <f>+VLOOKUP(B42,cennik!A:G,2,FALSE)</f>
        <v>K-SEVROLL tłumienie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Klamra szczotki odbojowej</v>
      </c>
      <c r="B43" s="66">
        <v>223569</v>
      </c>
      <c r="C43" s="475" t="str">
        <f>+VLOOKUP(B43,cennik!A:G,2,FALSE)</f>
        <v>SEVROLL klips do szczotki przeciwkurzowej</v>
      </c>
      <c r="D43" s="27"/>
      <c r="E43" s="193">
        <f>+VLOOKUP(B43,cennik!A:G,3,FALSE)</f>
        <v>0.23857999999999999</v>
      </c>
      <c r="F43" s="99">
        <f t="shared" si="1"/>
        <v>0</v>
      </c>
      <c r="G43" s="98">
        <f>+F43*(100-F23)/100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profil łączący H18-3metry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Teownik -3metry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Teownik decor -3metry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18mm- 3 metry /gładki/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18mm- 3 metry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3" ht="12.75" customHeight="1" x14ac:dyDescent="0.25">
      <c r="A49" s="134" t="str">
        <f>texty!A119</f>
        <v>kątownik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3" ht="12.75" customHeight="1" x14ac:dyDescent="0.25">
      <c r="A50" s="134" t="str">
        <f>texty!A120</f>
        <v>kątownik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3" ht="12.75" customHeight="1" x14ac:dyDescent="0.25">
      <c r="A51" s="134" t="str">
        <f>texty!A121</f>
        <v>kątownik mini 11x17mm - 3,00m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3" ht="12.75" customHeight="1" x14ac:dyDescent="0.25">
      <c r="A52" s="134" t="str">
        <f>texty!A122</f>
        <v>kątownik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3" ht="12.75" customHeight="1" x14ac:dyDescent="0.25">
      <c r="A53" s="134" t="str">
        <f>texty!A123</f>
        <v>kątownik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3" ht="12.75" customHeight="1" x14ac:dyDescent="0.25">
      <c r="A54" s="134" t="str">
        <f>texty!A124</f>
        <v>kątownik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3" ht="12.75" customHeight="1" x14ac:dyDescent="0.25">
      <c r="A55" s="134" t="str">
        <f>texty!A241</f>
        <v>zacisk do dylatacji wypełnienia 16 mm</v>
      </c>
      <c r="B55" s="66">
        <v>308631</v>
      </c>
      <c r="C55" s="475" t="str">
        <f>+VLOOKUP(B55,cennik!A:G,2,FALSE)</f>
        <v>SEVROLL klin do płyty laminowanej grubość 2 mm (100 szt.)</v>
      </c>
      <c r="D55" s="27"/>
      <c r="E55" s="193">
        <f>+VLOOKUP(B55,cennik!A:G,3,FALSE)</f>
        <v>30.24597</v>
      </c>
      <c r="F55" s="99">
        <f t="shared" si="1"/>
        <v>0</v>
      </c>
      <c r="G55" s="98">
        <f>+F55*(100-G23)/100</f>
        <v>0</v>
      </c>
      <c r="H55" s="5" t="str">
        <f>cennik!B2</f>
        <v>zł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3" ht="12.75" customHeight="1" x14ac:dyDescent="0.25">
      <c r="A56" s="320" t="str">
        <f>texty!A240</f>
        <v>zamek do drzwi przesuwnych</v>
      </c>
      <c r="B56" s="66">
        <v>216363</v>
      </c>
      <c r="C56" s="475" t="str">
        <f>+VLOOKUP(B56,cennik!A:G,2,FALSE)</f>
        <v>SEVROLL zamek do drzwi przesuwnych 10/18mm</v>
      </c>
      <c r="D56" s="27"/>
      <c r="E56" s="193">
        <f>+VLOOKUP(B56,cennik!A:G,3,FALSE)</f>
        <v>66.840599999999995</v>
      </c>
      <c r="F56" s="99">
        <f t="shared" si="1"/>
        <v>0</v>
      </c>
      <c r="G56" s="98">
        <f>+F56*(100-F23)/100</f>
        <v>0</v>
      </c>
      <c r="H56" s="5" t="str">
        <f>cennik!B2</f>
        <v>zł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3" ht="12.75" customHeight="1" x14ac:dyDescent="0.25">
      <c r="A57" s="6" t="str">
        <f>texty!A90</f>
        <v>szczotka przeciwkurzowa</v>
      </c>
      <c r="B57" s="66">
        <v>95946</v>
      </c>
      <c r="C57" s="23" t="str">
        <f>+VLOOKUP(B57,cennik!A:G,2,FALSE)</f>
        <v>SEVROLL szczotka przeciwkurzowa bez kleju 4,8x13 mm, szara</v>
      </c>
      <c r="D57" s="27"/>
      <c r="E57" s="193">
        <f>+VLOOKUP(B57,cennik!A:G,3,FALSE)</f>
        <v>0.80579999999999996</v>
      </c>
      <c r="F57" s="99">
        <f t="shared" si="1"/>
        <v>0</v>
      </c>
      <c r="G57" s="98">
        <f>+F57*(100-F23)/100</f>
        <v>0</v>
      </c>
      <c r="H57" s="5" t="str">
        <f>cennik!B2</f>
        <v>zł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3" ht="12.75" customHeight="1" x14ac:dyDescent="0.25">
      <c r="B58" s="153"/>
      <c r="C58" s="153"/>
      <c r="D58" s="86"/>
      <c r="E58" s="86"/>
      <c r="F58" s="91"/>
      <c r="G58" s="87"/>
      <c r="H58" s="5"/>
      <c r="I58" s="166"/>
      <c r="J58" s="166"/>
      <c r="L58" s="5"/>
    </row>
    <row r="59" spans="1:13" ht="15" x14ac:dyDescent="0.25">
      <c r="A59" s="209" t="str">
        <f>texty!A190</f>
        <v xml:space="preserve">tutaj można znaleźć inne akcesoria 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</row>
    <row r="60" spans="1:13" ht="12.75" customHeight="1" x14ac:dyDescent="0.25">
      <c r="A60" s="209" t="str">
        <f>texty!A244</f>
        <v>rysunek techniczny tego systemu</v>
      </c>
      <c r="B60" s="7"/>
      <c r="C60" s="7"/>
      <c r="D60" s="71" t="str">
        <f>texty!A15</f>
        <v>w sumie (bez VAT)</v>
      </c>
      <c r="E60" s="94"/>
      <c r="F60" s="96" t="e">
        <f>SUM(F25:F58)</f>
        <v>#N/A</v>
      </c>
      <c r="G60" s="96" t="e">
        <f>SUM(G25:G57)</f>
        <v>#N/A</v>
      </c>
      <c r="H60" s="5" t="str">
        <f>cennik!B2</f>
        <v>zł</v>
      </c>
      <c r="I60" s="4"/>
      <c r="J60" s="166"/>
      <c r="K60" s="166"/>
      <c r="L60" s="4" t="str">
        <f>texty!A128</f>
        <v>srebrny</v>
      </c>
    </row>
    <row r="61" spans="1:13" ht="12.75" customHeight="1" x14ac:dyDescent="0.25">
      <c r="A61" s="70" t="str">
        <f>System10!A67</f>
        <v>Uwagi</v>
      </c>
      <c r="B61" s="700"/>
      <c r="C61" s="701"/>
      <c r="D61" s="701"/>
      <c r="E61" s="701"/>
      <c r="F61" s="701"/>
      <c r="G61" s="702"/>
      <c r="H61" s="5"/>
      <c r="L61" s="4" t="str">
        <f>texty!A130</f>
        <v>j.brąz</v>
      </c>
    </row>
    <row r="62" spans="1:13" ht="12.75" customHeight="1" x14ac:dyDescent="0.25">
      <c r="A62" s="696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3" ht="12.75" customHeight="1" x14ac:dyDescent="0.25">
      <c r="A63" s="698" t="str">
        <f>IF(M63=1,texty!A215,IF(J63&gt;0,texty!A214,""))</f>
        <v>niektóre elementy nie są produkowane w wybranej długości</v>
      </c>
      <c r="B63" s="698"/>
      <c r="C63" s="698"/>
      <c r="D63" s="698"/>
      <c r="E63" s="698"/>
      <c r="F63" s="698"/>
      <c r="G63" s="698"/>
      <c r="H63" s="698"/>
      <c r="J63" s="5" t="e">
        <f>SUM(J25:J62)</f>
        <v>#N/A</v>
      </c>
      <c r="K63" s="4"/>
      <c r="M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cVCMP1bc083hFAFfHt/d2lA9bS87RKWnjPFijHnx6mLk3S13WuPwmh9sipr1k1Jn7pbYcSWyCws17NFNydChbw==" saltValue="MQvYGDdwpBBrZ1d7BsTs6g==" spinCount="100000" sheet="1" objects="1" scenarios="1"/>
  <mergeCells count="11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  <mergeCell ref="A12:B12"/>
  </mergeCells>
  <conditionalFormatting sqref="A13">
    <cfRule type="expression" dxfId="28" priority="3">
      <formula>SUM($D$39:$D$40)&gt;0</formula>
    </cfRule>
  </conditionalFormatting>
  <conditionalFormatting sqref="D6">
    <cfRule type="expression" dxfId="26" priority="5">
      <formula>$D$4=4</formula>
    </cfRule>
    <cfRule type="expression" dxfId="25" priority="6">
      <formula>$D$4&lt;&gt;4</formula>
    </cfRule>
  </conditionalFormatting>
  <conditionalFormatting sqref="G4">
    <cfRule type="expression" dxfId="24" priority="4">
      <formula>$D$4=4</formula>
    </cfRule>
  </conditionalFormatting>
  <dataValidations count="6">
    <dataValidation type="list" allowBlank="1" showInputMessage="1" showErrorMessage="1" sqref="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" style="4" customWidth="1"/>
    <col min="2" max="2" width="15.6640625" style="4" customWidth="1"/>
    <col min="3" max="3" width="55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texty!A259</f>
        <v>Era (bezramowe)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",7,".",62)</f>
        <v>Katalog Okuć meblowych 2024 str. 7.62</v>
      </c>
      <c r="B3" s="318" t="str">
        <f>CONCATENATE(texty!A34," / max.        2 740 mm /")</f>
        <v>wysokość / max.        2 740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5"/>
      <c r="G3" s="5"/>
      <c r="K3" s="5"/>
    </row>
    <row r="4" spans="1:21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skrzydło drzwi:</v>
      </c>
      <c r="B7" s="53" t="str">
        <f>IF(B4&gt;0,(B4-40-IF(D40+D41+D42+D43&gt;0,5,0)),"")</f>
        <v/>
      </c>
      <c r="C7" s="55" t="str">
        <f>IFERROR((((C4-3+34*(D4-1))/D4+IF(AND(D4=4,D6=2),L1,0))),"")</f>
        <v/>
      </c>
      <c r="D7" s="7"/>
      <c r="E7" s="7"/>
      <c r="F7" s="3" t="str">
        <f>texty!A44</f>
        <v>Maksymalna waga skrzydła to 35 kg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rozmiar wypełnienia 18mm: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rozmiar lustra / na DTD 12mm/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IF(K11="jiné",#REF!,"")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długość rączki (+ 2 mm 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4.75" customHeight="1" x14ac:dyDescent="0.25">
      <c r="A12" s="9"/>
      <c r="B12" s="9"/>
      <c r="C12" s="484" t="str">
        <f>texty!A52</f>
        <v>dodatkowe zmniejszenie wysokośći wyliczonych wypełnień przy wykorzystaniu profili dzielących: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406"/>
      <c r="D13" s="7"/>
      <c r="E13" s="7"/>
      <c r="F13" s="5"/>
      <c r="G13" s="5"/>
      <c r="K13" s="31"/>
      <c r="Q13" s="147"/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SUM(L12:L12)</f>
        <v>#VALUE!</v>
      </c>
      <c r="M14" s="4" t="e">
        <f>SUM(M12:M12)</f>
        <v>#VALUE!</v>
      </c>
      <c r="P14" s="4">
        <v>7</v>
      </c>
      <c r="Q14" s="147" t="e">
        <f>#REF!+C10+5</f>
        <v>#REF!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992</v>
      </c>
      <c r="B21" s="374" t="s">
        <v>991</v>
      </c>
      <c r="C21" s="374" t="s">
        <v>993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partnerska zniżka: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Kody zamówieniowe, ceny: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kod</v>
      </c>
      <c r="C25" s="16" t="str">
        <f>+System10!C27</f>
        <v>nazwa</v>
      </c>
      <c r="D25" s="17" t="str">
        <f>+System10!D27</f>
        <v>szt.</v>
      </c>
      <c r="E25" s="17" t="str">
        <f>+System10!E27</f>
        <v>cena/szt.</v>
      </c>
      <c r="F25" s="17" t="str">
        <f>+System10!F27</f>
        <v>cena w sumie</v>
      </c>
      <c r="G25" s="18" t="str">
        <f>+System10!G27</f>
        <v>w sumie netto:</v>
      </c>
      <c r="I25" s="16" t="str">
        <f>texty!A29</f>
        <v>Uwagi: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Tor górny: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Tor dolny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zaślepka toru dolnego</v>
      </c>
      <c r="B28" s="15">
        <v>216362</v>
      </c>
      <c r="C28" s="23" t="str">
        <f>+VLOOKUP(B28,cennik!A:G,2,FALSE)</f>
        <v>SEVROLL zaślepka gumowa do toru Simple/Blue przeźroczysta</v>
      </c>
      <c r="D28" s="15">
        <f>CEILING(C4/1000,1)</f>
        <v>0</v>
      </c>
      <c r="E28" s="86">
        <f>+VLOOKUP(B28,cennik!A:G,3,FALSE)</f>
        <v>3.4045299999999998</v>
      </c>
      <c r="F28" s="86">
        <f t="shared" si="0"/>
        <v>0</v>
      </c>
      <c r="G28" s="87">
        <f>+F28*(100-G24)/100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górne wózki</v>
      </c>
      <c r="B29" s="15">
        <v>349734</v>
      </c>
      <c r="C29" s="23" t="str">
        <f>+VLOOKUP(B29,cennik!A:G,2,FALSE)</f>
        <v>SEVROLL wózek górny Blue (do płyty laminowanej 18mm) bezramowy L+P</v>
      </c>
      <c r="D29" s="15">
        <f>+D4</f>
        <v>0</v>
      </c>
      <c r="E29" s="86">
        <f>+VLOOKUP(B29,cennik!A:G,3,FALSE)</f>
        <v>12.22138</v>
      </c>
      <c r="F29" s="86">
        <f t="shared" si="0"/>
        <v>0</v>
      </c>
      <c r="G29" s="87">
        <f>+F29*(100-G24)/100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dolne wózki</v>
      </c>
      <c r="B30" s="15">
        <v>349735</v>
      </c>
      <c r="C30" s="23" t="str">
        <f>+VLOOKUP(B30,cennik!A:G,2,FALSE)</f>
        <v>SEVROLL wózek dolny Blue V system bezramowy do 18mm - 2szt</v>
      </c>
      <c r="D30" s="15">
        <f>+D4</f>
        <v>0</v>
      </c>
      <c r="E30" s="86">
        <f>+VLOOKUP(B30,cennik!A:G,3,FALSE)</f>
        <v>17.35249</v>
      </c>
      <c r="F30" s="86">
        <f t="shared" si="0"/>
        <v>0</v>
      </c>
      <c r="G30" s="87">
        <f>+F30*(100-G24)/100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szczotka odbojowa</v>
      </c>
      <c r="B31" s="15">
        <v>98067</v>
      </c>
      <c r="C31" s="23" t="str">
        <f>+VLOOKUP(B31,cennik!A:G,2,FALSE)</f>
        <v>SEVROLL szczotka odbojowa zasuwana 14,5x4 mm</v>
      </c>
      <c r="D31" s="15">
        <f>CEILING((B4*D4*2/1000),1)</f>
        <v>0</v>
      </c>
      <c r="E31" s="86">
        <f>+VLOOKUP(B31,cennik!A:G,3,FALSE)</f>
        <v>1.224</v>
      </c>
      <c r="F31" s="86">
        <f t="shared" si="0"/>
        <v>0</v>
      </c>
      <c r="G31" s="87">
        <f>+F31*(100-G24)/100</f>
        <v>0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rączka</v>
      </c>
      <c r="B32" s="15" t="e">
        <f>+VLOOKUP(O7,data!C559:D562,2,0)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Akcesoria:</v>
      </c>
      <c r="B34" s="7"/>
      <c r="C34" s="475"/>
      <c r="D34" s="24" t="str">
        <f>System10!D41</f>
        <v>podaj ilość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pozycjoner wózka górnego</v>
      </c>
      <c r="B35" s="7">
        <v>298035</v>
      </c>
      <c r="C35" s="23" t="str">
        <f>+VLOOKUP(B35,cennik!A:G,2,FALSE)</f>
        <v>SEVROLL Fix pozycjoner wózka górnego transparentny</v>
      </c>
      <c r="D35" s="27"/>
      <c r="E35" s="86">
        <f>+VLOOKUP(B35,cennik!A:G,3,FALSE)</f>
        <v>3.74519</v>
      </c>
      <c r="F35" s="91">
        <f>+CEILING(D35,1)*E35</f>
        <v>0</v>
      </c>
      <c r="G35" s="87">
        <f>+F35*(100-G24)/100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pozycjoner</v>
      </c>
      <c r="B36" s="590">
        <v>229681</v>
      </c>
      <c r="C36" s="23" t="str">
        <f>+VLOOKUP(B36,cennik!A:G,2,FALSE)</f>
        <v>SEVROLL Simple/Blue pozycjoner wózka dolnego</v>
      </c>
      <c r="D36" s="27"/>
      <c r="E36" s="86">
        <f>+VLOOKUP(B36,cennik!A:G,3,FALSE)</f>
        <v>1.2257</v>
      </c>
      <c r="F36" s="86">
        <f>+E36*D36</f>
        <v>0</v>
      </c>
      <c r="G36" s="87">
        <f>+F36*(100-G24)/100</f>
        <v>0</v>
      </c>
      <c r="H36" s="5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Wkręt do dolnego toru</v>
      </c>
      <c r="B37" s="7">
        <v>98019</v>
      </c>
      <c r="C37" s="23" t="str">
        <f>+VLOOKUP(B37,cennik!A:G,2,FALSE)</f>
        <v>SEVROLL wkręt 2,5x18mm</v>
      </c>
      <c r="D37" s="27"/>
      <c r="E37" s="86">
        <f>+VLOOKUP(B37,cennik!A:G,3,FALSE)</f>
        <v>0.10996</v>
      </c>
      <c r="F37" s="91">
        <f>+CEILING(D37,1)*E37</f>
        <v>0</v>
      </c>
      <c r="G37" s="87">
        <f>+F37*(100-G20)/100</f>
        <v>0</v>
      </c>
      <c r="H37" s="5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profil łączący H21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profil łączący H28 Simple (18mm)</v>
      </c>
      <c r="B39" s="15" t="str">
        <f>IFERROR(+VLOOKUP(O7,data!C521:D523,2,0),"N/A")</f>
        <v>N/A</v>
      </c>
      <c r="C39" s="23" t="str">
        <f>IF(B39=data!D64,texty!A239,+VLOOKUP(B39,cennik!A:G,2,FALSE))</f>
        <v> w tym kolorze i długości dany profil nie jest produkowany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 Tłumienie MINI do 25 kg (para)</v>
      </c>
      <c r="B40" s="15">
        <v>318662</v>
      </c>
      <c r="C40" s="23" t="str">
        <f>+VLOOKUP(B40,cennik!A:G,2,FALSE)</f>
        <v>SEVROLL tłumienie Mini SV25 (14-25kg)</v>
      </c>
      <c r="D40" s="27"/>
      <c r="E40" s="86">
        <f>+VLOOKUP(B40,cennik!A:G,3,FALSE)</f>
        <v>96.889799999999994</v>
      </c>
      <c r="F40" s="91">
        <f>+CEILING(D40,1)*E40</f>
        <v>0</v>
      </c>
      <c r="G40" s="87">
        <f>+F40*(100-G24)/100</f>
        <v>0</v>
      </c>
      <c r="H40" s="5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 Tłumienie MINI do 40 kg (para)</v>
      </c>
      <c r="B41" s="15">
        <v>283956</v>
      </c>
      <c r="C41" s="23" t="str">
        <f>+VLOOKUP(B41,cennik!A:G,2,FALSE)</f>
        <v>SEVROLL tłumienie Mini SV40 (25 - 40kg)</v>
      </c>
      <c r="D41" s="27"/>
      <c r="E41" s="86">
        <f>+VLOOKUP(B41,cennik!A:G,3,FALSE)</f>
        <v>96.889799999999994</v>
      </c>
      <c r="F41" s="91">
        <f>+CEILING(D41,1)*E41</f>
        <v>0</v>
      </c>
      <c r="G41" s="87">
        <f>+F41*(100-G24)/100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 xml:space="preserve"> Tłumienie do skrzydła środkowego do 25 kg </v>
      </c>
      <c r="B42" s="15">
        <v>318663</v>
      </c>
      <c r="C42" s="23" t="str">
        <f>+VLOOKUP(B42,cennik!A:G,2,FALSE)</f>
        <v>SEVROLL tłumienie Central 10/18mm obustronne 25kg</v>
      </c>
      <c r="D42" s="27"/>
      <c r="E42" s="86">
        <f>+VLOOKUP(B42,cennik!A:G,3,FALSE)</f>
        <v>206.958</v>
      </c>
      <c r="F42" s="91">
        <f>+CEILING(D42,1)*E42</f>
        <v>0</v>
      </c>
      <c r="G42" s="87">
        <f>+F42*(100-G24)/100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 xml:space="preserve"> Tłumienie do skrzydła środkowego do 40 kg </v>
      </c>
      <c r="B43" s="15">
        <v>283955</v>
      </c>
      <c r="C43" s="23" t="str">
        <f>+VLOOKUP(B43,cennik!A:G,2,FALSE)</f>
        <v>SEVROLL tłumienie Central 10/18mm obustronne 25-40kg</v>
      </c>
      <c r="D43" s="27"/>
      <c r="E43" s="86">
        <f>+VLOOKUP(B43,cennik!A:G,3,FALSE)</f>
        <v>206.958</v>
      </c>
      <c r="F43" s="91">
        <f>+CEILING(D43,1)*E43</f>
        <v>0</v>
      </c>
      <c r="G43" s="87">
        <f>+F43*(100-G24)/100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szczotka przeciwkurzowa</v>
      </c>
      <c r="B44" s="15">
        <v>305348</v>
      </c>
      <c r="C44" s="23" t="str">
        <f>+VLOOKUP(B44,cennik!A:G,2,FALSE)</f>
        <v>SEVROLL szczotka przeciw kurzowa bez kleju 4,8x9 mm, szara</v>
      </c>
      <c r="D44" s="28"/>
      <c r="E44" s="86">
        <f>+VLOOKUP(B44,cennik!A:G,3,FALSE)</f>
        <v>0.89759999999999995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kątownik mini 11x17mm - 1,7m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kątownik mini 11x17mm - 2,35m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kątownik mini 11x17mm - 3,00m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kątownik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kątownik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kątownik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zacisk do dylatacji wypełnienia 16 mm</v>
      </c>
      <c r="B51" s="15">
        <v>308631</v>
      </c>
      <c r="C51" s="475" t="str">
        <f>+VLOOKUP(B51,cennik!A:G,2,FALSE)</f>
        <v>SEVROLL klin do płyty laminowanej grubość 2 mm (100 szt.)</v>
      </c>
      <c r="D51" s="27"/>
      <c r="E51" s="193">
        <f>+VLOOKUP(B51,cennik!A:G,3,FALSE)</f>
        <v>30.24597</v>
      </c>
      <c r="F51" s="99">
        <f t="shared" si="1"/>
        <v>0</v>
      </c>
      <c r="G51" s="98">
        <f>+F51*(100-G22)/100</f>
        <v>0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zamek do drzwi przesuwnych</v>
      </c>
      <c r="B52" s="15">
        <v>216363</v>
      </c>
      <c r="C52" s="475" t="str">
        <f>+VLOOKUP(B52,cennik!A:G,2,FALSE)</f>
        <v>SEVROLL zamek do drzwi przesuwnych 10/18mm</v>
      </c>
      <c r="D52" s="27"/>
      <c r="E52" s="193">
        <f>+VLOOKUP(B52,cennik!A:G,3,FALSE)</f>
        <v>66.840599999999995</v>
      </c>
      <c r="F52" s="99">
        <f t="shared" si="1"/>
        <v>0</v>
      </c>
      <c r="G52" s="98">
        <f>+F52*(100-G22)/100</f>
        <v>0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2.75" customHeight="1" x14ac:dyDescent="0.25">
      <c r="A54" s="6"/>
      <c r="B54" s="15"/>
      <c r="C54" s="23"/>
      <c r="E54" s="86"/>
      <c r="F54" s="91"/>
      <c r="G54" s="87"/>
      <c r="I54" s="166"/>
      <c r="J54" s="166"/>
      <c r="K54" s="3"/>
    </row>
    <row r="55" spans="1:13" ht="15" x14ac:dyDescent="0.25">
      <c r="A55" s="209" t="str">
        <f>texty!A190</f>
        <v xml:space="preserve">tutaj można znaleźć inne akcesoria </v>
      </c>
      <c r="E55" s="89"/>
      <c r="F55" s="89"/>
      <c r="G55" s="89"/>
      <c r="I55" s="166"/>
      <c r="J55" s="166"/>
      <c r="K55" s="5"/>
    </row>
    <row r="56" spans="1:13" ht="12.75" customHeight="1" x14ac:dyDescent="0.25">
      <c r="A56" s="209" t="str">
        <f>texty!A244</f>
        <v>rysunek techniczny tego systemu</v>
      </c>
      <c r="B56" s="7"/>
      <c r="C56" s="7"/>
      <c r="D56" s="71" t="str">
        <f>texty!A15</f>
        <v>w sumie (bez VAT)</v>
      </c>
      <c r="E56" s="94"/>
      <c r="F56" s="96" t="e">
        <f>SUM(F26:F55)</f>
        <v>#N/A</v>
      </c>
      <c r="G56" s="96" t="e">
        <f>SUM(G26:G55)</f>
        <v>#N/A</v>
      </c>
      <c r="H56" s="5" t="str">
        <f>cennik!B2</f>
        <v>zł</v>
      </c>
      <c r="I56" s="166"/>
      <c r="J56" s="166"/>
      <c r="K56" s="4" t="str">
        <f>texty!A128</f>
        <v>srebrny</v>
      </c>
    </row>
    <row r="57" spans="1:13" ht="12.75" customHeight="1" x14ac:dyDescent="0.25">
      <c r="A57" s="70" t="str">
        <f>System10!A67</f>
        <v>Uwagi</v>
      </c>
      <c r="B57" s="703"/>
      <c r="C57" s="704"/>
      <c r="D57" s="704"/>
      <c r="E57" s="704"/>
      <c r="F57" s="704"/>
      <c r="G57" s="704"/>
      <c r="K57" s="4" t="str">
        <f>texty!A130</f>
        <v>j.brąz</v>
      </c>
    </row>
    <row r="58" spans="1:13" ht="12.75" customHeight="1" x14ac:dyDescent="0.25">
      <c r="A58" s="696" t="str">
        <f>profil!U15</f>
        <v/>
      </c>
      <c r="B58" s="697"/>
      <c r="C58" s="697"/>
      <c r="D58" s="697"/>
      <c r="E58" s="697"/>
      <c r="F58" s="697"/>
      <c r="G58" s="697"/>
      <c r="K58" s="4" t="str">
        <f>data!J15</f>
        <v> biały połysk</v>
      </c>
    </row>
    <row r="59" spans="1:13" ht="12.75" customHeight="1" x14ac:dyDescent="0.25">
      <c r="A59" s="698" t="str">
        <f>IF(M59=1,texty!A215,IF(J59&gt;0,texty!A214,""))</f>
        <v>niektóre elementy nie są produkowane w wybranej długości</v>
      </c>
      <c r="B59" s="698"/>
      <c r="C59" s="698"/>
      <c r="D59" s="698"/>
      <c r="E59" s="698"/>
      <c r="F59" s="698"/>
      <c r="G59" s="698"/>
      <c r="J59" s="5" t="e">
        <f>SUM(J26:J55)</f>
        <v>#N/A</v>
      </c>
      <c r="K59" s="4" t="str">
        <f>data!J17</f>
        <v> czarny mat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IU+eXzIxX+C0bqSCbTl7lHIoX60or/MAMm8z/frEikqRGRnHLGqpAdLbgUQIAD8QnYVIg4cWEZLtzDzBtA4naA==" saltValue="JC/i61RM97RZbEHjUJZN/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22" priority="6">
      <formula>$D$4=4</formula>
    </cfRule>
    <cfRule type="expression" dxfId="21" priority="7">
      <formula>$D$4&lt;&gt;4</formula>
    </cfRule>
  </conditionalFormatting>
  <conditionalFormatting sqref="D44">
    <cfRule type="expression" dxfId="20" priority="8" stopIfTrue="1">
      <formula>IF(#REF!&gt;0,IF(#REF!=0,1,0),0)</formula>
    </cfRule>
  </conditionalFormatting>
  <conditionalFormatting sqref="F4:I6">
    <cfRule type="expression" dxfId="19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$K$56:$K$59</formula1>
    </dataValidation>
    <dataValidation type="list" allowBlank="1" showInputMessage="1" showErrorMessage="1" sqref="E5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19" customWidth="1"/>
    <col min="2" max="2" width="15.6640625" style="19" customWidth="1"/>
    <col min="3" max="3" width="53.88671875" style="19" customWidth="1"/>
    <col min="4" max="4" width="15.88671875" style="19" customWidth="1"/>
    <col min="5" max="5" width="14.6640625" style="19" customWidth="1"/>
    <col min="6" max="6" width="16.109375" style="19" customWidth="1"/>
    <col min="7" max="7" width="14.6640625" style="19" customWidth="1"/>
    <col min="8" max="8" width="4.6640625" style="19" customWidth="1"/>
    <col min="9" max="9" width="24.6640625" style="22" customWidth="1"/>
    <col min="10" max="10" width="4.6640625" style="5" hidden="1" customWidth="1"/>
    <col min="11" max="11" width="11.33203125" style="5" hidden="1" customWidth="1"/>
    <col min="12" max="12" width="14.6640625" style="4" hidden="1" customWidth="1"/>
    <col min="13" max="13" width="11.6640625" style="4" hidden="1" customWidth="1"/>
    <col min="14" max="14" width="8.6640625" style="4" hidden="1" customWidth="1"/>
    <col min="15" max="15" width="7.33203125" style="4" hidden="1" customWidth="1"/>
    <col min="16" max="16" width="9.109375" style="4" hidden="1" customWidth="1"/>
    <col min="17" max="17" width="7" style="4" hidden="1" customWidth="1"/>
    <col min="18" max="18" width="10.44140625" style="4" hidden="1" customWidth="1"/>
    <col min="19" max="19" width="12" style="4" hidden="1" customWidth="1"/>
    <col min="20" max="20" width="11.44140625" style="4" hidden="1" customWidth="1"/>
    <col min="21" max="21" width="5.109375" style="4" hidden="1" customWidth="1"/>
    <col min="22" max="23" width="5.6640625" style="4" hidden="1" customWidth="1"/>
    <col min="24" max="25" width="4.44140625" style="4" hidden="1" customWidth="1"/>
    <col min="26" max="26" width="11.44140625" style="4" hidden="1" customWidth="1"/>
    <col min="27" max="16384" width="9.109375" style="4" hidden="1"/>
  </cols>
  <sheetData>
    <row r="1" spans="1:22" ht="13.5" customHeight="1" thickBot="1" x14ac:dyDescent="0.3">
      <c r="A1" s="316"/>
      <c r="B1" s="15"/>
      <c r="C1" s="15"/>
      <c r="D1" s="15"/>
      <c r="E1" s="15"/>
      <c r="F1" s="15"/>
      <c r="G1" s="22"/>
      <c r="H1" s="22"/>
      <c r="K1" s="5">
        <v>2</v>
      </c>
      <c r="L1" s="4">
        <v>-9.5</v>
      </c>
    </row>
    <row r="2" spans="1:22" ht="18.75" customHeight="1" x14ac:dyDescent="0.25">
      <c r="A2" s="405" t="s">
        <v>6580</v>
      </c>
      <c r="B2" s="317" t="str">
        <f>profil!T7</f>
        <v>Klient, , NIP:</v>
      </c>
      <c r="C2" s="15"/>
      <c r="D2" s="15"/>
      <c r="E2" s="15"/>
      <c r="F2" s="15"/>
      <c r="G2" s="22"/>
      <c r="H2" s="22"/>
      <c r="K2" s="5">
        <v>3</v>
      </c>
    </row>
    <row r="3" spans="1:22" ht="39" customHeight="1" thickBot="1" x14ac:dyDescent="0.3">
      <c r="A3" s="582" t="str">
        <f>CONCATENATE(texty!A243," ",7,".",23)</f>
        <v>Katalog Okuć meblowych 2024 str. 7.23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</row>
    <row r="4" spans="1:22" ht="18" customHeight="1" x14ac:dyDescent="0.25">
      <c r="A4" s="321" t="str">
        <f>texty!A70</f>
        <v>WEWNĘTRZNY ROZMIAR SZAFY:</v>
      </c>
      <c r="B4" s="351"/>
      <c r="C4" s="351"/>
      <c r="D4" s="352"/>
      <c r="E4" s="352"/>
      <c r="F4" s="353"/>
      <c r="G4" s="693"/>
      <c r="H4" s="693"/>
      <c r="I4" s="69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3" t="str">
        <f>CONCATENATE(K4,"-",E4)</f>
        <v>1700-</v>
      </c>
      <c r="M5" s="3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2" t="str">
        <f>texty!A71</f>
        <v>skrzydło drzwi:</v>
      </c>
      <c r="B7" s="53" t="str">
        <f>IF(B4&gt;0,B4-40,"")</f>
        <v/>
      </c>
      <c r="C7" s="55" t="str">
        <f>IFERROR((((C4-3+(35*(D4-1)))/D4+IF(AND(D4=4,D6=2),L1,0))),"")</f>
        <v/>
      </c>
      <c r="D7" s="15"/>
      <c r="E7" s="15"/>
      <c r="F7" s="15"/>
      <c r="G7" s="330" t="str">
        <f>texty!A39</f>
        <v>W przypadku wykorzystania szkła,</v>
      </c>
      <c r="H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2" t="str">
        <f>texty!A72</f>
        <v>rozmiar wypełnienia 10 mm:</v>
      </c>
      <c r="B8" s="53" t="str">
        <f>IFERROR((B7-64),"")</f>
        <v/>
      </c>
      <c r="C8" s="55" t="str">
        <f>IFERROR((C7-36),"")</f>
        <v/>
      </c>
      <c r="D8" s="15"/>
      <c r="E8" s="15"/>
      <c r="F8" s="15"/>
      <c r="G8" s="330" t="str">
        <f>texty!A40</f>
        <v>należy wybrać bezpieczną szybę</v>
      </c>
      <c r="H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2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2" t="str">
        <f>texty!A74</f>
        <v>długość toru i listwy maskującej skrzydła</v>
      </c>
      <c r="B10" s="53"/>
      <c r="C10" s="56" t="str">
        <f>IFERROR((C7-53),"")</f>
        <v/>
      </c>
      <c r="D10" s="15"/>
      <c r="E10" s="15"/>
      <c r="F10" s="15"/>
      <c r="G10" s="331"/>
      <c r="H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2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2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J12" s="145"/>
      <c r="K12" s="145"/>
      <c r="L12" s="5" t="e">
        <f>C10*(D4-1)+(D4*5)</f>
        <v>#VALUE!</v>
      </c>
      <c r="M12" s="4" t="e">
        <f>IF(L12&lt;1700,1700,IF(L12&lt;2350,2350,IF(L12&lt;3000,3000,3000)))</f>
        <v>#VALUE!</v>
      </c>
      <c r="N12" s="146" t="e">
        <f>M12-L12</f>
        <v>#VALUE!</v>
      </c>
      <c r="O12" s="4" t="e">
        <f>IF((C10*2+10)&gt;3000,IF((C10+10)&gt;2350,3000,IF((C10+10)&gt;1700,2350,1700)),1700)</f>
        <v>#VALUE!</v>
      </c>
      <c r="P12" s="4" t="e">
        <f>IF((O12/(C10+5))&gt;3,3,IF((O12/(C10+5))&gt;2,2,1))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2" t="str">
        <f>texty!A77</f>
        <v xml:space="preserve">Długość uszczelki na jedno skrzydło to 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146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6.75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15"/>
      <c r="E15" s="15"/>
      <c r="F15" s="15"/>
      <c r="G15" s="22"/>
      <c r="H15" s="22"/>
      <c r="L15" s="5"/>
      <c r="R15" s="147"/>
    </row>
    <row r="16" spans="1:22" ht="13.2" x14ac:dyDescent="0.25">
      <c r="A16" s="320"/>
      <c r="B16" s="15"/>
      <c r="C16" s="382"/>
      <c r="D16" s="15"/>
      <c r="E16" s="15"/>
      <c r="F16" s="15"/>
      <c r="G16" s="22"/>
      <c r="H16" s="22"/>
      <c r="L16" s="5"/>
      <c r="R16" s="14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24" customHeight="1" x14ac:dyDescent="0.25">
      <c r="A20" s="320"/>
      <c r="B20" s="596" t="str">
        <f>texty!A242</f>
        <v>dylatacja 4 mm</v>
      </c>
      <c r="C20" s="15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partnerska zniżka:</v>
      </c>
      <c r="H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Kody zamówieniowe,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thickBot="1" x14ac:dyDescent="0.3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 t="s">
        <v>759</v>
      </c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thickBot="1" x14ac:dyDescent="0.3">
      <c r="A28" s="320" t="str">
        <f>texty!A81</f>
        <v>Tor górny:</v>
      </c>
      <c r="B28" s="14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thickBot="1" x14ac:dyDescent="0.3">
      <c r="A29" s="320" t="str">
        <f>texty!A82</f>
        <v>Tor dolny</v>
      </c>
      <c r="B29" s="14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texty!A83</f>
        <v>profil maskujący (maskownica):</v>
      </c>
      <c r="B30" s="14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texty!A84</f>
        <v>górne wózki</v>
      </c>
      <c r="B31" s="14">
        <v>89265</v>
      </c>
      <c r="C31" s="23" t="str">
        <f>+VLOOKUP(B31,cennik!A:G,2,FALSE)</f>
        <v>SEVROLL wózek górny 10mm asymetryczny L+P</v>
      </c>
      <c r="D31" s="15">
        <f>IF((D49+D50)&gt;D4,0,D4-(D49+D50))</f>
        <v>0</v>
      </c>
      <c r="E31" s="86">
        <f>+VLOOKUP(B31,cennik!A:G,3,FALSE)</f>
        <v>27.305399999999999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texty!A85</f>
        <v>dolne wózki</v>
      </c>
      <c r="B32" s="14">
        <f>IF(F4=M64,328321,229441)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texty!A89</f>
        <v>szczotka odbojowa</v>
      </c>
      <c r="B33" s="14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texty!A91</f>
        <v>rączka</v>
      </c>
      <c r="B34" s="15" t="e">
        <f>+VLOOKUP(P7,data!C330:D332,2,0)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</row>
    <row r="35" spans="1:22" ht="12.75" customHeight="1" x14ac:dyDescent="0.25">
      <c r="A35" s="320" t="str">
        <f>texty!A92</f>
        <v>śruba łącząca</v>
      </c>
      <c r="B35" s="14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</row>
    <row r="36" spans="1:22" ht="12.75" customHeight="1" x14ac:dyDescent="0.25">
      <c r="A36" s="320" t="str">
        <f>texty!A93</f>
        <v>listwa pozioma górna</v>
      </c>
      <c r="B36" s="14" t="e">
        <f>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</row>
    <row r="37" spans="1:22" ht="12.75" customHeight="1" x14ac:dyDescent="0.25">
      <c r="A37" s="320" t="str">
        <f>texty!A94</f>
        <v>listwa pozioma górna</v>
      </c>
      <c r="B37" s="22" t="e">
        <f>IF(M30="jiné","",VLOOKUP(M30,data!C335:D352,2,0))</f>
        <v>#VALUE!</v>
      </c>
      <c r="C37" s="469" t="e">
        <f>IF(M30="jiné",texty!A2,+VLOOKUP(B37,cennik!A:G,2,FALSE))</f>
        <v>#VALUE!</v>
      </c>
      <c r="D37" s="60" t="e">
        <f>N30</f>
        <v>#VALUE!</v>
      </c>
      <c r="E37" s="342" t="e">
        <f>IF(M30&lt;&gt;"jiné",IF(N26="jiné",0,+VLOOKUP(B37,cennik!A:G,3,FALSE)),0)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</row>
    <row r="38" spans="1:22" ht="12.75" customHeight="1" x14ac:dyDescent="0.25">
      <c r="A38" s="320" t="str">
        <f>texty!A95</f>
        <v>poziomy dolny profil ramy</v>
      </c>
      <c r="B38" s="14" t="e">
        <f>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</row>
    <row r="39" spans="1:22" ht="12.75" customHeight="1" x14ac:dyDescent="0.25">
      <c r="A39" s="320" t="str">
        <f>texty!A96</f>
        <v>poziomy dolny profil ramy</v>
      </c>
      <c r="B39" s="22" t="e">
        <f>IF(M30="jiné","",VLOOKUP(M30,data!C406:D420,2,0))</f>
        <v>#VALUE!</v>
      </c>
      <c r="C39" s="23" t="e">
        <f>IF(M30="jiné",texty!A2,VLOOKUP(B39,cennik!A:G,2,FALSE))</f>
        <v>#VALUE!</v>
      </c>
      <c r="D39" s="60" t="e">
        <f>N30</f>
        <v>#VALUE!</v>
      </c>
      <c r="E39" s="342" t="e">
        <f>IF(M30&lt;&gt;"jiné",IF(N26="jiné",0,+VLOOKUP(B39,cennik!A:G,3,FALSE)),0)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K40" s="174"/>
    </row>
    <row r="41" spans="1:22" ht="12.75" customHeight="1" x14ac:dyDescent="0.25">
      <c r="A41" s="325" t="str">
        <f>texty!A66</f>
        <v>Akcesoria:</v>
      </c>
      <c r="B41" s="14"/>
      <c r="D41" s="343" t="str">
        <f>texty!A33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</row>
    <row r="42" spans="1:22" ht="12.75" customHeight="1" x14ac:dyDescent="0.25">
      <c r="A42" s="320" t="str">
        <f>texty!A88</f>
        <v>pozycjoner wózka górnego</v>
      </c>
      <c r="B42" s="14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86">
        <f>+E42*D42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K42" s="174"/>
    </row>
    <row r="43" spans="1:22" ht="12.75" customHeight="1" x14ac:dyDescent="0.25">
      <c r="A43" s="320" t="str">
        <f>texty!A86</f>
        <v>pozycjoner</v>
      </c>
      <c r="B43" s="14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86">
        <f>+E43*D43</f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  <c r="N43" s="148"/>
    </row>
    <row r="44" spans="1:22" ht="12.75" customHeight="1" x14ac:dyDescent="0.25">
      <c r="A44" s="320" t="str">
        <f>texty!A228</f>
        <v> Tłumienie MINI do 25 kg (para)</v>
      </c>
      <c r="B44" s="14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>+CEILING(D44,1)*E44</f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  <c r="N44" s="148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>+CEILING(D45,1)*E45</f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>+CEILING(D46,1)*E46</f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>+CEILING(D47,1)*E47</f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>+CEILING(D48,1)*E48</f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</row>
    <row r="49" spans="1:13" ht="12.75" customHeight="1" x14ac:dyDescent="0.25">
      <c r="A49" s="320" t="str">
        <f>texty!A97</f>
        <v>tłumienie (para)25 kg</v>
      </c>
      <c r="B49" s="22">
        <v>227185</v>
      </c>
      <c r="C49" s="23" t="str">
        <f>+VLOOKUP(B49,cennik!A:G,2,FALSE)</f>
        <v>K-SEVROLL tłumienie 10/18mm 14-25kg L+P</v>
      </c>
      <c r="D49" s="278"/>
      <c r="E49" s="86">
        <f>+VLOOKUP(B49,cennik!A:G,3,FALSE)</f>
        <v>0</v>
      </c>
      <c r="F49" s="86">
        <f t="shared" ref="F49:F55" si="1">+E49*D49</f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3" ht="12.75" customHeight="1" x14ac:dyDescent="0.25">
      <c r="A50" s="320" t="str">
        <f>texty!A98</f>
        <v>tłumienie (para) 50 kg</v>
      </c>
      <c r="B50" s="22">
        <v>227187</v>
      </c>
      <c r="C50" s="23" t="str">
        <f>+VLOOKUP(B50,cennik!A:G,2,FALSE)</f>
        <v>K-SEVROLL tłumienie 10/18mm 25-50kg L+P</v>
      </c>
      <c r="D50" s="278"/>
      <c r="E50" s="86">
        <f>+VLOOKUP(B50,cennik!A:G,3,FALSE)</f>
        <v>0</v>
      </c>
      <c r="F50" s="86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3" ht="12.75" customHeight="1" x14ac:dyDescent="0.25">
      <c r="A51" s="320" t="str">
        <f>texty!A100</f>
        <v>profil łączący H10-3metry</v>
      </c>
      <c r="B51" s="14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 t="shared" si="1"/>
        <v>#N/A</v>
      </c>
      <c r="G51" s="87" t="e">
        <f>+F51*(100-G26)/100</f>
        <v>#N/A</v>
      </c>
      <c r="H51" s="22" t="str">
        <f>cennik!B2</f>
        <v>zł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3" ht="12.75" customHeight="1" x14ac:dyDescent="0.25">
      <c r="A52" s="320" t="str">
        <f>texty!A101</f>
        <v>profil łączący H30-3metry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 t="shared" si="1"/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3" ht="12.75" customHeight="1" x14ac:dyDescent="0.25">
      <c r="A53" s="320" t="str">
        <f>texty!A92</f>
        <v>śruba łącząca</v>
      </c>
      <c r="B53" s="14">
        <v>89244</v>
      </c>
      <c r="C53" s="23" t="str">
        <f>+VLOOKUP(B53,cennik!A:G,2,FALSE)</f>
        <v>SEVROLL blachowkręt 6,3x32 SEVROLL i Simple</v>
      </c>
      <c r="D53" s="354"/>
      <c r="E53" s="86">
        <f>+VLOOKUP(B53,cennik!A:G,3,FALSE)</f>
        <v>0.52500000000000002</v>
      </c>
      <c r="F53" s="86">
        <f t="shared" si="1"/>
        <v>0</v>
      </c>
      <c r="G53" s="87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3" ht="12.75" customHeight="1" x14ac:dyDescent="0.25">
      <c r="A54" s="320" t="str">
        <f>texty!A240</f>
        <v>zamek do drzwi przesuwnych</v>
      </c>
      <c r="B54" s="15">
        <v>216363</v>
      </c>
      <c r="C54" s="23" t="str">
        <f>+VLOOKUP(B54,cennik!A:G,2,FALSE)</f>
        <v>SEVROLL zamek do drzwi przesuwnych 10/18mm</v>
      </c>
      <c r="D54" s="354"/>
      <c r="E54" s="86">
        <f>+VLOOKUP(B54,cennik!A:G,3,FALSE)</f>
        <v>66.840599999999995</v>
      </c>
      <c r="F54" s="86">
        <f t="shared" si="1"/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</row>
    <row r="55" spans="1:13" ht="12.75" customHeight="1" x14ac:dyDescent="0.25">
      <c r="A55" s="320" t="str">
        <f>texty!A90</f>
        <v>szczotka przeciwkurzowa</v>
      </c>
      <c r="B55" s="15">
        <v>95946</v>
      </c>
      <c r="C55" s="23" t="str">
        <f>+VLOOKUP(B55,cennik!A:G,2,FALSE)</f>
        <v>SEVROLL szczotka przeciwkurzowa bez kleju 4,8x13 mm, szara</v>
      </c>
      <c r="D55" s="354"/>
      <c r="E55" s="86">
        <f>+VLOOKUP(B55,cennik!A:G,3,FALSE)</f>
        <v>0.80579999999999996</v>
      </c>
      <c r="F55" s="86">
        <f t="shared" si="1"/>
        <v>0</v>
      </c>
      <c r="G55" s="87">
        <f>+F55*(100-G26)/100</f>
        <v>0</v>
      </c>
      <c r="H55" s="22" t="str">
        <f>cennik!B2</f>
        <v>zł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</row>
    <row r="56" spans="1:13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2"/>
      <c r="H56" s="266"/>
      <c r="I56" s="363" t="str">
        <f>IFERROR(IF((VLOOKUP(B56,cennik!A:L,12,0))="O",texty!A250,""),"")</f>
        <v/>
      </c>
      <c r="K56" s="174"/>
    </row>
    <row r="57" spans="1:13" ht="12.75" customHeight="1" x14ac:dyDescent="0.25">
      <c r="C57" s="344" t="str">
        <f>texty!A10</f>
        <v>Długość uszczelki w przypadku całkowitego zaszklenia (należy zamówić całe metry)</v>
      </c>
      <c r="D57" s="334" t="str">
        <f>IFERROR((CEILING(((B9+C9)*2/1000*D4),1)),"")</f>
        <v/>
      </c>
      <c r="E57" s="266"/>
      <c r="F57" s="266"/>
      <c r="G57" s="266"/>
      <c r="H57" s="266"/>
      <c r="I57" s="363" t="str">
        <f>IFERROR(IF((VLOOKUP(B57,cennik!A:L,12,0))="O",texty!A250,""),"")</f>
        <v/>
      </c>
      <c r="K57" s="174"/>
      <c r="L57" s="3" t="s">
        <v>13</v>
      </c>
    </row>
    <row r="58" spans="1:13" ht="12.75" customHeight="1" x14ac:dyDescent="0.25">
      <c r="A58" s="345" t="str">
        <f>texty!A12</f>
        <v>(w przypadku kombinacji z profilami H należy dodać odpowiednią długość - uszczelka musi być na całym obwodzie każdego szkła)</v>
      </c>
      <c r="B58" s="346"/>
      <c r="C58" s="347"/>
      <c r="D58" s="346"/>
      <c r="E58" s="336"/>
      <c r="F58" s="336"/>
      <c r="G58" s="336"/>
      <c r="H58" s="266"/>
      <c r="I58" s="363" t="str">
        <f>IFERROR(IF((VLOOKUP(B58,cennik!A:L,12,0))="O",texty!A250,""),"")</f>
        <v/>
      </c>
      <c r="K58" s="174"/>
      <c r="L58" s="3"/>
    </row>
    <row r="59" spans="1:13" ht="12.75" customHeight="1" x14ac:dyDescent="0.25">
      <c r="A59" s="320" t="str">
        <f>texty!A102</f>
        <v>uszczelka na szkło 4mm</v>
      </c>
      <c r="B59" s="15">
        <v>89238</v>
      </c>
      <c r="C59" s="23" t="str">
        <f>+VLOOKUP(B59,cennik!A:G,2,FALSE)</f>
        <v>SEVROLL uszczelka do szkła 10/4 mm</v>
      </c>
      <c r="D59" s="355"/>
      <c r="E59" s="86">
        <f>+VLOOKUP(B59,cennik!A:G,3,FALSE)</f>
        <v>2.7501000000000002</v>
      </c>
      <c r="F59" s="91">
        <f>+CEILING(D59,1)*E59</f>
        <v>0</v>
      </c>
      <c r="G59" s="87">
        <f>+F59*(100-G26)/100</f>
        <v>0</v>
      </c>
      <c r="H59" s="22" t="str">
        <f>cennik!B2</f>
        <v>zł</v>
      </c>
      <c r="I59" s="363" t="str">
        <f>IFERROR(IF((VLOOKUP(B59,cennik!A:L,12,0))="O",texty!A250,""),"")</f>
        <v/>
      </c>
      <c r="K59" s="174" t="str">
        <f>IF(D59&gt;0,IF(VLOOKUP(B59,cennik!A:L,12,FALSE)="O",1,""),"")</f>
        <v/>
      </c>
      <c r="L59" s="3" t="s">
        <v>13</v>
      </c>
    </row>
    <row r="60" spans="1:13" ht="12.75" customHeight="1" x14ac:dyDescent="0.25">
      <c r="A60" s="320" t="str">
        <f>texty!A103</f>
        <v>uszczelka na szkło 4,5mm</v>
      </c>
      <c r="B60" s="15">
        <v>135164</v>
      </c>
      <c r="C60" s="23" t="str">
        <f>+VLOOKUP(B60,cennik!A:G,2,FALSE)</f>
        <v>SEVROLL uszczelka bezbarwna 10/4,5mm</v>
      </c>
      <c r="D60" s="355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22" t="str">
        <f>cennik!B2</f>
        <v>zł</v>
      </c>
      <c r="I60" s="363" t="str">
        <f>IFERROR(IF((VLOOKUP(B60,cennik!A:L,12,0))="O",texty!A250,""),"")</f>
        <v/>
      </c>
      <c r="K60" s="174" t="str">
        <f>IF(D60&gt;0,IF(VLOOKUP(B60,cennik!A:L,12,FALSE)="O",1,""),"")</f>
        <v/>
      </c>
    </row>
    <row r="61" spans="1:13" ht="12.75" customHeight="1" x14ac:dyDescent="0.25">
      <c r="A61" s="320" t="str">
        <f>texty!A104</f>
        <v>uszczelka na szkło 6mm</v>
      </c>
      <c r="B61" s="15">
        <v>89243</v>
      </c>
      <c r="C61" s="23" t="str">
        <f>+VLOOKUP(B61,cennik!A:G,2,FALSE)</f>
        <v>SEVROLL uszczelka bezbarwna 10/6mm</v>
      </c>
      <c r="D61" s="355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22" t="str">
        <f>cennik!B2</f>
        <v>zł</v>
      </c>
      <c r="I61" s="363" t="str">
        <f>IFERROR(IF((VLOOKUP(B61,cennik!A:L,12,0))="O",texty!A250,""),"")</f>
        <v/>
      </c>
      <c r="K61" s="174" t="str">
        <f>IF(D61&gt;0,IF(VLOOKUP(B61,cennik!A:L,12,FALSE)="O",1,""),"")</f>
        <v/>
      </c>
    </row>
    <row r="62" spans="1:13" ht="15" x14ac:dyDescent="0.25">
      <c r="A62" s="209" t="str">
        <f>texty!A190</f>
        <v xml:space="preserve">tutaj można znaleźć inne akcesoria </v>
      </c>
      <c r="E62" s="266"/>
      <c r="F62" s="266"/>
      <c r="G62" s="266"/>
      <c r="H62" s="22"/>
      <c r="I62" s="363" t="str">
        <f>IFERROR(IF((VLOOKUP(B62,cennik!A:L,12,0))="O",texty!A250,""),"")</f>
        <v/>
      </c>
      <c r="K62" s="174"/>
    </row>
    <row r="63" spans="1:13" ht="12.75" customHeight="1" x14ac:dyDescent="0.25">
      <c r="A63" s="209" t="str">
        <f>texty!A244</f>
        <v>rysunek techniczny tego systemu</v>
      </c>
      <c r="B63" s="15">
        <v>129677</v>
      </c>
      <c r="C63" s="348" t="str">
        <f>VLOOKUP(B63,cennik!A:C,2,0)</f>
        <v>SEVROLL element montażowy do płyty laminowanej 10mm mały</v>
      </c>
      <c r="D63" s="355"/>
      <c r="E63" s="86">
        <f>+VLOOKUP(B63,cennik!A:G,3,FALSE)</f>
        <v>51.590769999999999</v>
      </c>
      <c r="F63" s="91">
        <f>+CEILING(D63,1)*E63</f>
        <v>0</v>
      </c>
      <c r="G63" s="87">
        <f>+F63</f>
        <v>0</v>
      </c>
      <c r="H63" s="22" t="str">
        <f>cennik!B2</f>
        <v>zł</v>
      </c>
      <c r="I63" s="363" t="str">
        <f>IFERROR(IF((VLOOKUP(B63,cennik!A:L,12,0))="O",texty!A250,""),"")</f>
        <v/>
      </c>
      <c r="K63" s="174" t="str">
        <f>IF(D63&gt;0,IF(VLOOKUP(B63,cennik!A:L,12,FALSE)="O",1,""),"")</f>
        <v/>
      </c>
    </row>
    <row r="64" spans="1:13" ht="12.75" customHeight="1" x14ac:dyDescent="0.25">
      <c r="B64" s="15">
        <v>128842</v>
      </c>
      <c r="C64" s="348" t="str">
        <f>VLOOKUP(B64,cennik!A:C,2,0)</f>
        <v>SEVROLL wiertło stopniowe 6,5/9,5mm</v>
      </c>
      <c r="D64" s="355"/>
      <c r="E64" s="86">
        <f>+VLOOKUP(B64,cennik!A:G,3,FALSE)</f>
        <v>116.85122</v>
      </c>
      <c r="F64" s="91">
        <f>+CEILING(D64,1)*E64</f>
        <v>0</v>
      </c>
      <c r="G64" s="87">
        <f>+F64</f>
        <v>0</v>
      </c>
      <c r="H64" s="22" t="str">
        <f>cennik!B2</f>
        <v>zł</v>
      </c>
      <c r="I64" s="363" t="str">
        <f>IFERROR(IF((VLOOKUP(B64,cennik!A:L,12,0))="O",texty!A250,""),"")</f>
        <v/>
      </c>
      <c r="K64" s="174" t="str">
        <f>IF(D64&gt;0,IF(VLOOKUP(B64,cennik!A:L,12,FALSE)="O",1,""),"")</f>
        <v/>
      </c>
      <c r="L64" s="4" t="str">
        <f>data!J4</f>
        <v>srebrny</v>
      </c>
      <c r="M64" s="4" t="s">
        <v>968</v>
      </c>
    </row>
    <row r="65" spans="1:14" ht="12.75" customHeight="1" x14ac:dyDescent="0.25">
      <c r="A65" s="685" t="str">
        <f>IF(SUM(D49:D50)&gt;0,IF(C7&lt;(B4/3),texty!A212,""),"")</f>
        <v/>
      </c>
      <c r="B65" s="685"/>
      <c r="C65" s="685"/>
      <c r="D65" s="685"/>
      <c r="E65" s="685"/>
      <c r="F65" s="685"/>
      <c r="G65" s="685"/>
      <c r="H65" s="685"/>
      <c r="I65" s="349"/>
      <c r="J65" s="210"/>
      <c r="K65" s="126"/>
      <c r="L65" s="4" t="str">
        <f>data!J5</f>
        <v>złoty/mosiądz</v>
      </c>
      <c r="M65" s="4" t="s">
        <v>42</v>
      </c>
    </row>
    <row r="66" spans="1:14" ht="12.75" customHeight="1" x14ac:dyDescent="0.25">
      <c r="B66" s="15"/>
      <c r="C66" s="15"/>
      <c r="D66" s="350" t="str">
        <f>texty!A15</f>
        <v>w sumie (bez VAT)</v>
      </c>
      <c r="E66" s="336"/>
      <c r="F66" s="95" t="e">
        <f>SUM(F28:F64)</f>
        <v>#N/A</v>
      </c>
      <c r="G66" s="96" t="e">
        <f>SUM(G28:G64)</f>
        <v>#N/A</v>
      </c>
      <c r="H66" s="22" t="str">
        <f>cennik!B2</f>
        <v>zł</v>
      </c>
      <c r="I66" s="4"/>
      <c r="J66" s="166"/>
      <c r="K66" s="166"/>
      <c r="L66" s="4" t="str">
        <f>data!J6</f>
        <v>j.brąz</v>
      </c>
    </row>
    <row r="67" spans="1:14" ht="12.75" customHeight="1" x14ac:dyDescent="0.25">
      <c r="A67" s="337" t="str">
        <f>texty!A14</f>
        <v>Uwagi</v>
      </c>
      <c r="B67" s="690"/>
      <c r="C67" s="691"/>
      <c r="D67" s="691"/>
      <c r="E67" s="691"/>
      <c r="F67" s="691"/>
      <c r="G67" s="692"/>
      <c r="H67" s="22"/>
      <c r="J67" s="166"/>
      <c r="K67" s="166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</row>
    <row r="69" spans="1:14" ht="12.75" customHeight="1" x14ac:dyDescent="0.25">
      <c r="A69" s="680" t="str">
        <f>IF(N69=1,"texty!A213",IF(K69&gt;0,texty!A214,""))</f>
        <v/>
      </c>
      <c r="B69" s="680"/>
      <c r="C69" s="680"/>
      <c r="D69" s="680"/>
      <c r="E69" s="680"/>
      <c r="F69" s="680"/>
      <c r="G69" s="680"/>
      <c r="H69" s="680"/>
      <c r="K69" s="5">
        <f>SUM(K56:K64)</f>
        <v>0</v>
      </c>
      <c r="N69" s="4">
        <f>IF(ISERROR(K69),1,0)</f>
        <v>0</v>
      </c>
    </row>
  </sheetData>
  <sheetProtection algorithmName="SHA-512" hashValue="lRi9Dn2mee73jczPh/SgpjXb/Usaj5fcXu59/WYVMH35qAAWbI6ToszzfqrklfRjmU9zzps7e047wF2VQzSF2g==" saltValue="4OQieLkzjolbDbb8Z9cGnw==" spinCount="100000" sheet="1" objects="1" scenarios="1"/>
  <mergeCells count="13">
    <mergeCell ref="U6:U7"/>
    <mergeCell ref="R6:R7"/>
    <mergeCell ref="S6:S7"/>
    <mergeCell ref="T6:T7"/>
    <mergeCell ref="G4:I6"/>
    <mergeCell ref="B5:F5"/>
    <mergeCell ref="A69:H69"/>
    <mergeCell ref="A68:H68"/>
    <mergeCell ref="I19:I20"/>
    <mergeCell ref="I21:I22"/>
    <mergeCell ref="A65:H65"/>
    <mergeCell ref="B67:G67"/>
    <mergeCell ref="A14:B15"/>
  </mergeCells>
  <phoneticPr fontId="0" type="noConversion"/>
  <conditionalFormatting sqref="A14">
    <cfRule type="expression" dxfId="359" priority="3">
      <formula>SUM($D$47:$D$48)&gt;0</formula>
    </cfRule>
  </conditionalFormatting>
  <conditionalFormatting sqref="D6">
    <cfRule type="expression" dxfId="357" priority="9">
      <formula>$D$4=4</formula>
    </cfRule>
    <cfRule type="expression" dxfId="356" priority="10">
      <formula>$D$4&lt;&gt;4</formula>
    </cfRule>
  </conditionalFormatting>
  <conditionalFormatting sqref="D53">
    <cfRule type="expression" dxfId="355" priority="1">
      <formula>IF($D$52&gt;0,IF($D$53=0,1,0),0)</formula>
    </cfRule>
  </conditionalFormatting>
  <conditionalFormatting sqref="G4">
    <cfRule type="expression" dxfId="354" priority="8">
      <formula>$D$4=4</formula>
    </cfRule>
  </conditionalFormatting>
  <conditionalFormatting sqref="I19:I20">
    <cfRule type="expression" dxfId="353" priority="16">
      <formula>$F$4=$M$65</formula>
    </cfRule>
    <cfRule type="expression" dxfId="352" priority="17">
      <formula>$F$4=$L$65</formula>
    </cfRule>
  </conditionalFormatting>
  <conditionalFormatting sqref="I21:I22">
    <cfRule type="expression" dxfId="351" priority="24">
      <formula>$F$4=$M$64</formula>
    </cfRule>
    <cfRule type="expression" dxfId="350" priority="25">
      <formula>$F$4=$L$64</formula>
    </cfRule>
  </conditionalFormatting>
  <dataValidations count="7">
    <dataValidation type="list" allowBlank="1" showInputMessage="1" showErrorMessage="1" sqref="F6" xr:uid="{00000000-0002-0000-0600-000000000000}">
      <formula1>"stříbrná,zlatá,oliva"</formula1>
      <formula2>0</formula2>
    </dataValidation>
    <dataValidation type="decimal" allowBlank="1" showInputMessage="1" showErrorMessage="1" errorTitle="Nelze" error="Max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IF(E4=L65,M64,M64:M65)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9.33203125" style="4" customWidth="1"/>
    <col min="2" max="2" width="15.6640625" style="4" customWidth="1"/>
    <col min="3" max="3" width="5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1.554687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texty!A261</f>
        <v>Rekord (bezramowe)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",7,".",62)</f>
        <v>Katalog Okuć meblowych 2024 str. 7.62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5"/>
      <c r="G3" s="5"/>
      <c r="K3" s="5"/>
    </row>
    <row r="4" spans="1:21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>
        <v>2</v>
      </c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texty!A47</f>
        <v>skrzydło drzwi:</v>
      </c>
      <c r="B7" s="53" t="str">
        <f>IF(B4&gt;0,(B4-40-IF(D40+D41+D42+D43&gt;0,5,0)),"")</f>
        <v/>
      </c>
      <c r="C7" s="55" t="str">
        <f>IFERROR((((C4-3+30*(D4-1))/D4+IF(AND(D4=4,D6=2),L1,0))),"")</f>
        <v/>
      </c>
      <c r="D7" s="7"/>
      <c r="E7" s="7"/>
      <c r="F7" s="3" t="str">
        <f>texty!A44</f>
        <v>Maksymalna waga skrzydła to 35 kg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rozmiar wypełnienia 18mm: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rozmiar wypełnienia 12mm: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rozmiar lustra / na DTD 12mm/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długość rączki (+ 2 mm 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2.8" x14ac:dyDescent="0.25">
      <c r="A12" s="9"/>
      <c r="B12" s="9"/>
      <c r="C12" s="375" t="str">
        <f>texty!A78</f>
        <v>dodatkowe zmniejszenie wysokośći wyliczonych wypełnień przy wykorzystaniu profili dzielących: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10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990</v>
      </c>
      <c r="B21" s="374" t="s">
        <v>991</v>
      </c>
      <c r="C21" s="374" t="s">
        <v>988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partnerska zniżka: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Kody zamówieniowe, ceny: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kod</v>
      </c>
      <c r="C25" s="16" t="str">
        <f>+System10!C27</f>
        <v>nazwa</v>
      </c>
      <c r="D25" s="17" t="str">
        <f>+System10!D27</f>
        <v>szt.</v>
      </c>
      <c r="E25" s="17" t="str">
        <f>+System10!E27</f>
        <v>cena/szt.</v>
      </c>
      <c r="F25" s="17" t="str">
        <f>+System10!F27</f>
        <v>cena w sumie</v>
      </c>
      <c r="G25" s="18" t="str">
        <f>+System10!G27</f>
        <v>w sumie netto:</v>
      </c>
      <c r="I25" s="16" t="str">
        <f>texty!A29</f>
        <v>Uwagi: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Tor górny: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zł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Tor dolny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zł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zaślepka toru dolnego</v>
      </c>
      <c r="B28" s="15">
        <v>216362</v>
      </c>
      <c r="C28" s="23" t="str">
        <f>+VLOOKUP(B28,cennik!A:G,2,FALSE)</f>
        <v>SEVROLL zaślepka gumowa do toru Simple/Blue przeźroczysta</v>
      </c>
      <c r="D28" s="15">
        <f>CEILING(C4/1000,1)</f>
        <v>0</v>
      </c>
      <c r="E28" s="86">
        <f>+VLOOKUP(B28,cennik!A:G,3,FALSE)</f>
        <v>3.4045299999999998</v>
      </c>
      <c r="F28" s="86">
        <f t="shared" si="0"/>
        <v>0</v>
      </c>
      <c r="G28" s="87">
        <f>+F28*(100-G24)/100</f>
        <v>0</v>
      </c>
      <c r="H28" s="5" t="str">
        <f>cennik!B2</f>
        <v>zł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górne wózki</v>
      </c>
      <c r="B29" s="15">
        <v>349734</v>
      </c>
      <c r="C29" s="23" t="str">
        <f>+VLOOKUP(B29,cennik!A:G,2,FALSE)</f>
        <v>SEVROLL wózek górny Blue (do płyty laminowanej 18mm) bezramowy L+P</v>
      </c>
      <c r="D29" s="15">
        <f>+D4</f>
        <v>0</v>
      </c>
      <c r="E29" s="86">
        <f>+VLOOKUP(B29,cennik!A:G,3,FALSE)</f>
        <v>12.22138</v>
      </c>
      <c r="F29" s="86">
        <f t="shared" si="0"/>
        <v>0</v>
      </c>
      <c r="G29" s="87">
        <f>+F29*(100-G24)/100</f>
        <v>0</v>
      </c>
      <c r="H29" s="5" t="str">
        <f>cennik!B2</f>
        <v>zł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dolne wózki</v>
      </c>
      <c r="B30" s="15">
        <v>349735</v>
      </c>
      <c r="C30" s="23" t="str">
        <f>+VLOOKUP(B30,cennik!A:G,2,FALSE)</f>
        <v>SEVROLL wózek dolny Blue V system bezramowy do 18mm - 2szt</v>
      </c>
      <c r="D30" s="15">
        <f>+D4</f>
        <v>0</v>
      </c>
      <c r="E30" s="86">
        <f>+VLOOKUP(B30,cennik!A:G,3,FALSE)</f>
        <v>17.35249</v>
      </c>
      <c r="F30" s="86">
        <f t="shared" si="0"/>
        <v>0</v>
      </c>
      <c r="G30" s="87">
        <f>+F30*(100-G24)/100</f>
        <v>0</v>
      </c>
      <c r="H30" s="5" t="str">
        <f>cennik!B2</f>
        <v>zł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szczotka odbojowa</v>
      </c>
      <c r="B31" s="15">
        <v>98067</v>
      </c>
      <c r="C31" s="23" t="str">
        <f>+VLOOKUP(B31,cennik!A:G,2,FALSE)</f>
        <v>SEVROLL szczotka odbojowa zasuwana 14,5x4 mm</v>
      </c>
      <c r="D31" s="15">
        <f>CEILING((B4*D4*2/1000),1)</f>
        <v>0</v>
      </c>
      <c r="E31" s="86">
        <f>+VLOOKUP(B31,cennik!A:G,3,FALSE)</f>
        <v>1.224</v>
      </c>
      <c r="F31" s="86">
        <f t="shared" si="0"/>
        <v>0</v>
      </c>
      <c r="G31" s="87">
        <f>+F31*(100-G24)/100</f>
        <v>0</v>
      </c>
      <c r="H31" s="5" t="str">
        <f>cennik!B2</f>
        <v>zł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rączka</v>
      </c>
      <c r="B32" s="15" t="e">
        <f>+VLOOKUP(O7,data!C564:D566,2,0)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Akcesoria:</v>
      </c>
      <c r="B34" s="7"/>
      <c r="C34" s="475"/>
      <c r="D34" s="24" t="str">
        <f>System10!D41</f>
        <v>podaj ilość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pozycjoner wózka górnego</v>
      </c>
      <c r="B35" s="7">
        <v>298035</v>
      </c>
      <c r="C35" s="23" t="str">
        <f>+VLOOKUP(B35,cennik!A:G,2,FALSE)</f>
        <v>SEVROLL Fix pozycjoner wózka górnego transparentny</v>
      </c>
      <c r="D35" s="27"/>
      <c r="E35" s="86">
        <f>+VLOOKUP(B35,cennik!A:G,3,FALSE)</f>
        <v>3.74519</v>
      </c>
      <c r="F35" s="91">
        <f>+CEILING(D35,1)*E35</f>
        <v>0</v>
      </c>
      <c r="G35" s="87">
        <f>+F35*(100-G24)/100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pozycjoner</v>
      </c>
      <c r="B36" s="590">
        <v>229681</v>
      </c>
      <c r="C36" s="23" t="str">
        <f>+VLOOKUP(B36,cennik!A:G,2,FALSE)</f>
        <v>SEVROLL Simple/Blue pozycjoner wózka dolnego</v>
      </c>
      <c r="D36" s="27"/>
      <c r="E36" s="86">
        <f>+VLOOKUP(B36,cennik!A:G,3,FALSE)</f>
        <v>1.2257</v>
      </c>
      <c r="F36" s="86">
        <f>+E36*D36</f>
        <v>0</v>
      </c>
      <c r="G36" s="87">
        <f>+F36*(100-G24)/100</f>
        <v>0</v>
      </c>
      <c r="H36" s="5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Wkręt do dolnego toru</v>
      </c>
      <c r="B37" s="7">
        <v>98019</v>
      </c>
      <c r="C37" s="23" t="str">
        <f>+VLOOKUP(B37,cennik!A:G,2,FALSE)</f>
        <v>SEVROLL wkręt 2,5x18mm</v>
      </c>
      <c r="D37" s="27"/>
      <c r="E37" s="86">
        <f>+VLOOKUP(B37,cennik!A:G,3,FALSE)</f>
        <v>0.10996</v>
      </c>
      <c r="F37" s="91">
        <f>+CEILING(D37,1)*E37</f>
        <v>0</v>
      </c>
      <c r="G37" s="87">
        <f>+F37*(100-G20)/100</f>
        <v>0</v>
      </c>
      <c r="H37" s="5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profil łączący H21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zł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profil łączący H28 Simple (18mm)</v>
      </c>
      <c r="B39" s="15" t="str">
        <f>IFERROR(+VLOOKUP(O7,data!C521:D523,2,0),"N/A")</f>
        <v>N/A</v>
      </c>
      <c r="C39" s="23" t="str">
        <f>IF(B39=data!D64,texty!A239,+VLOOKUP(B39,cennik!A:G,2,FALSE))</f>
        <v> w tym kolorze i długości dany profil nie jest produkowany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zł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 Tłumienie MINI do 25 kg (para)</v>
      </c>
      <c r="B40" s="15">
        <v>318662</v>
      </c>
      <c r="C40" s="23" t="str">
        <f>+VLOOKUP(B40,cennik!A:G,2,FALSE)</f>
        <v>SEVROLL tłumienie Mini SV25 (14-25kg)</v>
      </c>
      <c r="D40" s="27"/>
      <c r="E40" s="86">
        <f>+VLOOKUP(B40,cennik!A:G,3,FALSE)</f>
        <v>96.889799999999994</v>
      </c>
      <c r="F40" s="91">
        <f>+CEILING(D40,1)*E40</f>
        <v>0</v>
      </c>
      <c r="G40" s="87">
        <f>+F40*(100-G24)/100</f>
        <v>0</v>
      </c>
      <c r="H40" s="5" t="str">
        <f>cennik!B2</f>
        <v>zł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 Tłumienie MINI do 40 kg (para)</v>
      </c>
      <c r="B41" s="15">
        <v>283956</v>
      </c>
      <c r="C41" s="23" t="str">
        <f>+VLOOKUP(B41,cennik!A:G,2,FALSE)</f>
        <v>SEVROLL tłumienie Mini SV40 (25 - 40kg)</v>
      </c>
      <c r="D41" s="27"/>
      <c r="E41" s="86">
        <f>+VLOOKUP(B41,cennik!A:G,3,FALSE)</f>
        <v>96.889799999999994</v>
      </c>
      <c r="F41" s="91">
        <f>+CEILING(D41,1)*E41</f>
        <v>0</v>
      </c>
      <c r="G41" s="87">
        <f>+F41*(100-G24)/100</f>
        <v>0</v>
      </c>
      <c r="H41" s="5" t="str">
        <f>cennik!B2</f>
        <v>zł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 xml:space="preserve"> Tłumienie do skrzydła środkowego do 25 kg </v>
      </c>
      <c r="B42" s="15">
        <v>318663</v>
      </c>
      <c r="C42" s="23" t="str">
        <f>+VLOOKUP(B42,cennik!A:G,2,FALSE)</f>
        <v>SEVROLL tłumienie Central 10/18mm obustronne 25kg</v>
      </c>
      <c r="D42" s="27"/>
      <c r="E42" s="86">
        <f>+VLOOKUP(B42,cennik!A:G,3,FALSE)</f>
        <v>206.958</v>
      </c>
      <c r="F42" s="91">
        <f>+CEILING(D42,1)*E42</f>
        <v>0</v>
      </c>
      <c r="G42" s="87">
        <f>+F42*(100-G24)/100</f>
        <v>0</v>
      </c>
      <c r="H42" s="5" t="str">
        <f>cennik!B2</f>
        <v>zł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 xml:space="preserve"> Tłumienie do skrzydła środkowego do 40 kg </v>
      </c>
      <c r="B43" s="15">
        <v>283955</v>
      </c>
      <c r="C43" s="23" t="str">
        <f>+VLOOKUP(B43,cennik!A:G,2,FALSE)</f>
        <v>SEVROLL tłumienie Central 10/18mm obustronne 25-40kg</v>
      </c>
      <c r="D43" s="27"/>
      <c r="E43" s="86">
        <f>+VLOOKUP(B43,cennik!A:G,3,FALSE)</f>
        <v>206.958</v>
      </c>
      <c r="F43" s="91">
        <f>+CEILING(D43,1)*E43</f>
        <v>0</v>
      </c>
      <c r="G43" s="87">
        <f>+F43*(100-G24)/100</f>
        <v>0</v>
      </c>
      <c r="H43" s="5" t="str">
        <f>cennik!B2</f>
        <v>zł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szczotka przeciwkurzowa</v>
      </c>
      <c r="B44" s="15">
        <v>305348</v>
      </c>
      <c r="C44" s="23" t="str">
        <f>+VLOOKUP(B44,cennik!A:G,2,FALSE)</f>
        <v>SEVROLL szczotka przeciw kurzowa bez kleju 4,8x9 mm, szara</v>
      </c>
      <c r="D44" s="28"/>
      <c r="E44" s="86">
        <f>+VLOOKUP(B44,cennik!A:G,3,FALSE)</f>
        <v>0.89759999999999995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kątownik mini 11x17mm - 1,7m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kątownik mini 11x17mm - 2,35m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kątownik mini 11x17mm - 3,00m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kątownik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kątownik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kątownik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zacisk do dylatacji wypełnienia 16 mm</v>
      </c>
      <c r="B51" s="15">
        <v>308631</v>
      </c>
      <c r="C51" s="475" t="str">
        <f>+VLOOKUP(B51,cennik!A:G,2,FALSE)</f>
        <v>SEVROLL klin do płyty laminowanej grubość 2 mm (100 szt.)</v>
      </c>
      <c r="D51" s="27"/>
      <c r="E51" s="193">
        <f>+VLOOKUP(B51,cennik!A:G,3,FALSE)</f>
        <v>30.24597</v>
      </c>
      <c r="F51" s="99">
        <f t="shared" si="1"/>
        <v>0</v>
      </c>
      <c r="G51" s="98">
        <f>+F51*(100-G22)/100</f>
        <v>0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zamek do drzwi przesuwnych</v>
      </c>
      <c r="B52" s="15">
        <v>216363</v>
      </c>
      <c r="C52" s="475" t="str">
        <f>+VLOOKUP(B52,cennik!A:G,2,FALSE)</f>
        <v>SEVROLL zamek do drzwi przesuwnych 10/18mm</v>
      </c>
      <c r="D52" s="27"/>
      <c r="E52" s="193">
        <f>+VLOOKUP(B52,cennik!A:G,3,FALSE)</f>
        <v>66.840599999999995</v>
      </c>
      <c r="F52" s="99">
        <f t="shared" si="1"/>
        <v>0</v>
      </c>
      <c r="G52" s="98">
        <f>+F52*(100-G22)/100</f>
        <v>0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5" x14ac:dyDescent="0.25">
      <c r="A54" s="209" t="str">
        <f>texty!A190</f>
        <v xml:space="preserve">tutaj można znaleźć inne akcesoria </v>
      </c>
      <c r="E54" s="89"/>
      <c r="F54" s="89"/>
      <c r="G54" s="89"/>
      <c r="I54" s="166"/>
      <c r="J54" s="166"/>
      <c r="K54" s="5"/>
    </row>
    <row r="55" spans="1:13" ht="12.75" customHeight="1" x14ac:dyDescent="0.25">
      <c r="A55" s="209" t="str">
        <f>texty!A244</f>
        <v>rysunek techniczny tego systemu</v>
      </c>
      <c r="E55" s="89"/>
      <c r="F55" s="89"/>
      <c r="G55" s="89"/>
      <c r="I55" s="166"/>
      <c r="J55" s="166"/>
    </row>
    <row r="56" spans="1:13" ht="12.75" customHeight="1" x14ac:dyDescent="0.25">
      <c r="B56" s="7"/>
      <c r="C56" s="7"/>
      <c r="D56" s="71" t="str">
        <f>texty!A15</f>
        <v>w sumie (bez VAT)</v>
      </c>
      <c r="E56" s="94"/>
      <c r="F56" s="96" t="e">
        <f>SUM(F26:F54)</f>
        <v>#N/A</v>
      </c>
      <c r="G56" s="96" t="e">
        <f>SUM(G26:G54)</f>
        <v>#N/A</v>
      </c>
      <c r="H56" s="5" t="str">
        <f>cennik!B2</f>
        <v>zł</v>
      </c>
      <c r="I56" s="166"/>
      <c r="J56" s="166"/>
      <c r="K56" s="4" t="str">
        <f>texty!A128</f>
        <v>srebrny</v>
      </c>
    </row>
    <row r="57" spans="1:13" ht="12.75" customHeight="1" x14ac:dyDescent="0.25">
      <c r="A57" s="70" t="str">
        <f>System10!A67</f>
        <v>Uwagi</v>
      </c>
      <c r="B57" s="703"/>
      <c r="C57" s="704"/>
      <c r="D57" s="704"/>
      <c r="E57" s="704"/>
      <c r="F57" s="704"/>
      <c r="G57" s="704"/>
      <c r="K57" s="4" t="str">
        <f>texty!A130</f>
        <v>j.brąz</v>
      </c>
    </row>
    <row r="58" spans="1:13" ht="12.75" customHeight="1" x14ac:dyDescent="0.25">
      <c r="A58" s="696" t="str">
        <f>profil!U15</f>
        <v/>
      </c>
      <c r="B58" s="697"/>
      <c r="C58" s="697"/>
      <c r="D58" s="697"/>
      <c r="E58" s="697"/>
      <c r="F58" s="697"/>
      <c r="G58" s="697"/>
      <c r="K58" s="4" t="str">
        <f>data!J17</f>
        <v> czarny mat</v>
      </c>
    </row>
    <row r="59" spans="1:13" ht="12.75" customHeight="1" x14ac:dyDescent="0.25">
      <c r="A59" s="698" t="str">
        <f>IF(M59=1,texty!A215,IF(J59&gt;0,texty!A214,""))</f>
        <v>niektóre elementy nie są produkowane w wybranej długości</v>
      </c>
      <c r="B59" s="698"/>
      <c r="C59" s="698"/>
      <c r="D59" s="698"/>
      <c r="E59" s="698"/>
      <c r="F59" s="698"/>
      <c r="G59" s="698"/>
      <c r="J59" s="5" t="e">
        <f>SUM(J26:J54)</f>
        <v>#N/A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wEp7PRYjAOF/UIezBuWTNN3g2bL6Y6fjypLQSCk5QvHwF0fVtyNyM4tV0abl9pEdwE2Rbrdg4Yizf8WJglEsAQ==" saltValue="UiLvpppEBDmGOFkCqiMSIg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17" priority="4">
      <formula>$D$4=4</formula>
    </cfRule>
    <cfRule type="expression" dxfId="16" priority="5">
      <formula>$D$4&lt;&gt;4</formula>
    </cfRule>
  </conditionalFormatting>
  <conditionalFormatting sqref="D44">
    <cfRule type="expression" dxfId="15" priority="9" stopIfTrue="1">
      <formula>IF(#REF!&gt;0,IF(#REF!=0,1,0),0)</formula>
    </cfRule>
  </conditionalFormatting>
  <conditionalFormatting sqref="F4:I6">
    <cfRule type="expression" dxfId="14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2740 mm" sqref="B4" xr:uid="{ED88714A-531F-44A7-AEE0-E570511114B7}">
      <formula1>0</formula1>
      <formula2>2740</formula2>
    </dataValidation>
    <dataValidation type="list" allowBlank="1" showInputMessage="1" showErrorMessage="1" sqref="E5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$K$56:$K$58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texty!A258</f>
        <v>Era (ramowe)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",7,".",58)</f>
        <v>Katalog Okuć meblowych 2024 str. 7.58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5"/>
      <c r="G3" s="5"/>
      <c r="K3" s="5"/>
    </row>
    <row r="4" spans="1:21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skrzydło drzwi:</v>
      </c>
      <c r="B7" s="53" t="str">
        <f>IF(B4&gt;0,B4-35,"")</f>
        <v/>
      </c>
      <c r="C7" s="55" t="str">
        <f>IFERROR((((C4-3+34*(D4-1))/D4+IF(AND(D4=4,D6=2),L1,0))),"")</f>
        <v/>
      </c>
      <c r="D7" s="7"/>
      <c r="E7" s="7"/>
      <c r="F7" s="46" t="str">
        <f>texty!A39</f>
        <v>W przypadku wykorzystania szkła,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rozmiar wypełnienia 18mm: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należy wybrać bezpieczną szybę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ew. zabezpieczyć ją folią ochronną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długość toru i listwy maskującej skrzydła</v>
      </c>
      <c r="B10" s="53"/>
      <c r="C10" s="56" t="str">
        <f>IFERROR((C7-57),"")</f>
        <v/>
      </c>
      <c r="D10" s="7"/>
      <c r="E10" s="7"/>
      <c r="F10" s="3" t="str">
        <f>texty!A44</f>
        <v>Maksymalna waga skrzydła to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Tor górny / dolny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rączka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3" t="str">
        <f>IF(SUM(D50:D51)&gt;0,texty!A247,"")</f>
        <v/>
      </c>
      <c r="B13" s="683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3"/>
      <c r="B14" s="683"/>
      <c r="C14" s="607" t="str">
        <f>texty!A78</f>
        <v>dodatkowe zmniejszenie wysokośći wyliczonych wypełnień przy wykorzystaniu profili dzielących:</v>
      </c>
      <c r="D14" s="7"/>
      <c r="E14" s="7"/>
      <c r="F14" s="5"/>
      <c r="G14" s="5"/>
      <c r="K14" s="31"/>
      <c r="Q14" s="147"/>
    </row>
    <row r="15" spans="1:21" ht="28.5" customHeight="1" x14ac:dyDescent="0.25">
      <c r="A15" s="683" t="str">
        <f>IF(SUM(D52:D53)&gt;0,texty!A249,"")</f>
        <v/>
      </c>
      <c r="B15" s="683"/>
      <c r="C15" s="375"/>
      <c r="D15" s="7"/>
      <c r="E15" s="7"/>
      <c r="F15" s="5"/>
      <c r="G15" s="5"/>
      <c r="K15" s="31"/>
      <c r="Q15" s="147"/>
    </row>
    <row r="16" spans="1:21" ht="29.25" customHeight="1" x14ac:dyDescent="0.25">
      <c r="A16" s="683"/>
      <c r="B16" s="683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dylatacja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partnerska zniżka: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Kody zamówieniowe, ceny: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kod</v>
      </c>
      <c r="C29" s="16" t="str">
        <f>+System10!C27</f>
        <v>nazwa</v>
      </c>
      <c r="D29" s="17" t="str">
        <f>+System10!D27</f>
        <v>szt.</v>
      </c>
      <c r="E29" s="17" t="str">
        <f>+System10!E27</f>
        <v>cena/szt.</v>
      </c>
      <c r="F29" s="17" t="str">
        <f>+System10!F27</f>
        <v>cena w sumie</v>
      </c>
      <c r="G29" s="18" t="str">
        <f>+System10!G27</f>
        <v>w sumie netto:</v>
      </c>
      <c r="I29" s="16" t="str">
        <f>texty!A29</f>
        <v>Uwagi: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Tor górny: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zł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Tor dolny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zaślepka toru dolnego</v>
      </c>
      <c r="B32" s="15">
        <v>216362</v>
      </c>
      <c r="C32" s="23" t="str">
        <f>+VLOOKUP(B32,cennik!A:G,2,FALSE)</f>
        <v>SEVROLL zaślepka gumowa do toru Simple/Blue przeźroczysta</v>
      </c>
      <c r="D32" s="15">
        <f>CEILING(C4/1000,1)</f>
        <v>0</v>
      </c>
      <c r="E32" s="86">
        <f>+VLOOKUP(B32,cennik!A:G,3,FALSE)</f>
        <v>3.4045299999999998</v>
      </c>
      <c r="F32" s="86">
        <f>+E32*D32</f>
        <v>0</v>
      </c>
      <c r="G32" s="87">
        <f>+F32*(100-G28)/100</f>
        <v>0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górne wózki</v>
      </c>
      <c r="B33" s="15">
        <v>349732</v>
      </c>
      <c r="C33" s="23" t="str">
        <f>+VLOOKUP(B33,cennik!A:G,2,FALSE)</f>
        <v>SEVROLL wózek górny Blue (do płyty laminowanej 18mm) ramowy L+P</v>
      </c>
      <c r="D33" s="15">
        <f>+D4</f>
        <v>0</v>
      </c>
      <c r="E33" s="86">
        <f>+VLOOKUP(B33,cennik!A:G,3,FALSE)</f>
        <v>15.244389999999999</v>
      </c>
      <c r="F33" s="86">
        <f>+E33*D33</f>
        <v>0</v>
      </c>
      <c r="G33" s="87">
        <f>+F33*(100-G28)/100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dolne wózki</v>
      </c>
      <c r="B34" s="15">
        <v>229446</v>
      </c>
      <c r="C34" s="23" t="str">
        <f>+VLOOKUP(B34,cennik!A:G,2,FALSE)</f>
        <v>SEVROLL wózek dolny Simple/Blue V (system ramowy) - 2szt</v>
      </c>
      <c r="D34" s="15">
        <f>+D4</f>
        <v>0</v>
      </c>
      <c r="E34" s="86">
        <f>+VLOOKUP(B34,cennik!A:G,3,FALSE)</f>
        <v>16.17259</v>
      </c>
      <c r="F34" s="86">
        <f>+E34*D34</f>
        <v>0</v>
      </c>
      <c r="G34" s="87">
        <f>+F34*(100-G28)/100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szczotka odbojowa</v>
      </c>
      <c r="B35" s="15">
        <v>98067</v>
      </c>
      <c r="C35" s="23" t="str">
        <f>+VLOOKUP(B35,cennik!A:G,2,FALSE)</f>
        <v>SEVROLL szczotka odbojowa zasuwana 14,5x4 mm</v>
      </c>
      <c r="D35" s="15">
        <f>CEILING((B4*D4*2/1000),1)</f>
        <v>0</v>
      </c>
      <c r="E35" s="86">
        <f>+VLOOKUP(B35,cennik!A:G,3,FALSE)</f>
        <v>1.224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rączka</v>
      </c>
      <c r="B36" s="15" t="e">
        <f>+VLOOKUP(O7,data!C559:D562,2,0)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śruba łącząca</v>
      </c>
      <c r="B37" s="7">
        <v>346726</v>
      </c>
      <c r="C37" s="23" t="str">
        <f>+VLOOKUP(B37,cennik!A:G,2,FALSE)</f>
        <v>SEVROLL blachowkręt Blue 6,3x45</v>
      </c>
      <c r="D37" s="15">
        <f>+D4*4</f>
        <v>0</v>
      </c>
      <c r="E37" s="86">
        <f>+VLOOKUP(B37,cennik!A:G,3,FALSE)</f>
        <v>0.52376999999999996</v>
      </c>
      <c r="F37" s="86">
        <f t="shared" si="0"/>
        <v>0</v>
      </c>
      <c r="G37" s="87">
        <f>+F37*(100-G28)/100</f>
        <v>0</v>
      </c>
      <c r="H37" s="5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listwa pozioma górna</v>
      </c>
      <c r="B38" s="15" t="e">
        <f>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listwa pozioma górna</v>
      </c>
      <c r="B39" s="7" t="e">
        <f>IF(L33&lt;&gt;"jiné",VLOOKUP(L33,data!C391:D402,2,0),"")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poziomy dolny profil ramy</v>
      </c>
      <c r="B40" s="7" t="e">
        <f>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zł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poziomy dolny profil ramy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zł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12" t="str">
        <f>texty!A66</f>
        <v>Akcesoria:</v>
      </c>
      <c r="B43" s="7"/>
      <c r="C43" s="475"/>
      <c r="D43" s="24" t="str">
        <f>System10!D41</f>
        <v>podaj ilość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pozycjoner wózka górnego</v>
      </c>
      <c r="B44" s="7">
        <v>298035</v>
      </c>
      <c r="C44" s="23" t="str">
        <f>+VLOOKUP(B44,cennik!A:G,2,FALSE)</f>
        <v>SEVROLL Fix pozycjoner wózka górnego transparentny</v>
      </c>
      <c r="D44" s="27"/>
      <c r="E44" s="86">
        <f>+VLOOKUP(B44,cennik!A:G,3,FALSE)</f>
        <v>3.74519</v>
      </c>
      <c r="F44" s="91">
        <f>+CEILING(D44,1)*E44</f>
        <v>0</v>
      </c>
      <c r="G44" s="87">
        <f>+F44*(100-G28)/100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pozycjoner</v>
      </c>
      <c r="B45" s="590">
        <v>229681</v>
      </c>
      <c r="C45" s="23" t="str">
        <f>+VLOOKUP(B45,cennik!A:G,2,FALSE)</f>
        <v>SEVROLL Simple/Blue pozycjoner wózka dolnego</v>
      </c>
      <c r="D45" s="27"/>
      <c r="E45" s="86">
        <f>+VLOOKUP(B45,cennik!A:G,3,FALSE)</f>
        <v>1.2257</v>
      </c>
      <c r="F45" s="86">
        <f>+E45*D45</f>
        <v>0</v>
      </c>
      <c r="G45" s="87">
        <f>+F45*(100-G28)/100</f>
        <v>0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Wkręt do dolnego toru</v>
      </c>
      <c r="B46" s="7">
        <v>98019</v>
      </c>
      <c r="C46" s="23" t="str">
        <f>+VLOOKUP(B46,cennik!A:G,2,FALSE)</f>
        <v>SEVROLL wkręt 2,5x18mm</v>
      </c>
      <c r="D46" s="27"/>
      <c r="E46" s="86">
        <f>+VLOOKUP(B46,cennik!A:G,3,FALSE)</f>
        <v>0.10996</v>
      </c>
      <c r="F46" s="91">
        <f>+CEILING(D46,1)*E46</f>
        <v>0</v>
      </c>
      <c r="G46" s="87">
        <f>+F46*(100-G24)/100</f>
        <v>0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profil łączący H21 Simple (18mm)</v>
      </c>
      <c r="B47" s="15" t="e">
        <f>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profil łączący H28 Simple (18mm)</v>
      </c>
      <c r="B48" s="15" t="str">
        <f>IFERROR(+VLOOKUP(O7,data!C521:D523,2,0),"N/A")</f>
        <v>N/A</v>
      </c>
      <c r="C48" s="23" t="str">
        <f>IF(B48=data!D64,texty!A239,+VLOOKUP(B48,cennik!A:G,2,FALSE))</f>
        <v> w tym kolorze i długości dany profil nie jest produkowany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śruba łącząca</v>
      </c>
      <c r="B49" s="15">
        <v>346726</v>
      </c>
      <c r="C49" s="23" t="str">
        <f>+VLOOKUP(B49,cennik!A:G,2,FALSE)</f>
        <v>SEVROLL blachowkręt Blue 6,3x45</v>
      </c>
      <c r="D49" s="28"/>
      <c r="E49" s="86">
        <f>+VLOOKUP(B49,cennik!A:G,3,FALSE)</f>
        <v>0.52376999999999996</v>
      </c>
      <c r="F49" s="86">
        <f>+E49*D49</f>
        <v>0</v>
      </c>
      <c r="G49" s="87">
        <f>+F49*(100-G28)/100</f>
        <v>0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 Tłumienie MINI do 25 kg (para)</v>
      </c>
      <c r="B50" s="15">
        <v>318662</v>
      </c>
      <c r="C50" s="23" t="str">
        <f>+VLOOKUP(B50,cennik!A:G,2,FALSE)</f>
        <v>SEVROLL tłumienie Mini SV25 (14-25kg)</v>
      </c>
      <c r="D50" s="27"/>
      <c r="E50" s="86">
        <f>+VLOOKUP(B50,cennik!A:G,3,FALSE)</f>
        <v>96.889799999999994</v>
      </c>
      <c r="F50" s="91">
        <f>+CEILING(D50,1)*E50</f>
        <v>0</v>
      </c>
      <c r="G50" s="87">
        <f>+F50*(100-G28)/100</f>
        <v>0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 Tłumienie MINI do 40 kg (para)</v>
      </c>
      <c r="B51" s="15">
        <v>283956</v>
      </c>
      <c r="C51" s="23" t="str">
        <f>+VLOOKUP(B51,cennik!A:G,2,FALSE)</f>
        <v>SEVROLL tłumienie Mini SV40 (25 - 40kg)</v>
      </c>
      <c r="D51" s="27"/>
      <c r="E51" s="86">
        <f>+VLOOKUP(B51,cennik!A:G,3,FALSE)</f>
        <v>96.889799999999994</v>
      </c>
      <c r="F51" s="91">
        <f>+CEILING(D51,1)*E51</f>
        <v>0</v>
      </c>
      <c r="G51" s="87">
        <f>+F51*(100-G28)/100</f>
        <v>0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 xml:space="preserve"> Tłumienie do skrzydła środkowego do 25 kg </v>
      </c>
      <c r="B52" s="15">
        <v>318663</v>
      </c>
      <c r="C52" s="23" t="str">
        <f>+VLOOKUP(B52,cennik!A:G,2,FALSE)</f>
        <v>SEVROLL tłumienie Central 10/18mm obustronne 25kg</v>
      </c>
      <c r="D52" s="27"/>
      <c r="E52" s="86">
        <f>+VLOOKUP(B52,cennik!A:G,3,FALSE)</f>
        <v>206.958</v>
      </c>
      <c r="F52" s="91">
        <f>+CEILING(D52,1)*E52</f>
        <v>0</v>
      </c>
      <c r="G52" s="87">
        <f>+F52*(100-G28)/100</f>
        <v>0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 xml:space="preserve"> Tłumienie do skrzydła środkowego do 40 kg </v>
      </c>
      <c r="B53" s="15">
        <v>283955</v>
      </c>
      <c r="C53" s="23" t="str">
        <f>+VLOOKUP(B53,cennik!A:G,2,FALSE)</f>
        <v>SEVROLL tłumienie Central 10/18mm obustronne 25-40kg</v>
      </c>
      <c r="D53" s="27"/>
      <c r="E53" s="86">
        <f>+VLOOKUP(B53,cennik!A:G,3,FALSE)</f>
        <v>206.958</v>
      </c>
      <c r="F53" s="91">
        <f>+CEILING(D53,1)*E53</f>
        <v>0</v>
      </c>
      <c r="G53" s="87">
        <f>+F53*(100-G28)/100</f>
        <v>0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szczotka przeciwkurzowa</v>
      </c>
      <c r="B54" s="15">
        <v>305348</v>
      </c>
      <c r="C54" s="23" t="str">
        <f>+VLOOKUP(B54,cennik!A:G,2,FALSE)</f>
        <v>SEVROLL szczotka przeciw kurzowa bez kleju 4,8x9 mm, szara</v>
      </c>
      <c r="D54" s="28"/>
      <c r="E54" s="86">
        <f>+VLOOKUP(B54,cennik!A:G,3,FALSE)</f>
        <v>0.89759999999999995</v>
      </c>
      <c r="F54" s="86">
        <f>+E54*D54</f>
        <v>0</v>
      </c>
      <c r="G54" s="87">
        <f>+F54*(100-G28)/100</f>
        <v>0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H56" s="4"/>
      <c r="I56" s="363" t="str">
        <f>IFERROR(IF((VLOOKUP(B56,cennik!A:L,12,0))="O",texty!A250,""),"")</f>
        <v/>
      </c>
      <c r="J56" s="174"/>
      <c r="K56" s="5"/>
    </row>
    <row r="57" spans="1:11" ht="12.75" customHeight="1" x14ac:dyDescent="0.25">
      <c r="A57" s="718" t="str">
        <f>IFERROR((CONCATENATE(texty!A7," ",D59," ",texty!A9)),"")</f>
        <v>Jeżeli wykorzystasz jako wypełnienie szkło/lustro, dodatkowo zamów uszczelkę. Długość uszczelki na jedno skrzydło to   szt, jeżeli masz więcej skrzydeł ze szklanym wypełnieniem, musisz tę liczbę pomnożyć.</v>
      </c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718"/>
      <c r="B58" s="718"/>
      <c r="C58" s="718"/>
      <c r="D58" s="718"/>
      <c r="E58" s="718"/>
      <c r="F58" s="718"/>
      <c r="G58" s="718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 t="str">
        <f>texty!A11</f>
        <v>Długość uszczelki w przypadku całkowitego zaszklenia (należy zamówić całe metry)</v>
      </c>
      <c r="D59" s="35" t="str">
        <f>IFERROR((CEILING((B9*2+C9*2)/1000/0.2+2,1)),"")</f>
        <v/>
      </c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3"/>
      <c r="D60" s="35"/>
      <c r="E60" s="89"/>
      <c r="F60" s="89"/>
      <c r="G60" s="89"/>
      <c r="I60" s="363" t="str">
        <f>IFERROR(IF((VLOOKUP(B60,cennik!A:L,12,0))="O",texty!A250,""),"")</f>
        <v/>
      </c>
      <c r="J60" s="166"/>
      <c r="K60" s="5"/>
    </row>
    <row r="61" spans="1:11" ht="12.75" customHeight="1" x14ac:dyDescent="0.25">
      <c r="A61" s="44" t="str">
        <f>texty!A11</f>
        <v>Długość uszczelki w przypadku całkowitego zaszklenia (należy zamówić całe metry)</v>
      </c>
      <c r="B61" s="42"/>
      <c r="C61" s="43"/>
      <c r="D61" s="42"/>
      <c r="E61" s="94"/>
      <c r="F61" s="94"/>
      <c r="G61" s="94"/>
      <c r="I61" s="363" t="str">
        <f>IFERROR(IF((VLOOKUP(B61,cennik!A:L,12,0))="O",texty!A250,""),"")</f>
        <v/>
      </c>
      <c r="J61" s="166"/>
      <c r="K61" s="5"/>
    </row>
    <row r="62" spans="1:11" ht="22.2" customHeight="1" x14ac:dyDescent="0.25">
      <c r="A62" s="372" t="str">
        <f>texty!A206</f>
        <v>Blue</v>
      </c>
      <c r="B62" s="7">
        <v>349856</v>
      </c>
      <c r="C62" s="23" t="str">
        <f>+VLOOKUP(B62,cennik!A:G,2,FALSE)</f>
        <v>SEVROLL klin mocujący Blue 40szt(szkło 4mm)</v>
      </c>
      <c r="D62" s="41"/>
      <c r="E62" s="86">
        <f>+VLOOKUP(B62,cennik!A:G,3,FALSE)</f>
        <v>42.618220000000001</v>
      </c>
      <c r="F62" s="86">
        <f>+E62*D62</f>
        <v>0</v>
      </c>
      <c r="G62" s="373">
        <f>+F62*(100-G28)/100</f>
        <v>0</v>
      </c>
      <c r="H62" s="7" t="str">
        <f>cennik!B2</f>
        <v>zł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/>
      <c r="B63" s="15"/>
      <c r="C63" s="23"/>
      <c r="E63" s="86"/>
      <c r="F63" s="91"/>
      <c r="G63" s="87"/>
      <c r="I63" s="363" t="str">
        <f>IFERROR(IF((VLOOKUP(B63,cennik!A:L,12,0))="O",texty!A250,""),"")</f>
        <v/>
      </c>
      <c r="J63" s="166"/>
      <c r="K63" s="3"/>
    </row>
    <row r="64" spans="1:11" ht="15" x14ac:dyDescent="0.25">
      <c r="A64" s="209" t="str">
        <f>texty!A190</f>
        <v xml:space="preserve">tutaj można znaleźć inne akcesoria </v>
      </c>
      <c r="E64" s="89"/>
      <c r="F64" s="89"/>
      <c r="G64" s="89"/>
      <c r="I64" s="363" t="str">
        <f>IFERROR(IF((VLOOKUP(B64,cennik!A:L,12,0))="O",texty!A250,""),"")</f>
        <v/>
      </c>
      <c r="J64" s="166"/>
      <c r="K64" s="5"/>
    </row>
    <row r="65" spans="1:13" ht="12.75" customHeight="1" x14ac:dyDescent="0.25">
      <c r="A65" s="209" t="str">
        <f>texty!A244</f>
        <v>rysunek techniczny tego systemu</v>
      </c>
      <c r="B65" s="485">
        <v>128842</v>
      </c>
      <c r="C65" s="486" t="str">
        <f>VLOOKUP(B65,cennik!A:C,2,0)</f>
        <v>SEVROLL wiertło stopniowe 6,5/9,5mm</v>
      </c>
      <c r="D65" s="41"/>
      <c r="E65" s="86">
        <f>+VLOOKUP(B65,cennik!A:G,3,FALSE)</f>
        <v>116.85122</v>
      </c>
      <c r="F65" s="91">
        <f>+CEILING(D65,1)*E65</f>
        <v>0</v>
      </c>
      <c r="G65" s="87">
        <f>+F65</f>
        <v>0</v>
      </c>
      <c r="H65" s="5" t="str">
        <f>cennik!B2</f>
        <v>zł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E66" s="89"/>
      <c r="F66" s="89"/>
      <c r="G66" s="89"/>
      <c r="I66" s="166"/>
      <c r="J66" s="166"/>
    </row>
    <row r="67" spans="1:13" ht="12.75" customHeight="1" x14ac:dyDescent="0.25">
      <c r="B67" s="7"/>
      <c r="C67" s="7"/>
      <c r="D67" s="71" t="str">
        <f>texty!A15</f>
        <v>w sumie (bez VAT)</v>
      </c>
      <c r="E67" s="94"/>
      <c r="F67" s="96" t="e">
        <f>SUM(F30:F65)</f>
        <v>#N/A</v>
      </c>
      <c r="G67" s="96" t="e">
        <f>SUM(G30:G65)</f>
        <v>#N/A</v>
      </c>
      <c r="H67" s="5" t="str">
        <f>cennik!B2</f>
        <v>zł</v>
      </c>
      <c r="I67" s="166"/>
      <c r="J67" s="166"/>
      <c r="K67" s="4" t="str">
        <f>texty!A128</f>
        <v>srebrny</v>
      </c>
    </row>
    <row r="68" spans="1:13" ht="12.75" customHeight="1" x14ac:dyDescent="0.25">
      <c r="A68" s="70" t="str">
        <f>System10!A67</f>
        <v>Uwagi</v>
      </c>
      <c r="B68" s="703"/>
      <c r="C68" s="704"/>
      <c r="D68" s="704"/>
      <c r="E68" s="704"/>
      <c r="F68" s="704"/>
      <c r="G68" s="704"/>
      <c r="K68" s="4" t="str">
        <f>texty!A130</f>
        <v>j.brąz</v>
      </c>
    </row>
    <row r="69" spans="1:13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  <c r="K69" s="4" t="str">
        <f>data!J15</f>
        <v> biały połysk</v>
      </c>
    </row>
    <row r="70" spans="1:13" ht="12.75" customHeight="1" x14ac:dyDescent="0.25">
      <c r="A70" s="698" t="str">
        <f>IF(M70=1,texty!A215,IF(J70&gt;0,texty!A214,""))</f>
        <v>niektóre elementy nie są produkowane w wybranej długości</v>
      </c>
      <c r="B70" s="698"/>
      <c r="C70" s="698"/>
      <c r="D70" s="698"/>
      <c r="E70" s="698"/>
      <c r="F70" s="698"/>
      <c r="G70" s="698"/>
      <c r="J70" s="5" t="e">
        <f>SUM(J30:J65)</f>
        <v>#N/A</v>
      </c>
      <c r="K70" s="4" t="str">
        <f>data!J17</f>
        <v> czarny mat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ffk92zEJYvZFmQXcp7UKTcNirzT+eSMRPpbmv6L5s8T2fkHVC71nvb5DqVVAqz6giSf+dqJZSKJCeF1QCLyhVw==" saltValue="7AIVNIjVj5G+1X5fCYbydw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A13">
    <cfRule type="expression" dxfId="13" priority="4">
      <formula>SUM($D$50:$D$51)&gt;0</formula>
    </cfRule>
  </conditionalFormatting>
  <conditionalFormatting sqref="A15">
    <cfRule type="expression" dxfId="12" priority="3">
      <formula>SUM($D$52:$D$53)&gt;0</formula>
    </cfRule>
  </conditionalFormatting>
  <conditionalFormatting sqref="D6">
    <cfRule type="expression" dxfId="10" priority="7">
      <formula>$D$4=4</formula>
    </cfRule>
    <cfRule type="expression" dxfId="9" priority="8">
      <formula>$D$4&lt;&gt;4</formula>
    </cfRule>
  </conditionalFormatting>
  <conditionalFormatting sqref="D49 D54">
    <cfRule type="expression" dxfId="8" priority="10" stopIfTrue="1">
      <formula>IF(#REF!&gt;0,IF($D$49=0,1,0),0)</formula>
    </cfRule>
  </conditionalFormatting>
  <conditionalFormatting sqref="F4:I6">
    <cfRule type="expression" dxfId="7" priority="6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2740 mm" sqref="B4" xr:uid="{00000000-0002-0000-1100-000002000000}">
      <formula1>0</formula1>
      <formula2>2740</formula2>
    </dataValidation>
    <dataValidation type="list" allowBlank="1" showInputMessage="1" showErrorMessage="1" sqref="E5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$K$67:$K$70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A30:I65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60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texty!A260</f>
        <v>Rekord (ramowe)</v>
      </c>
      <c r="B2" s="50" t="str">
        <f>profil!T7</f>
        <v>Klient, , NIP:</v>
      </c>
      <c r="C2" s="7"/>
      <c r="D2" s="7"/>
      <c r="E2" s="7"/>
      <c r="F2" s="5"/>
      <c r="G2" s="5"/>
      <c r="K2" s="5">
        <v>3</v>
      </c>
    </row>
    <row r="3" spans="1:21" ht="40.5" customHeight="1" thickBot="1" x14ac:dyDescent="0.3">
      <c r="A3" s="582" t="str">
        <f>CONCATENATE(texty!A243," ",5,".",77)</f>
        <v>Katalog Okuć meblowych 2024 str. 5.77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466" t="str">
        <f>texty!A36</f>
        <v>ilość drzwi</v>
      </c>
      <c r="E3" s="8" t="str">
        <f>texty!A37</f>
        <v>kolor</v>
      </c>
      <c r="F3" s="5"/>
      <c r="G3" s="5"/>
      <c r="K3" s="5"/>
    </row>
    <row r="4" spans="1:21" ht="25.5" customHeight="1" x14ac:dyDescent="0.25">
      <c r="A4" s="9" t="str">
        <f>texty!A70</f>
        <v>WEWNĘTRZNY ROZMIAR SZAFY: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wypełnij 4 pola !!!! Informacje w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skrzydło drzwi: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W przypadku wykorzystania szkła,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rozmiar wypełnienia 18mm: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należy wybrać bezpieczną szybę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rozmiar lustra /szkła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ew. zabezpieczyć ją folią ochronną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długość toru i listwy maskującej skrzydła</v>
      </c>
      <c r="B10" s="53"/>
      <c r="C10" s="56" t="str">
        <f>IFERROR((C7-57),"")</f>
        <v/>
      </c>
      <c r="D10" s="7"/>
      <c r="E10" s="7"/>
      <c r="F10" s="3" t="str">
        <f>texty!A44</f>
        <v>Maksymalna waga skrzydła to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Tor górny / dolny</v>
      </c>
      <c r="B11" s="53"/>
      <c r="C11" s="55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rączka</v>
      </c>
      <c r="B12" s="53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22.8" x14ac:dyDescent="0.25">
      <c r="A13" s="683" t="str">
        <f>IF(SUM(D50:D51)&gt;0,texty!A247,"")</f>
        <v/>
      </c>
      <c r="B13" s="683"/>
      <c r="C13" s="607" t="str">
        <f>texty!A78</f>
        <v>dodatkowe zmniejszenie wysokośći wyliczonych wypełnień przy wykorzystaniu profili dzielących:</v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3"/>
      <c r="B14" s="683"/>
      <c r="C14" s="375"/>
      <c r="D14" s="7"/>
      <c r="E14" s="7"/>
      <c r="F14" s="5"/>
      <c r="G14" s="5"/>
      <c r="K14" s="31"/>
      <c r="Q14" s="147"/>
    </row>
    <row r="15" spans="1:21" ht="19.95" customHeight="1" x14ac:dyDescent="0.25">
      <c r="A15" s="683" t="str">
        <f>IF(SUM(D52:D53)&gt;0,texty!A249,"")</f>
        <v/>
      </c>
      <c r="B15" s="683"/>
      <c r="C15" s="375"/>
      <c r="D15" s="7"/>
      <c r="E15" s="7"/>
      <c r="F15" s="5"/>
      <c r="G15" s="5"/>
      <c r="K15" s="31"/>
      <c r="Q15" s="147"/>
    </row>
    <row r="16" spans="1:21" ht="43.5" customHeight="1" x14ac:dyDescent="0.25">
      <c r="A16" s="683"/>
      <c r="B16" s="683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dylatacja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partnerska zniżka: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Kody zamówieniowe, ceny: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kod</v>
      </c>
      <c r="C29" s="16" t="str">
        <f>+System10!C27</f>
        <v>nazwa</v>
      </c>
      <c r="D29" s="17" t="str">
        <f>+System10!D27</f>
        <v>szt.</v>
      </c>
      <c r="E29" s="17" t="str">
        <f>+System10!E27</f>
        <v>cena/szt.</v>
      </c>
      <c r="F29" s="17" t="str">
        <f>+System10!F27</f>
        <v>cena w sumie</v>
      </c>
      <c r="G29" s="18" t="str">
        <f>+System10!G27</f>
        <v>w sumie netto:</v>
      </c>
      <c r="I29" s="16" t="str">
        <f>texty!A29</f>
        <v>Uwagi: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Tor górny: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zł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Tor dolny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zł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zaślepka toru dolnego</v>
      </c>
      <c r="B32" s="15">
        <v>216362</v>
      </c>
      <c r="C32" s="23" t="str">
        <f>+VLOOKUP(B32,cennik!A:G,2,FALSE)</f>
        <v>SEVROLL zaślepka gumowa do toru Simple/Blue przeźroczysta</v>
      </c>
      <c r="D32" s="15">
        <f>CEILING(C4/1000,1)</f>
        <v>0</v>
      </c>
      <c r="E32" s="86">
        <f>+VLOOKUP(B32,cennik!A:G,3,FALSE)</f>
        <v>3.4045299999999998</v>
      </c>
      <c r="F32" s="86">
        <f>+E32*D32</f>
        <v>0</v>
      </c>
      <c r="G32" s="87">
        <f>+F32*(100-G28)/100</f>
        <v>0</v>
      </c>
      <c r="H32" s="5" t="str">
        <f>cennik!B2</f>
        <v>zł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górne wózki</v>
      </c>
      <c r="B33" s="15">
        <v>349732</v>
      </c>
      <c r="C33" s="23" t="str">
        <f>+VLOOKUP(B33,cennik!A:G,2,FALSE)</f>
        <v>SEVROLL wózek górny Blue (do płyty laminowanej 18mm) ramowy L+P</v>
      </c>
      <c r="D33" s="15">
        <f>+D4</f>
        <v>0</v>
      </c>
      <c r="E33" s="86">
        <f>+VLOOKUP(B33,cennik!A:G,3,FALSE)</f>
        <v>15.244389999999999</v>
      </c>
      <c r="F33" s="86">
        <f>+E33*D33</f>
        <v>0</v>
      </c>
      <c r="G33" s="87">
        <f>+F33*(100-G28)/100</f>
        <v>0</v>
      </c>
      <c r="H33" s="5" t="str">
        <f>cennik!B2</f>
        <v>zł</v>
      </c>
      <c r="I33" s="363" t="str">
        <f>IFERROR(IF((VLOOKUP(B33,cennik!A:L,12,0))="O",texty!A250,""),"")</f>
        <v/>
      </c>
      <c r="J33" s="174" t="str">
        <f>IF(D33&gt;0,IF(VLOOKUP(#REF!,cennik!A:L,12,FALSE)="O",1,""),"")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dolne wózki</v>
      </c>
      <c r="B34" s="15">
        <v>229446</v>
      </c>
      <c r="C34" s="23" t="str">
        <f>+VLOOKUP(B34,cennik!A:G,2,FALSE)</f>
        <v>SEVROLL wózek dolny Simple/Blue V (system ramowy) - 2szt</v>
      </c>
      <c r="D34" s="15">
        <f>+D4</f>
        <v>0</v>
      </c>
      <c r="E34" s="86">
        <f>+VLOOKUP(B34,cennik!A:G,3,FALSE)</f>
        <v>16.17259</v>
      </c>
      <c r="F34" s="86">
        <f>+E34*D34</f>
        <v>0</v>
      </c>
      <c r="G34" s="87">
        <f>+F34*(100-G28)/100</f>
        <v>0</v>
      </c>
      <c r="H34" s="5" t="str">
        <f>cennik!B2</f>
        <v>zł</v>
      </c>
      <c r="I34" s="363" t="str">
        <f>IFERROR(IF((VLOOKUP(B34,cennik!A:L,12,0))="O",texty!A250,""),"")</f>
        <v/>
      </c>
      <c r="J34" s="174" t="str">
        <f>IF(D34&gt;0,IF(VLOOKUP(B33,cennik!A:L,12,FALSE)="O",1,""),"")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szczotka odbojowa</v>
      </c>
      <c r="B35" s="15">
        <v>98067</v>
      </c>
      <c r="C35" s="23" t="str">
        <f>+VLOOKUP(B35,cennik!A:G,2,FALSE)</f>
        <v>SEVROLL szczotka odbojowa zasuwana 14,5x4 mm</v>
      </c>
      <c r="D35" s="15">
        <f>CEILING((B4*D4*2/1000),1)</f>
        <v>0</v>
      </c>
      <c r="E35" s="86">
        <f>+VLOOKUP(B35,cennik!A:G,3,FALSE)</f>
        <v>1.224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zł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rączka</v>
      </c>
      <c r="B36" s="15" t="e">
        <f>+VLOOKUP(O7,data!C564:D566,2,0)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zł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śruba łącząca</v>
      </c>
      <c r="B37" s="15">
        <v>346726</v>
      </c>
      <c r="C37" s="23" t="str">
        <f>+VLOOKUP(B37,cennik!A:G,2,FALSE)</f>
        <v>SEVROLL blachowkręt Blue 6,3x45</v>
      </c>
      <c r="D37" s="15">
        <f>+D4*4</f>
        <v>0</v>
      </c>
      <c r="E37" s="86">
        <f>+VLOOKUP(B37,cennik!A:G,3,FALSE)</f>
        <v>0.52376999999999996</v>
      </c>
      <c r="F37" s="86">
        <f t="shared" si="0"/>
        <v>0</v>
      </c>
      <c r="G37" s="87">
        <f>+F37*(100-G28)/100</f>
        <v>0</v>
      </c>
      <c r="H37" s="5" t="str">
        <f>cennik!B2</f>
        <v>zł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listwa pozioma górna</v>
      </c>
      <c r="B38" s="15" t="e">
        <f>+VLOOKUP(L31,data!C391:D402,2,0)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zł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listwa pozioma górna</v>
      </c>
      <c r="B39" s="7" t="e">
        <f>IF(L33&lt;&gt;"jiné",+VLOOKUP(L33,data!C391:D402,2,0),"")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zł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poziomy dolny profil ramy</v>
      </c>
      <c r="B40" s="7" t="e">
        <f>+VLOOKUP(L31,data!C483:D494,2,0)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zł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poziomy dolny profil ramy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zł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Akcesoria:</v>
      </c>
      <c r="B43" s="7"/>
      <c r="C43" s="475"/>
      <c r="D43" s="24" t="str">
        <f>System10!D41</f>
        <v>podaj ilość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pozycjoner wózka górnego</v>
      </c>
      <c r="B44" s="7">
        <v>298035</v>
      </c>
      <c r="C44" s="23" t="str">
        <f>+VLOOKUP(B44,cennik!A:G,2,FALSE)</f>
        <v>SEVROLL Fix pozycjoner wózka górnego transparentny</v>
      </c>
      <c r="D44" s="27"/>
      <c r="E44" s="86">
        <f>+VLOOKUP(B44,cennik!A:G,3,FALSE)</f>
        <v>3.74519</v>
      </c>
      <c r="F44" s="91">
        <f>+CEILING(D44,1)*E44</f>
        <v>0</v>
      </c>
      <c r="G44" s="87">
        <f>+F44*(100-G28)/100</f>
        <v>0</v>
      </c>
      <c r="H44" s="5" t="str">
        <f>cennik!B2</f>
        <v>zł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pozycjoner</v>
      </c>
      <c r="B45" s="590">
        <v>229681</v>
      </c>
      <c r="C45" s="23" t="str">
        <f>+VLOOKUP(B45,cennik!A:G,2,FALSE)</f>
        <v>SEVROLL Simple/Blue pozycjoner wózka dolnego</v>
      </c>
      <c r="D45" s="27"/>
      <c r="E45" s="86">
        <f>+VLOOKUP(B45,cennik!A:G,3,FALSE)</f>
        <v>1.2257</v>
      </c>
      <c r="F45" s="86">
        <f>+E45*D45</f>
        <v>0</v>
      </c>
      <c r="G45" s="87">
        <f>+F45*(100-G28)/100</f>
        <v>0</v>
      </c>
      <c r="H45" s="5" t="str">
        <f>cennik!B2</f>
        <v>zł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Wkręt do dolnego toru</v>
      </c>
      <c r="B46" s="7">
        <v>98019</v>
      </c>
      <c r="C46" s="23" t="str">
        <f>+VLOOKUP(B46,cennik!A:G,2,FALSE)</f>
        <v>SEVROLL wkręt 2,5x18mm</v>
      </c>
      <c r="D46" s="27"/>
      <c r="E46" s="86">
        <f>+VLOOKUP(B46,cennik!A:G,3,FALSE)</f>
        <v>0.10996</v>
      </c>
      <c r="F46" s="91">
        <f>+CEILING(D46,1)*E46</f>
        <v>0</v>
      </c>
      <c r="G46" s="87">
        <f>+F46*(100-G24)/100</f>
        <v>0</v>
      </c>
      <c r="H46" s="5" t="str">
        <f>cennik!B2</f>
        <v>zł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profil łączący H21 Simple (18mm)</v>
      </c>
      <c r="B47" s="15" t="e">
        <f>+VLOOKUP(O7,data!C517:D520,2,0)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zł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profil łączący H28 Simple (18mm)</v>
      </c>
      <c r="B48" s="15" t="str">
        <f>IFERROR(VLOOKUP(O7,data!C521:D523,2,0),"N/A")</f>
        <v>N/A</v>
      </c>
      <c r="C48" s="23" t="str">
        <f>IF(B48=data!D64,texty!A239,+VLOOKUP(B48,cennik!A:G,2,FALSE))</f>
        <v> w tym kolorze i długości dany profil nie jest produkowany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zł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śruba łącząca</v>
      </c>
      <c r="B49" s="15">
        <v>346726</v>
      </c>
      <c r="C49" s="23" t="str">
        <f>+VLOOKUP(B49,cennik!A:G,2,FALSE)</f>
        <v>SEVROLL blachowkręt Blue 6,3x45</v>
      </c>
      <c r="D49" s="28"/>
      <c r="E49" s="86">
        <f>+VLOOKUP(B49,cennik!A:G,3,FALSE)</f>
        <v>0.52376999999999996</v>
      </c>
      <c r="F49" s="86">
        <f>+E49*D49</f>
        <v>0</v>
      </c>
      <c r="G49" s="87">
        <f>+F49*(100-G28)/100</f>
        <v>0</v>
      </c>
      <c r="H49" s="5" t="str">
        <f>cennik!B2</f>
        <v>zł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 Tłumienie MINI do 25 kg (para)</v>
      </c>
      <c r="B50" s="15">
        <v>318662</v>
      </c>
      <c r="C50" s="23" t="str">
        <f>+VLOOKUP(B50,cennik!A:G,2,FALSE)</f>
        <v>SEVROLL tłumienie Mini SV25 (14-25kg)</v>
      </c>
      <c r="D50" s="27"/>
      <c r="E50" s="86">
        <f>+VLOOKUP(B50,cennik!A:G,3,FALSE)</f>
        <v>96.889799999999994</v>
      </c>
      <c r="F50" s="91">
        <f>+CEILING(D50,1)*E50</f>
        <v>0</v>
      </c>
      <c r="G50" s="87">
        <f>+F50*(100-G28)/100</f>
        <v>0</v>
      </c>
      <c r="H50" s="5" t="str">
        <f>cennik!B2</f>
        <v>zł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 Tłumienie MINI do 40 kg (para)</v>
      </c>
      <c r="B51" s="15">
        <v>283956</v>
      </c>
      <c r="C51" s="23" t="str">
        <f>+VLOOKUP(B51,cennik!A:G,2,FALSE)</f>
        <v>SEVROLL tłumienie Mini SV40 (25 - 40kg)</v>
      </c>
      <c r="D51" s="27"/>
      <c r="E51" s="86">
        <f>+VLOOKUP(B51,cennik!A:G,3,FALSE)</f>
        <v>96.889799999999994</v>
      </c>
      <c r="F51" s="91">
        <f>+CEILING(D51,1)*E51</f>
        <v>0</v>
      </c>
      <c r="G51" s="87">
        <f>+F51*(100-G28)/100</f>
        <v>0</v>
      </c>
      <c r="H51" s="5" t="str">
        <f>cennik!B2</f>
        <v>zł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 xml:space="preserve"> Tłumienie do skrzydła środkowego do 25 kg </v>
      </c>
      <c r="B52" s="15">
        <v>318663</v>
      </c>
      <c r="C52" s="23" t="str">
        <f>+VLOOKUP(B52,cennik!A:G,2,FALSE)</f>
        <v>SEVROLL tłumienie Central 10/18mm obustronne 25kg</v>
      </c>
      <c r="D52" s="27"/>
      <c r="E52" s="86">
        <f>+VLOOKUP(B52,cennik!A:G,3,FALSE)</f>
        <v>206.958</v>
      </c>
      <c r="F52" s="91">
        <f>+CEILING(D52,1)*E52</f>
        <v>0</v>
      </c>
      <c r="G52" s="87">
        <f>+F52*(100-G28)/100</f>
        <v>0</v>
      </c>
      <c r="H52" s="5" t="str">
        <f>cennik!B2</f>
        <v>zł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 xml:space="preserve"> Tłumienie do skrzydła środkowego do 40 kg </v>
      </c>
      <c r="B53" s="15">
        <v>283955</v>
      </c>
      <c r="C53" s="23" t="str">
        <f>+VLOOKUP(B53,cennik!A:G,2,FALSE)</f>
        <v>SEVROLL tłumienie Central 10/18mm obustronne 25-40kg</v>
      </c>
      <c r="D53" s="27"/>
      <c r="E53" s="86">
        <f>+VLOOKUP(B53,cennik!A:G,3,FALSE)</f>
        <v>206.958</v>
      </c>
      <c r="F53" s="91">
        <f>+CEILING(D53,1)*E53</f>
        <v>0</v>
      </c>
      <c r="G53" s="87">
        <f>+F53*(100-G28)/100</f>
        <v>0</v>
      </c>
      <c r="H53" s="5" t="str">
        <f>cennik!B2</f>
        <v>zł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szczotka przeciwkurzowa</v>
      </c>
      <c r="B54" s="15">
        <v>305348</v>
      </c>
      <c r="C54" s="23" t="str">
        <f>+VLOOKUP(B54,cennik!A:G,2,FALSE)</f>
        <v>SEVROLL szczotka przeciw kurzowa bez kleju 4,8x9 mm, szara</v>
      </c>
      <c r="D54" s="28"/>
      <c r="E54" s="86">
        <f>+VLOOKUP(B54,cennik!A:G,3,FALSE)</f>
        <v>0.89759999999999995</v>
      </c>
      <c r="F54" s="86">
        <f>+E54*D54</f>
        <v>0</v>
      </c>
      <c r="G54" s="87">
        <f>+F54*(100-G28)/100</f>
        <v>0</v>
      </c>
      <c r="H54" s="5" t="str">
        <f>cennik!B2</f>
        <v>zł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H55" s="4"/>
      <c r="I55" s="363" t="str">
        <f>IFERROR(IF((VLOOKUP(B55,cennik!A:L,12,0))="O",texty!A250,""),"")</f>
        <v/>
      </c>
      <c r="J55" s="174" t="str">
        <f>IF(D54&gt;0,IF(VLOOKUP(B54,cennik!A:L,12,FALSE)="O",1,""),"")</f>
        <v/>
      </c>
      <c r="K55" s="5"/>
    </row>
    <row r="56" spans="1:11" ht="12.75" customHeight="1" x14ac:dyDescent="0.25">
      <c r="A56" s="718" t="str">
        <f>IFERROR((CONCATENATE(texty!A7," ",D58," ",texty!A9)),"")</f>
        <v>Jeżeli wykorzystasz jako wypełnienie szkło/lustro, dodatkowo zamów uszczelkę. Długość uszczelki na jedno skrzydło to   szt, jeżeli masz więcej skrzydeł ze szklanym wypełnieniem, musisz tę liczbę pomnożyć.</v>
      </c>
      <c r="B56" s="718"/>
      <c r="C56" s="718"/>
      <c r="D56" s="718"/>
      <c r="E56" s="718"/>
      <c r="F56" s="718"/>
      <c r="G56" s="718"/>
      <c r="I56" s="363" t="str">
        <f>IFERROR(IF((VLOOKUP(B56,cennik!A:L,12,0))="O",texty!A250,""),"")</f>
        <v/>
      </c>
      <c r="J56" s="166"/>
      <c r="K56" s="5"/>
    </row>
    <row r="57" spans="1:11" ht="12.75" customHeight="1" x14ac:dyDescent="0.25">
      <c r="A57" s="718"/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3" t="str">
        <f>texty!A11</f>
        <v>Długość uszczelki w przypadku całkowitego zaszklenia (należy zamówić całe metry)</v>
      </c>
      <c r="D58" s="35" t="str">
        <f>IFERROR((CEILING((B9*2+C9*2)/1000/0.2+2,1)),"")</f>
        <v/>
      </c>
      <c r="E58" s="89"/>
      <c r="F58" s="89"/>
      <c r="G58" s="89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/>
      <c r="D59" s="35"/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44" t="str">
        <f>texty!A11</f>
        <v>Długość uszczelki w przypadku całkowitego zaszklenia (należy zamówić całe metry)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66"/>
      <c r="K60" s="5"/>
    </row>
    <row r="61" spans="1:11" ht="28.2" customHeight="1" x14ac:dyDescent="0.25">
      <c r="A61" s="372" t="str">
        <f>texty!A206</f>
        <v>Blue</v>
      </c>
      <c r="B61" s="7">
        <v>349856</v>
      </c>
      <c r="C61" s="23" t="str">
        <f>+VLOOKUP(B61,cennik!A:G,2,FALSE)</f>
        <v>SEVROLL klin mocujący Blue 40szt(szkło 4mm)</v>
      </c>
      <c r="D61" s="41"/>
      <c r="E61" s="86">
        <f>+VLOOKUP(B61,cennik!A:G,3,FALSE)</f>
        <v>42.618220000000001</v>
      </c>
      <c r="F61" s="86">
        <f>+E61*D61</f>
        <v>0</v>
      </c>
      <c r="G61" s="373">
        <f>+F61*(100-G28)/100</f>
        <v>0</v>
      </c>
      <c r="H61" s="7" t="str">
        <f>cennik!B2</f>
        <v>zł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/>
      <c r="B62" s="15"/>
      <c r="C62" s="23"/>
      <c r="E62" s="86"/>
      <c r="F62" s="91"/>
      <c r="G62" s="373"/>
      <c r="H62" s="7"/>
      <c r="I62" s="363" t="str">
        <f>IFERROR(IF((VLOOKUP(B62,cennik!A:L,12,0))="O",texty!A250,""),"")</f>
        <v/>
      </c>
      <c r="J62" s="166"/>
      <c r="K62" s="3"/>
    </row>
    <row r="63" spans="1:11" ht="15" x14ac:dyDescent="0.25">
      <c r="A63" s="209" t="str">
        <f>texty!A190</f>
        <v xml:space="preserve">tutaj można znaleźć inne akcesoria </v>
      </c>
      <c r="E63" s="193"/>
      <c r="F63" s="193"/>
      <c r="G63" s="193"/>
      <c r="H63" s="7"/>
      <c r="I63" s="363" t="str">
        <f>IFERROR(IF((VLOOKUP(B63,cennik!A:L,12,0))="O",texty!A250,""),"")</f>
        <v/>
      </c>
      <c r="J63" s="166"/>
      <c r="K63" s="5"/>
    </row>
    <row r="64" spans="1:11" ht="12.75" customHeight="1" x14ac:dyDescent="0.25">
      <c r="A64" s="209" t="str">
        <f>texty!A244</f>
        <v>rysunek techniczny tego systemu</v>
      </c>
      <c r="B64" s="487">
        <v>128842</v>
      </c>
      <c r="C64" s="486" t="str">
        <f>VLOOKUP(B64,cennik!A:C,2,0)</f>
        <v>SEVROLL wiertło stopniowe 6,5/9,5mm</v>
      </c>
      <c r="D64" s="41"/>
      <c r="E64" s="86">
        <f>+VLOOKUP(B64,cennik!A:G,3,FALSE)</f>
        <v>116.85122</v>
      </c>
      <c r="F64" s="91">
        <f>+CEILING(D64,1)*E64</f>
        <v>0</v>
      </c>
      <c r="G64" s="373">
        <f>+F64</f>
        <v>0</v>
      </c>
      <c r="H64" s="7" t="str">
        <f>cennik!B2</f>
        <v>zł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E65" s="89"/>
      <c r="F65" s="89"/>
      <c r="G65" s="89"/>
      <c r="I65" s="166"/>
      <c r="J65" s="166"/>
    </row>
    <row r="66" spans="1:13" ht="12.75" customHeight="1" x14ac:dyDescent="0.25">
      <c r="B66" s="7"/>
      <c r="C66" s="7"/>
      <c r="D66" s="71" t="str">
        <f>texty!A15</f>
        <v>w sumie (bez VAT)</v>
      </c>
      <c r="E66" s="94"/>
      <c r="F66" s="96" t="e">
        <f>SUM(F30:F64)</f>
        <v>#N/A</v>
      </c>
      <c r="G66" s="96" t="e">
        <f>SUM(G30:G64)</f>
        <v>#N/A</v>
      </c>
      <c r="H66" s="5" t="str">
        <f>cennik!B2</f>
        <v>zł</v>
      </c>
      <c r="I66" s="166"/>
      <c r="J66" s="166"/>
      <c r="K66" s="4" t="str">
        <f>texty!A128</f>
        <v>srebrny</v>
      </c>
    </row>
    <row r="67" spans="1:13" ht="12.75" customHeight="1" x14ac:dyDescent="0.25">
      <c r="A67" s="70" t="str">
        <f>System10!A67</f>
        <v>Uwagi</v>
      </c>
      <c r="B67" s="703"/>
      <c r="C67" s="704"/>
      <c r="D67" s="704"/>
      <c r="E67" s="704"/>
      <c r="F67" s="704"/>
      <c r="G67" s="704"/>
      <c r="K67" s="4" t="str">
        <f>texty!A130</f>
        <v>j.brąz</v>
      </c>
    </row>
    <row r="68" spans="1:13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K68" s="4" t="str">
        <f>data!J17</f>
        <v> czarny mat</v>
      </c>
    </row>
    <row r="69" spans="1:13" ht="12.75" customHeight="1" x14ac:dyDescent="0.25">
      <c r="A69" s="698" t="str">
        <f>IF(M69=1,texty!A215,IF(J69&gt;0,texty!A214,""))</f>
        <v>niektóre elementy nie są produkowane w wybranej długości</v>
      </c>
      <c r="B69" s="698"/>
      <c r="C69" s="698"/>
      <c r="D69" s="698"/>
      <c r="E69" s="698"/>
      <c r="F69" s="698"/>
      <c r="G69" s="698"/>
      <c r="J69" s="5" t="e">
        <f>SUM(J30:J64)</f>
        <v>#N/A</v>
      </c>
      <c r="M69" s="4">
        <f>IF(ISERROR(J69),1,0)</f>
        <v>1</v>
      </c>
    </row>
    <row r="82" spans="1:1" ht="12.75" hidden="1" customHeight="1" x14ac:dyDescent="0.25">
      <c r="A82" s="4">
        <v>3</v>
      </c>
    </row>
  </sheetData>
  <sheetProtection algorithmName="SHA-512" hashValue="/sXIAz0s3AVB0F57GHMwUzLuouYc928ZIuuEDzFyo70VMt4sSLkWTqJl8Hqq5X6R+O3EEyYRGtgIjk8AxtwlTg==" saltValue="HRlXKfNf9ZYtoE2cF0Y7sQ==" spinCount="100000" sheet="1" objects="1" scenarios="1"/>
  <mergeCells count="12">
    <mergeCell ref="Q6:Q7"/>
    <mergeCell ref="R6:R7"/>
    <mergeCell ref="S6:S7"/>
    <mergeCell ref="T6:T7"/>
    <mergeCell ref="A56:G57"/>
    <mergeCell ref="B67:G67"/>
    <mergeCell ref="A68:G68"/>
    <mergeCell ref="A69:G69"/>
    <mergeCell ref="F4:I6"/>
    <mergeCell ref="B5:E5"/>
    <mergeCell ref="A13:B14"/>
    <mergeCell ref="A15:B16"/>
  </mergeCells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3" priority="4">
      <formula>$D$4=4</formula>
    </cfRule>
    <cfRule type="expression" dxfId="2" priority="5">
      <formula>$D$4&lt;&gt;4</formula>
    </cfRule>
  </conditionalFormatting>
  <conditionalFormatting sqref="D49 D54">
    <cfRule type="expression" dxfId="1" priority="8" stopIfTrue="1">
      <formula>IF(#REF!&gt;0,IF($D$49=0,1,0),0)</formula>
    </cfRule>
  </conditionalFormatting>
  <conditionalFormatting sqref="F4:I6">
    <cfRule type="expression" dxfId="0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$K$66:$K$68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A30:I64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showRowColHeaders="0" zoomScaleNormal="100" workbookViewId="0">
      <selection activeCell="C5" sqref="C5"/>
    </sheetView>
  </sheetViews>
  <sheetFormatPr defaultColWidth="0" defaultRowHeight="13.2" zeroHeight="1" x14ac:dyDescent="0.25"/>
  <cols>
    <col min="1" max="1" width="11.33203125" customWidth="1"/>
    <col min="2" max="2" width="46.6640625" bestFit="1" customWidth="1"/>
    <col min="3" max="3" width="9.109375" customWidth="1"/>
    <col min="4" max="4" width="11.44140625" customWidth="1"/>
    <col min="5" max="5" width="9.109375" customWidth="1"/>
    <col min="6" max="6" width="12.109375" customWidth="1"/>
    <col min="7" max="9" width="9.109375" customWidth="1"/>
    <col min="10" max="10" width="11.6640625" customWidth="1"/>
    <col min="11" max="13" width="12.44140625" customWidth="1"/>
    <col min="14" max="16384" width="12.44140625" hidden="1"/>
  </cols>
  <sheetData>
    <row r="1" spans="1:6" x14ac:dyDescent="0.25"/>
    <row r="2" spans="1:6" x14ac:dyDescent="0.25">
      <c r="F2" s="157"/>
    </row>
    <row r="3" spans="1:6" x14ac:dyDescent="0.25">
      <c r="F3" s="35"/>
    </row>
    <row r="4" spans="1:6" x14ac:dyDescent="0.25">
      <c r="A4" s="176"/>
      <c r="C4" s="177"/>
      <c r="D4" s="157"/>
      <c r="E4" s="157"/>
    </row>
    <row r="5" spans="1:6" x14ac:dyDescent="0.25">
      <c r="C5" s="166"/>
      <c r="E5" s="85"/>
      <c r="F5" s="85"/>
    </row>
    <row r="6" spans="1:6" x14ac:dyDescent="0.25">
      <c r="C6" s="166"/>
      <c r="E6" s="85"/>
      <c r="F6" s="85"/>
    </row>
    <row r="7" spans="1:6" x14ac:dyDescent="0.25">
      <c r="C7" s="166"/>
      <c r="E7" s="85"/>
      <c r="F7" s="85"/>
    </row>
    <row r="8" spans="1:6" x14ac:dyDescent="0.25">
      <c r="C8" s="166"/>
      <c r="E8" s="85"/>
      <c r="F8" s="85"/>
    </row>
    <row r="9" spans="1:6" x14ac:dyDescent="0.25">
      <c r="E9" s="85"/>
      <c r="F9" s="85"/>
    </row>
    <row r="10" spans="1:6" x14ac:dyDescent="0.25">
      <c r="E10" s="85"/>
      <c r="F10" s="85"/>
    </row>
    <row r="11" spans="1:6" x14ac:dyDescent="0.25">
      <c r="A11" s="178"/>
      <c r="E11" s="85"/>
      <c r="F11" s="85"/>
    </row>
    <row r="12" spans="1:6" x14ac:dyDescent="0.25">
      <c r="E12" s="85"/>
      <c r="F12" s="85"/>
    </row>
    <row r="13" spans="1:6" x14ac:dyDescent="0.25">
      <c r="C13" s="166"/>
      <c r="D13" s="85"/>
      <c r="E13" s="85"/>
      <c r="F13" s="85"/>
    </row>
    <row r="14" spans="1:6" x14ac:dyDescent="0.25">
      <c r="C14" s="166"/>
      <c r="D14" s="85"/>
      <c r="E14" s="85"/>
      <c r="F14" s="85"/>
    </row>
    <row r="15" spans="1:6" x14ac:dyDescent="0.25">
      <c r="C15" s="166"/>
      <c r="D15" s="85"/>
      <c r="E15" s="85"/>
      <c r="F15" s="85"/>
    </row>
    <row r="16" spans="1:6" x14ac:dyDescent="0.25">
      <c r="D16" s="85"/>
      <c r="E16" s="85"/>
      <c r="F16" s="85"/>
    </row>
    <row r="17" spans="1:6" x14ac:dyDescent="0.25">
      <c r="D17" s="85"/>
      <c r="E17" s="85"/>
      <c r="F17" s="85"/>
    </row>
    <row r="18" spans="1:6" x14ac:dyDescent="0.25">
      <c r="C18" s="166"/>
      <c r="D18" s="85"/>
      <c r="E18" s="85"/>
      <c r="F18" s="85"/>
    </row>
    <row r="19" spans="1:6" x14ac:dyDescent="0.25">
      <c r="C19" s="166"/>
      <c r="D19" s="85"/>
      <c r="E19" s="85"/>
      <c r="F19" s="85"/>
    </row>
    <row r="20" spans="1:6" x14ac:dyDescent="0.25">
      <c r="C20" s="166"/>
      <c r="D20" s="85"/>
      <c r="E20" s="85"/>
      <c r="F20" s="85"/>
    </row>
    <row r="21" spans="1:6" x14ac:dyDescent="0.25">
      <c r="D21" s="85"/>
      <c r="E21" s="85"/>
      <c r="F21" s="85"/>
    </row>
    <row r="22" spans="1:6" x14ac:dyDescent="0.25">
      <c r="A22" s="178"/>
    </row>
    <row r="23" spans="1:6" x14ac:dyDescent="0.25">
      <c r="C23" s="166"/>
      <c r="D23" s="85"/>
      <c r="E23" s="85"/>
      <c r="F23" s="85"/>
    </row>
    <row r="24" spans="1:6" x14ac:dyDescent="0.25">
      <c r="C24" s="166"/>
      <c r="D24" s="85"/>
      <c r="E24" s="85"/>
      <c r="F24" s="85"/>
    </row>
    <row r="25" spans="1:6" x14ac:dyDescent="0.25">
      <c r="C25" s="166"/>
      <c r="D25" s="85"/>
      <c r="E25" s="85"/>
      <c r="F25" s="85"/>
    </row>
    <row r="26" spans="1:6" x14ac:dyDescent="0.25">
      <c r="C26" s="166"/>
      <c r="D26" s="85"/>
      <c r="E26" s="85"/>
      <c r="F26" s="85"/>
    </row>
    <row r="27" spans="1:6" x14ac:dyDescent="0.25">
      <c r="C27" s="166"/>
      <c r="D27" s="85"/>
      <c r="E27" s="85"/>
      <c r="F27" s="85"/>
    </row>
    <row r="28" spans="1:6" x14ac:dyDescent="0.25"/>
    <row r="29" spans="1:6" x14ac:dyDescent="0.25"/>
    <row r="30" spans="1:6" x14ac:dyDescent="0.25"/>
    <row r="31" spans="1:6" x14ac:dyDescent="0.25"/>
    <row r="32" spans="1:6" x14ac:dyDescent="0.25">
      <c r="C32" s="178"/>
      <c r="F32" s="179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ztRbY+043EiK1a0C+j/X4WP5BkYF9ULUuZ/s+JC9LXGC1BrhCh3s0QX/sMRpH3xnR+3UmIaCaRRoXCYjgaQpvw==" saltValue="9QyXEBAo41JRHZEJkS8yc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showRowColHeaders="0" zoomScaleNormal="100" workbookViewId="0">
      <selection activeCell="C75" sqref="C75"/>
    </sheetView>
  </sheetViews>
  <sheetFormatPr defaultColWidth="0" defaultRowHeight="13.2" zeroHeight="1" x14ac:dyDescent="0.25"/>
  <cols>
    <col min="1" max="1" width="9.109375" customWidth="1"/>
    <col min="2" max="2" width="51.5546875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6384" width="7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ht="26.4" x14ac:dyDescent="0.25">
      <c r="F72" s="403" t="str">
        <f>texty!$A$21</f>
        <v>partnerska zniżka:</v>
      </c>
    </row>
    <row r="73" spans="1:6" x14ac:dyDescent="0.25">
      <c r="F73" s="131">
        <f>profil!C$15</f>
        <v>0</v>
      </c>
    </row>
    <row r="74" spans="1:6" ht="26.4" x14ac:dyDescent="0.25">
      <c r="C74" s="404" t="str">
        <f>texty!A33</f>
        <v>podaj ilość</v>
      </c>
      <c r="D74" s="157" t="str">
        <f>texty!$A$18</f>
        <v>cena/szt.</v>
      </c>
      <c r="E74" s="157" t="str">
        <f>texty!$A$19</f>
        <v>cena w sumie</v>
      </c>
    </row>
    <row r="75" spans="1:6" x14ac:dyDescent="0.25">
      <c r="A75">
        <v>222761</v>
      </c>
      <c r="B75" t="str">
        <f>VLOOKUP(A75,cennik!A:C,2,0)</f>
        <v>SEVROLL szablon do wózków do płyty laminowanej 18mm</v>
      </c>
      <c r="C75" s="27"/>
      <c r="D75">
        <f>+VLOOKUP(A75,cennik!$A:$G,3,FALSE)</f>
        <v>17.821909999999999</v>
      </c>
      <c r="E75" s="85">
        <f>D75*C75</f>
        <v>0</v>
      </c>
      <c r="F75" s="85">
        <f>+E75*(100-$F$73)/100</f>
        <v>0</v>
      </c>
    </row>
    <row r="76" spans="1:6" x14ac:dyDescent="0.25"/>
    <row r="77" spans="1:6" x14ac:dyDescent="0.25"/>
    <row r="80" spans="1:6" ht="13.8" hidden="1" thickBot="1" x14ac:dyDescent="0.3"/>
    <row r="81" spans="3:7" ht="13.8" hidden="1" thickBot="1" x14ac:dyDescent="0.3">
      <c r="C81" s="158" t="str">
        <f>texty!$A$15</f>
        <v>w sumie (bez VAT)</v>
      </c>
      <c r="D81" s="159"/>
      <c r="E81" s="159"/>
      <c r="F81" s="160">
        <f>SUM(F75:F79)</f>
        <v>0</v>
      </c>
      <c r="G81" t="str">
        <f>cennik!$B$2</f>
        <v>zł</v>
      </c>
    </row>
  </sheetData>
  <sheetProtection algorithmName="SHA-512" hashValue="xSSR3Gknny3yWO71n38rsMSW5xQx//a57QRne5fkil9bp6ngeRN8LZWCdCcRMIoFw2LhViNt4pFCXQjJuhiMsA==" saltValue="3BGHVXLlZUqOjWmkRB3OG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showRowColHeaders="0" zoomScale="85" zoomScaleNormal="85" workbookViewId="0"/>
  </sheetViews>
  <sheetFormatPr defaultColWidth="0" defaultRowHeight="13.2" zeroHeight="1" x14ac:dyDescent="0.25"/>
  <cols>
    <col min="1" max="1" width="9.109375" customWidth="1"/>
    <col min="2" max="2" width="46.6640625" bestFit="1" customWidth="1"/>
    <col min="3" max="5" width="9.109375" customWidth="1"/>
    <col min="6" max="6" width="10.44140625" hidden="1" customWidth="1"/>
    <col min="7" max="10" width="7" hidden="1" customWidth="1"/>
    <col min="11" max="11" width="14.44140625" hidden="1" customWidth="1"/>
    <col min="12" max="23" width="8.6640625" customWidth="1"/>
    <col min="24" max="16384" width="8.66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sheetProtection algorithmName="SHA-512" hashValue="lJzEFE7pi+8HaV0thhd4mpYafD/o+sSaTAkblgZW9nKCvSApr7onhh+mPMVZ+aRgKY1z5yTaNgUUwg7N6J781A==" saltValue="RJoyuyFylJtUdYyjzH8u6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showRowColHeaders="0" zoomScale="70" zoomScaleNormal="70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6" width="7" customWidth="1"/>
    <col min="17" max="18" width="7" hidden="1" customWidth="1"/>
    <col min="19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</sheetData>
  <sheetProtection algorithmName="SHA-512" hashValue="uJi4GHCx0qqtyW2I35lL+iVIhSiv2JL48vvEM2mHy+TeUYpR6eeqQkTOOKQD0EN+V7tQTUWwM4J1N6uU6qi6uQ==" saltValue="Gxqme8HGm310Q70/hHHXk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showRowColHeaders="0" zoomScale="70" zoomScaleNormal="70" workbookViewId="0"/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</sheetData>
  <sheetProtection algorithmName="SHA-512" hashValue="lyEmkwjBVRM7gKo9ZvtVNxdhSrbZ1pEmq1NZXuaJD2XhL+79kzYDnz15YcHixDw5tctcotgwS+JAp+mTrggJSA==" saltValue="5aDHK9h1A5WSmULrza081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showRowColHeaders="0" zoomScale="55" zoomScaleNormal="55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hidden="1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ht="13.2" customHeight="1" x14ac:dyDescent="0.25"/>
    <row r="67" ht="13.2" customHeight="1" x14ac:dyDescent="0.25"/>
    <row r="68" ht="13.2" customHeight="1" x14ac:dyDescent="0.25"/>
    <row r="69" ht="13.2" customHeight="1" x14ac:dyDescent="0.25"/>
    <row r="70" ht="13.2" customHeight="1" x14ac:dyDescent="0.25"/>
    <row r="71" ht="13.2" customHeight="1" x14ac:dyDescent="0.25"/>
    <row r="72" ht="13.2" customHeight="1" x14ac:dyDescent="0.25"/>
    <row r="73" ht="13.2" customHeight="1" x14ac:dyDescent="0.25"/>
    <row r="74" ht="13.2" customHeight="1" x14ac:dyDescent="0.25"/>
    <row r="75" ht="13.2" customHeight="1" x14ac:dyDescent="0.25"/>
    <row r="76" ht="13.2" customHeight="1" x14ac:dyDescent="0.25"/>
    <row r="77" ht="13.2" customHeight="1" x14ac:dyDescent="0.25"/>
    <row r="78" ht="13.2" customHeight="1" x14ac:dyDescent="0.25"/>
    <row r="79" ht="13.2" customHeight="1" x14ac:dyDescent="0.25"/>
    <row r="80" ht="13.2" customHeight="1" x14ac:dyDescent="0.25"/>
    <row r="81" ht="13.2" customHeight="1" x14ac:dyDescent="0.25"/>
    <row r="82" ht="13.2" customHeight="1" x14ac:dyDescent="0.25"/>
    <row r="83" ht="13.2" customHeight="1" x14ac:dyDescent="0.25"/>
    <row r="84" ht="13.2" customHeight="1" x14ac:dyDescent="0.25"/>
    <row r="85" ht="13.2" customHeight="1" x14ac:dyDescent="0.25"/>
    <row r="86" ht="13.2" customHeight="1" x14ac:dyDescent="0.25"/>
    <row r="87" ht="13.2" customHeight="1" x14ac:dyDescent="0.25"/>
    <row r="88" ht="13.2" customHeight="1" x14ac:dyDescent="0.25"/>
    <row r="89" ht="13.2" customHeight="1" x14ac:dyDescent="0.25"/>
    <row r="90" ht="13.2" customHeight="1" x14ac:dyDescent="0.25"/>
    <row r="91" ht="13.2" customHeight="1" x14ac:dyDescent="0.25"/>
    <row r="92" ht="13.2" customHeight="1" x14ac:dyDescent="0.25"/>
    <row r="93" ht="13.2" customHeight="1" x14ac:dyDescent="0.25"/>
    <row r="94" ht="13.2" customHeight="1" x14ac:dyDescent="0.25"/>
    <row r="95" ht="13.2" customHeight="1" x14ac:dyDescent="0.25"/>
    <row r="96" ht="13.2" customHeight="1" x14ac:dyDescent="0.25"/>
    <row r="97" ht="13.2" customHeight="1" x14ac:dyDescent="0.25"/>
    <row r="98" ht="13.2" customHeight="1" x14ac:dyDescent="0.25"/>
    <row r="99" ht="13.2" customHeight="1" x14ac:dyDescent="0.25"/>
    <row r="100" ht="13.2" customHeight="1" x14ac:dyDescent="0.25"/>
    <row r="101" ht="13.2" customHeight="1" x14ac:dyDescent="0.25"/>
  </sheetData>
  <sheetProtection algorithmName="SHA-512" hashValue="M5LeD6vkwjK50YZISCyzTl721ES0ICbplXHmvoXtfejXjNJl5DNqOuP9RoqGxh9YLd2S07fItXbmId9OyDjgtA==" saltValue="JJCZh4zqw2vqWKpmQimRJ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Normal="100" workbookViewId="0">
      <selection activeCell="C4" sqref="C4"/>
    </sheetView>
  </sheetViews>
  <sheetFormatPr defaultColWidth="0" defaultRowHeight="13.2" zeroHeight="1" x14ac:dyDescent="0.25"/>
  <cols>
    <col min="1" max="1" width="11.33203125" style="267" customWidth="1"/>
    <col min="2" max="2" width="60.109375" style="267" customWidth="1"/>
    <col min="3" max="3" width="9.109375" style="267" customWidth="1"/>
    <col min="4" max="4" width="11.44140625" style="267" customWidth="1"/>
    <col min="5" max="5" width="9.109375" style="267" customWidth="1"/>
    <col min="6" max="7" width="15.33203125" style="267" customWidth="1"/>
    <col min="8" max="9" width="9.109375" style="267" customWidth="1"/>
    <col min="10" max="10" width="11.6640625" style="267" customWidth="1"/>
    <col min="11" max="16384" width="12.44140625" style="267" hidden="1"/>
  </cols>
  <sheetData>
    <row r="1" spans="1:7" ht="26.4" x14ac:dyDescent="0.4">
      <c r="A1" s="719" t="str">
        <f>texty!A193</f>
        <v>Powrót do strony głównej</v>
      </c>
      <c r="B1" s="719"/>
      <c r="F1" s="272" t="str">
        <f>texty!$A$21</f>
        <v>partnerska zniżka:</v>
      </c>
    </row>
    <row r="2" spans="1:7" x14ac:dyDescent="0.25">
      <c r="F2" s="279"/>
    </row>
    <row r="3" spans="1:7" ht="41.25" customHeight="1" x14ac:dyDescent="0.25">
      <c r="A3" s="268" t="str">
        <f>texty!A190</f>
        <v xml:space="preserve">tutaj można znaleźć inne akcesoria </v>
      </c>
      <c r="C3" s="275" t="str">
        <f>texty!A33</f>
        <v>podaj ilość</v>
      </c>
      <c r="D3" s="272" t="str">
        <f>texty!$A$18</f>
        <v>cena/szt.</v>
      </c>
      <c r="E3" s="272" t="str">
        <f>texty!$A$19</f>
        <v>cena w sumie</v>
      </c>
    </row>
    <row r="4" spans="1:7" x14ac:dyDescent="0.25">
      <c r="A4" s="267">
        <v>129677</v>
      </c>
      <c r="B4" s="267" t="str">
        <f>VLOOKUP(A4,cennik!A:C,2,0)</f>
        <v>SEVROLL element montażowy do płyty laminowanej 10mm mały</v>
      </c>
      <c r="C4" s="278"/>
      <c r="D4" s="267">
        <f>+VLOOKUP(A4,cennik!$A:$G,3,FALSE)</f>
        <v>51.590769999999999</v>
      </c>
      <c r="E4" s="273">
        <f>D4*C4</f>
        <v>0</v>
      </c>
      <c r="F4" s="273">
        <f>+E4</f>
        <v>0</v>
      </c>
    </row>
    <row r="5" spans="1:7" x14ac:dyDescent="0.25">
      <c r="A5" s="267">
        <v>128842</v>
      </c>
      <c r="B5" s="267" t="str">
        <f>VLOOKUP(A5,cennik!A:C,2,0)</f>
        <v>SEVROLL wiertło stopniowe 6,5/9,5mm</v>
      </c>
      <c r="C5" s="278"/>
      <c r="D5" s="267">
        <f>+VLOOKUP(A5,cennik!$A:$G,3,FALSE)</f>
        <v>116.85122</v>
      </c>
      <c r="E5" s="273">
        <f>D5*C5</f>
        <v>0</v>
      </c>
      <c r="F5" s="273">
        <f>+E5</f>
        <v>0</v>
      </c>
    </row>
    <row r="6" spans="1:7" x14ac:dyDescent="0.25">
      <c r="A6" s="175">
        <v>223569</v>
      </c>
      <c r="B6" s="19" t="str">
        <f>+VLOOKUP(A6,cennik!$A:$G,2,FALSE)</f>
        <v>SEVROLL klips do szczotki przeciwkurzowej</v>
      </c>
      <c r="C6" s="278"/>
      <c r="D6" s="267">
        <f>+VLOOKUP(A6,cennik!$A:$G,3,FALSE)</f>
        <v>0.23857999999999999</v>
      </c>
      <c r="E6" s="273">
        <f>D6*C6</f>
        <v>0</v>
      </c>
      <c r="F6" s="273">
        <f>+E6*(100-$F$2)/100</f>
        <v>0</v>
      </c>
    </row>
    <row r="7" spans="1:7" x14ac:dyDescent="0.25">
      <c r="A7" s="269">
        <v>283298</v>
      </c>
      <c r="B7" s="19" t="str">
        <f>+VLOOKUP(A7,cennik!$A:$G,2,FALSE)</f>
        <v>IF-nakładka samoprzylepna 20mm 15szt. 93336 Aluminium mat</v>
      </c>
      <c r="C7" s="278"/>
      <c r="D7" s="267" t="e">
        <f>+VLOOKUP(A7,cennik!$A:$G,3,FALSE)</f>
        <v>#N/A</v>
      </c>
      <c r="E7" s="273" t="e">
        <f>D7*C7</f>
        <v>#N/A</v>
      </c>
      <c r="F7" s="273" t="e">
        <f>+E7</f>
        <v>#N/A</v>
      </c>
      <c r="G7" s="267" t="str">
        <f>CONCATENATE("(20 ",texty!$A$17,"; ",texty!$A$18,")")</f>
        <v>(20 szt.; cena/szt.)</v>
      </c>
    </row>
    <row r="8" spans="1:7" x14ac:dyDescent="0.25">
      <c r="A8" s="267">
        <v>283283</v>
      </c>
      <c r="B8" s="19" t="str">
        <f>+VLOOKUP(A8,cennik!$A:$G,2,FALSE)</f>
        <v>IF-nakładka samoprzylepna 13mm 20szt. 06 oliwkowy metalik</v>
      </c>
      <c r="C8" s="278"/>
      <c r="D8" s="267" t="e">
        <f>+VLOOKUP(A8,cennik!$A:$G,3,FALSE)</f>
        <v>#N/A</v>
      </c>
      <c r="E8" s="273" t="e">
        <f>D8*C8</f>
        <v>#N/A</v>
      </c>
      <c r="F8" s="273" t="e">
        <f>+E8</f>
        <v>#N/A</v>
      </c>
      <c r="G8" s="267" t="str">
        <f>CONCATENATE("(20 ",texty!$A$17,"; ",texty!$A$18,")")</f>
        <v>(20 szt.; cena/szt.)</v>
      </c>
    </row>
    <row r="9" spans="1:7" x14ac:dyDescent="0.25">
      <c r="E9" s="273"/>
      <c r="F9" s="273"/>
    </row>
    <row r="10" spans="1:7" x14ac:dyDescent="0.25">
      <c r="E10" s="273"/>
      <c r="F10" s="273"/>
    </row>
    <row r="11" spans="1:7" x14ac:dyDescent="0.25">
      <c r="A11" s="270" t="str">
        <f>texty!A195</f>
        <v>Proste tory do systemow:</v>
      </c>
      <c r="E11" s="273"/>
      <c r="F11" s="273"/>
    </row>
    <row r="12" spans="1:7" x14ac:dyDescent="0.25">
      <c r="A12" s="267" t="s">
        <v>640</v>
      </c>
      <c r="E12" s="273"/>
      <c r="F12" s="273"/>
    </row>
    <row r="13" spans="1:7" x14ac:dyDescent="0.25">
      <c r="A13" s="267">
        <v>89029</v>
      </c>
      <c r="B13" s="267" t="str">
        <f>VLOOKUP(A13,cennik!A:C,2,0)</f>
        <v>SEVROLL 01255 Single horní vedení 1,7m stříbrná</v>
      </c>
      <c r="C13" s="278"/>
      <c r="D13" s="273">
        <f>+VLOOKUP(A13,cennik!$A:$G,3,FALSE)</f>
        <v>51.049550000000004</v>
      </c>
      <c r="E13" s="273">
        <f>D13*C13</f>
        <v>0</v>
      </c>
      <c r="F13" s="273">
        <f>+E13*(100-$F$2)/100</f>
        <v>0</v>
      </c>
      <c r="G13" s="267" t="str">
        <f>cennik!$B$2</f>
        <v>zł</v>
      </c>
    </row>
    <row r="14" spans="1:7" x14ac:dyDescent="0.25">
      <c r="A14" s="267">
        <v>89032</v>
      </c>
      <c r="B14" s="267" t="str">
        <f>VLOOKUP(A14,cennik!A:C,2,0)</f>
        <v>SEVROLL 01256 Single horní vedení 2,35m stříbrná</v>
      </c>
      <c r="C14" s="278"/>
      <c r="D14" s="273">
        <f>+VLOOKUP(A14,cennik!$A:$G,3,FALSE)</f>
        <v>70.492769999999993</v>
      </c>
      <c r="E14" s="273">
        <f>D14*C14</f>
        <v>0</v>
      </c>
      <c r="F14" s="273">
        <f>+E14*(100-$F$2)/100</f>
        <v>0</v>
      </c>
      <c r="G14" s="267" t="str">
        <f>cennik!$B$2</f>
        <v>zł</v>
      </c>
    </row>
    <row r="15" spans="1:7" x14ac:dyDescent="0.25">
      <c r="A15" s="267">
        <v>89035</v>
      </c>
      <c r="B15" s="267" t="str">
        <f>VLOOKUP(A15,cennik!A:C,2,0)</f>
        <v>SEVROLL 01257 Single horní vedení 3m stříbrná</v>
      </c>
      <c r="C15" s="278"/>
      <c r="D15" s="273">
        <f>+VLOOKUP(A15,cennik!$A:$G,3,FALSE)</f>
        <v>90.113560000000007</v>
      </c>
      <c r="E15" s="273">
        <f>D15*C15</f>
        <v>0</v>
      </c>
      <c r="F15" s="273">
        <f>+E15*(100-$F$2)/100</f>
        <v>0</v>
      </c>
      <c r="G15" s="267" t="str">
        <f>cennik!$B$2</f>
        <v>zł</v>
      </c>
    </row>
    <row r="16" spans="1:7" x14ac:dyDescent="0.25">
      <c r="C16" s="273"/>
      <c r="D16" s="273"/>
      <c r="E16" s="273"/>
      <c r="F16" s="273"/>
    </row>
    <row r="17" spans="1:7" x14ac:dyDescent="0.25">
      <c r="D17" s="273"/>
      <c r="E17" s="273"/>
      <c r="F17" s="273"/>
    </row>
    <row r="18" spans="1:7" x14ac:dyDescent="0.25">
      <c r="A18" s="267">
        <v>213609</v>
      </c>
      <c r="B18" s="267" t="str">
        <f>VLOOKUP(A18,cennik!A:C,2,0)</f>
        <v>SEVROLL Hide M tor dolny 3m srebrny</v>
      </c>
      <c r="C18" s="278"/>
      <c r="D18" s="273">
        <f>+VLOOKUP(A18,cennik!$A:$G,3,FALSE)</f>
        <v>29.8307</v>
      </c>
      <c r="E18" s="273">
        <f t="shared" ref="E18:E24" si="0">D18*C18</f>
        <v>0</v>
      </c>
      <c r="F18" s="273">
        <f t="shared" ref="F18:F24" si="1">+E18*(100-$F$2)/100</f>
        <v>0</v>
      </c>
      <c r="G18" s="267" t="str">
        <f>cennik!$B$2</f>
        <v>zł</v>
      </c>
    </row>
    <row r="19" spans="1:7" x14ac:dyDescent="0.25">
      <c r="A19" s="267">
        <v>197753</v>
      </c>
      <c r="B19" s="267" t="str">
        <f>VLOOKUP(A19,cennik!A:C,2,0)</f>
        <v>SEVROLL Hide N tor dolny 3m srebrny</v>
      </c>
      <c r="C19" s="278"/>
      <c r="D19" s="273">
        <f>+VLOOKUP(A19,cennik!$A:$G,3,FALSE)</f>
        <v>43.414319999999996</v>
      </c>
      <c r="E19" s="273">
        <f t="shared" si="0"/>
        <v>0</v>
      </c>
      <c r="F19" s="273">
        <f t="shared" si="1"/>
        <v>0</v>
      </c>
      <c r="G19" s="267" t="str">
        <f>cennik!$B$2</f>
        <v>zł</v>
      </c>
    </row>
    <row r="20" spans="1:7" x14ac:dyDescent="0.25">
      <c r="A20" s="267">
        <v>223405</v>
      </c>
      <c r="B20" s="267" t="str">
        <f>VLOOKUP(A20,cennik!A:C,2,0)</f>
        <v>SEVROLL Hide M tor dolny 3 m oliwka</v>
      </c>
      <c r="C20" s="278"/>
      <c r="D20" s="273">
        <f>+VLOOKUP(A20,cennik!$A:$G,3,FALSE)</f>
        <v>36.22298</v>
      </c>
      <c r="E20" s="273">
        <f t="shared" si="0"/>
        <v>0</v>
      </c>
      <c r="F20" s="273">
        <f t="shared" si="1"/>
        <v>0</v>
      </c>
      <c r="G20" s="267" t="str">
        <f>cennik!$B$2</f>
        <v>zł</v>
      </c>
    </row>
    <row r="21" spans="1:7" x14ac:dyDescent="0.25">
      <c r="A21" s="267">
        <v>197755</v>
      </c>
      <c r="B21" s="267" t="str">
        <f>VLOOKUP(A21,cennik!A:C,2,0)</f>
        <v>SEVROLL Hide N tor dolny 3 m oliwka</v>
      </c>
      <c r="C21" s="278"/>
      <c r="D21" s="273">
        <f>+VLOOKUP(A21,cennik!$A:$G,3,FALSE)</f>
        <v>50.871980000000001</v>
      </c>
      <c r="E21" s="273">
        <f t="shared" si="0"/>
        <v>0</v>
      </c>
      <c r="F21" s="273">
        <f t="shared" si="1"/>
        <v>0</v>
      </c>
      <c r="G21" s="267" t="str">
        <f>cennik!$B$2</f>
        <v>zł</v>
      </c>
    </row>
    <row r="22" spans="1:7" x14ac:dyDescent="0.25">
      <c r="A22" s="267">
        <v>279078</v>
      </c>
      <c r="B22" s="267" t="str">
        <f>VLOOKUP(A22,cennik!A:C,2,0)</f>
        <v>SEVROLL Hide N tor dolny 6 m, jasny brąz</v>
      </c>
      <c r="C22" s="278"/>
      <c r="D22" s="273">
        <f>+VLOOKUP(A22,cennik!$A:$G,3,FALSE)</f>
        <v>0</v>
      </c>
      <c r="E22" s="273">
        <f t="shared" si="0"/>
        <v>0</v>
      </c>
      <c r="F22" s="273">
        <f t="shared" si="1"/>
        <v>0</v>
      </c>
      <c r="G22" s="267" t="str">
        <f>cennik!$B$2</f>
        <v>zł</v>
      </c>
    </row>
    <row r="23" spans="1:7" x14ac:dyDescent="0.25">
      <c r="A23" s="267">
        <v>212613</v>
      </c>
      <c r="B23" s="267" t="str">
        <f>VLOOKUP(A23,cennik!A:C,2,0)</f>
        <v>SEVROLL zaślepka do toru Hide N srebrna</v>
      </c>
      <c r="C23" s="278"/>
      <c r="D23" s="273">
        <f>+VLOOKUP(A23,cennik!$A:$G,3,FALSE)</f>
        <v>18.523420000000002</v>
      </c>
      <c r="E23" s="273">
        <f t="shared" si="0"/>
        <v>0</v>
      </c>
      <c r="F23" s="273">
        <f t="shared" si="1"/>
        <v>0</v>
      </c>
      <c r="G23" s="267" t="str">
        <f>cennik!$B$2</f>
        <v>zł</v>
      </c>
    </row>
    <row r="24" spans="1:7" x14ac:dyDescent="0.25">
      <c r="A24" s="267">
        <v>212616</v>
      </c>
      <c r="B24" s="267" t="str">
        <f>VLOOKUP(A24,cennik!A:C,2,0)</f>
        <v>SEVROLL stoper do torów Hide N i M</v>
      </c>
      <c r="C24" s="278"/>
      <c r="D24" s="273">
        <f>+VLOOKUP(A24,cennik!$A:$G,3,FALSE)</f>
        <v>12.1584</v>
      </c>
      <c r="E24" s="273">
        <f t="shared" si="0"/>
        <v>0</v>
      </c>
      <c r="F24" s="273">
        <f t="shared" si="1"/>
        <v>0</v>
      </c>
      <c r="G24" s="267" t="str">
        <f>cennik!$B$2</f>
        <v>zł</v>
      </c>
    </row>
    <row r="25" spans="1:7" x14ac:dyDescent="0.25">
      <c r="D25" s="273"/>
      <c r="E25" s="273"/>
      <c r="F25" s="273"/>
    </row>
    <row r="26" spans="1:7" x14ac:dyDescent="0.25">
      <c r="D26" s="273"/>
      <c r="E26" s="273"/>
      <c r="F26" s="273"/>
    </row>
    <row r="27" spans="1:7" x14ac:dyDescent="0.25">
      <c r="A27" s="267">
        <v>84192</v>
      </c>
      <c r="B27" s="267" t="str">
        <f>VLOOKUP(A27,cennik!A:C,2,0)</f>
        <v>SEVROLL 01135 Smart tor dolny 1,7 m, srebrny</v>
      </c>
      <c r="C27" s="278"/>
      <c r="D27" s="273">
        <f>+VLOOKUP(A27,cennik!$A:$G,3,FALSE)</f>
        <v>14.2188</v>
      </c>
      <c r="E27" s="273">
        <f>D27*C27</f>
        <v>0</v>
      </c>
      <c r="F27" s="273">
        <f>+E27*(100-$F$2)/100</f>
        <v>0</v>
      </c>
      <c r="G27" s="267" t="str">
        <f>cennik!$B$2</f>
        <v>zł</v>
      </c>
    </row>
    <row r="28" spans="1:7" x14ac:dyDescent="0.25">
      <c r="A28" s="267">
        <v>84195</v>
      </c>
      <c r="B28" s="267" t="str">
        <f>VLOOKUP(A28,cennik!A:C,2,0)</f>
        <v>SEVROLL Smart tor dolny 2,35m srebrny</v>
      </c>
      <c r="C28" s="278"/>
      <c r="D28" s="273">
        <f>+VLOOKUP(A28,cennik!$A:$G,3,FALSE)</f>
        <v>19.6554</v>
      </c>
      <c r="E28" s="273">
        <f>D28*C28</f>
        <v>0</v>
      </c>
      <c r="F28" s="273">
        <f>+E28*(100-$F$2)/100</f>
        <v>0</v>
      </c>
      <c r="G28" s="267" t="str">
        <f>cennik!$B$2</f>
        <v>zł</v>
      </c>
    </row>
    <row r="29" spans="1:7" x14ac:dyDescent="0.25">
      <c r="A29" s="267">
        <v>84198</v>
      </c>
      <c r="B29" s="267" t="str">
        <f>VLOOKUP(A29,cennik!A:C,2,0)</f>
        <v>SEVROLL Smart tor dolny 3m srebrny</v>
      </c>
      <c r="C29" s="278"/>
      <c r="D29" s="273">
        <f>+VLOOKUP(A29,cennik!$A:$G,3,FALSE)</f>
        <v>25.1022</v>
      </c>
      <c r="E29" s="273">
        <f>D29*C29</f>
        <v>0</v>
      </c>
      <c r="F29" s="273">
        <f>+E29*(100-$F$2)/100</f>
        <v>0</v>
      </c>
      <c r="G29" s="267" t="str">
        <f>cennik!$B$2</f>
        <v>zł</v>
      </c>
    </row>
    <row r="30" spans="1:7" x14ac:dyDescent="0.25">
      <c r="C30" s="22"/>
      <c r="D30" s="273"/>
      <c r="E30" s="273"/>
      <c r="F30" s="273"/>
    </row>
    <row r="31" spans="1:7" x14ac:dyDescent="0.25">
      <c r="C31" s="22"/>
      <c r="D31" s="273"/>
      <c r="E31" s="273"/>
      <c r="F31" s="273"/>
    </row>
    <row r="32" spans="1:7" x14ac:dyDescent="0.25">
      <c r="A32" s="270" t="str">
        <f>texty!A238</f>
        <v> Folia do dekorowania profili (naklejana)</v>
      </c>
      <c r="C32" s="22"/>
      <c r="D32" s="273"/>
      <c r="E32" s="273"/>
      <c r="F32" s="273"/>
    </row>
    <row r="33" spans="1:7" x14ac:dyDescent="0.25">
      <c r="A33" s="267">
        <v>135157</v>
      </c>
      <c r="B33" s="267" t="str">
        <f>VLOOKUP(A33,cennik!A:C,2,0)</f>
        <v>SEVROLL Szpros S10 3m oliwka</v>
      </c>
      <c r="C33" s="278"/>
      <c r="D33" s="273">
        <f>+VLOOKUP(A33,cennik!$A:$G,3,FALSE)</f>
        <v>14.675560000000001</v>
      </c>
      <c r="E33" s="273">
        <f>D33*C33</f>
        <v>0</v>
      </c>
      <c r="F33" s="273">
        <f>+E33*(100-$F$2)/100</f>
        <v>0</v>
      </c>
      <c r="G33" s="267" t="str">
        <f>cennik!$B$2</f>
        <v>zł</v>
      </c>
    </row>
    <row r="34" spans="1:7" x14ac:dyDescent="0.25">
      <c r="A34" s="267">
        <v>135156</v>
      </c>
      <c r="B34" s="267" t="str">
        <f>VLOOKUP(A34,cennik!A:C,2,0)</f>
        <v>SEVROLL 02336 Szpros S10 3m oliwka</v>
      </c>
      <c r="C34" s="278"/>
      <c r="D34" s="273">
        <f>+VLOOKUP(A34,cennik!$A:$G,3,FALSE)</f>
        <v>12.0054</v>
      </c>
      <c r="E34" s="273">
        <f>D34*C34</f>
        <v>0</v>
      </c>
      <c r="F34" s="273">
        <f>+E34*(100-$F$2)/100</f>
        <v>0</v>
      </c>
      <c r="G34" s="267" t="str">
        <f>cennik!$B$2</f>
        <v>zł</v>
      </c>
    </row>
    <row r="35" spans="1:7" x14ac:dyDescent="0.25">
      <c r="C35" s="22"/>
      <c r="D35" s="273"/>
      <c r="E35" s="273"/>
      <c r="F35" s="273"/>
    </row>
    <row r="36" spans="1:7" x14ac:dyDescent="0.25">
      <c r="A36" s="267">
        <v>135154</v>
      </c>
      <c r="B36" s="267" t="str">
        <f>VLOOKUP(A36,cennik!A:C,2,0)</f>
        <v>SEVROLL 02292 Szpros S20 3m jasny brąz</v>
      </c>
      <c r="C36" s="278"/>
      <c r="D36" s="273">
        <f>+VLOOKUP(A36,cennik!$A:$G,3,FALSE)</f>
        <v>26.219149999999999</v>
      </c>
      <c r="E36" s="273">
        <f>D36*C36</f>
        <v>0</v>
      </c>
      <c r="F36" s="273">
        <f>+E36*(100-$F$2)/100</f>
        <v>0</v>
      </c>
      <c r="G36" s="267" t="str">
        <f>cennik!$B$2</f>
        <v>zł</v>
      </c>
    </row>
    <row r="37" spans="1:7" x14ac:dyDescent="0.25">
      <c r="A37" s="267">
        <v>134300</v>
      </c>
      <c r="B37" s="267" t="str">
        <f>VLOOKUP(A37,cennik!A:C,2,0)</f>
        <v>SEVROLL Szpros S20 3m srebrny</v>
      </c>
      <c r="C37" s="278"/>
      <c r="D37" s="273">
        <f>+VLOOKUP(A37,cennik!$A:$G,3,FALSE)</f>
        <v>21.725999999999999</v>
      </c>
      <c r="E37" s="273">
        <f>D37*C37</f>
        <v>0</v>
      </c>
      <c r="F37" s="273">
        <f>+E37*(100-$F$2)/100</f>
        <v>0</v>
      </c>
      <c r="G37" s="267" t="str">
        <f>cennik!$B$2</f>
        <v>zł</v>
      </c>
    </row>
    <row r="38" spans="1:7" x14ac:dyDescent="0.25">
      <c r="D38" s="273"/>
      <c r="E38" s="273"/>
      <c r="F38" s="273"/>
    </row>
    <row r="39" spans="1:7" x14ac:dyDescent="0.25">
      <c r="D39" s="273"/>
      <c r="E39" s="273"/>
      <c r="F39" s="273"/>
    </row>
    <row r="40" spans="1:7" x14ac:dyDescent="0.25">
      <c r="D40" s="273"/>
      <c r="E40" s="273"/>
      <c r="F40" s="273"/>
    </row>
    <row r="41" spans="1:7" x14ac:dyDescent="0.25">
      <c r="D41" s="273"/>
      <c r="E41" s="273"/>
      <c r="F41" s="273"/>
    </row>
    <row r="42" spans="1:7" x14ac:dyDescent="0.25">
      <c r="A42" s="270" t="str">
        <f>texty!$A$213</f>
        <v>FOLIE OCHRONNE DO SZYB</v>
      </c>
    </row>
    <row r="43" spans="1:7" x14ac:dyDescent="0.25">
      <c r="A43" s="267">
        <v>203857</v>
      </c>
      <c r="B43" s="267" t="str">
        <f>VLOOKUP(A43,cennik!A:C,2,0)</f>
        <v>ANB-folia ochronna 200mm/250m transparentna</v>
      </c>
      <c r="C43" s="278"/>
      <c r="D43" s="273">
        <f>+VLOOKUP(A43,cennik!$A:$G,3,FALSE)</f>
        <v>325.75200000000001</v>
      </c>
      <c r="E43" s="273">
        <f>D43*C43</f>
        <v>0</v>
      </c>
      <c r="F43" s="273">
        <f>+E43*(100-$F$2)/100</f>
        <v>0</v>
      </c>
      <c r="G43" s="267" t="str">
        <f>cennik!$B$2</f>
        <v>zł</v>
      </c>
    </row>
    <row r="44" spans="1:7" x14ac:dyDescent="0.25">
      <c r="A44" s="267">
        <v>203859</v>
      </c>
      <c r="B44" s="267" t="str">
        <f>VLOOKUP(A44,cennik!A:C,2,0)</f>
        <v>ANB-folia ochronna 250mm/250m transparentna</v>
      </c>
      <c r="C44" s="278"/>
      <c r="D44" s="273">
        <f>+VLOOKUP(A44,cennik!$A:$G,3,FALSE)</f>
        <v>407.19</v>
      </c>
      <c r="E44" s="273">
        <f>D44*C44</f>
        <v>0</v>
      </c>
      <c r="F44" s="273">
        <f>+E44*(100-$F$2)/100</f>
        <v>0</v>
      </c>
      <c r="G44" s="267" t="str">
        <f>cennik!$B$2</f>
        <v>zł</v>
      </c>
    </row>
    <row r="45" spans="1:7" x14ac:dyDescent="0.25">
      <c r="A45" s="267">
        <v>203860</v>
      </c>
      <c r="B45" s="267" t="str">
        <f>VLOOKUP(A45,cennik!A:C,2,0)</f>
        <v>ANB-folia ochronna 300mm/250m transparentna</v>
      </c>
      <c r="C45" s="278"/>
      <c r="D45" s="273">
        <f>+VLOOKUP(A45,cennik!$A:$G,3,FALSE)</f>
        <v>488.62799999999999</v>
      </c>
      <c r="E45" s="273">
        <f>D45*C45</f>
        <v>0</v>
      </c>
      <c r="F45" s="273">
        <f>+E45*(100-$F$2)/100</f>
        <v>0</v>
      </c>
      <c r="G45" s="267" t="str">
        <f>cennik!$B$2</f>
        <v>zł</v>
      </c>
    </row>
    <row r="46" spans="1:7" x14ac:dyDescent="0.25">
      <c r="A46" s="267">
        <v>203861</v>
      </c>
      <c r="B46" s="267" t="str">
        <f>VLOOKUP(A46,cennik!A:C,2,0)</f>
        <v>ANB-folia ochronna 400mm/250m transparentna</v>
      </c>
      <c r="C46" s="278">
        <v>1</v>
      </c>
      <c r="D46" s="273">
        <f>+VLOOKUP(A46,cennik!$A:$G,3,FALSE)</f>
        <v>651.50400000000002</v>
      </c>
      <c r="E46" s="273">
        <f>D46*C46</f>
        <v>651.50400000000002</v>
      </c>
      <c r="F46" s="273">
        <f>+E46*(100-$F$2)/100</f>
        <v>651.50400000000002</v>
      </c>
      <c r="G46" s="267" t="str">
        <f>cennik!$B$2</f>
        <v>zł</v>
      </c>
    </row>
    <row r="47" spans="1:7" x14ac:dyDescent="0.25">
      <c r="A47" s="267">
        <v>203862</v>
      </c>
      <c r="B47" s="267" t="str">
        <f>VLOOKUP(A47,cennik!A:C,2,0)</f>
        <v>ANB-folia ochronna 500mm/250m transparentna</v>
      </c>
      <c r="C47" s="278"/>
      <c r="D47" s="273">
        <f>+VLOOKUP(A47,cennik!$A:$G,3,FALSE)</f>
        <v>814.38</v>
      </c>
      <c r="E47" s="273">
        <f>D47*C47</f>
        <v>0</v>
      </c>
      <c r="F47" s="273">
        <f>+E47*(100-$F$2)/100</f>
        <v>0</v>
      </c>
      <c r="G47" s="267" t="str">
        <f>cennik!$B$2</f>
        <v>zł</v>
      </c>
    </row>
    <row r="48" spans="1:7" x14ac:dyDescent="0.25"/>
    <row r="49" spans="1:6" x14ac:dyDescent="0.25"/>
    <row r="58" spans="1:6" ht="13.8" thickBot="1" x14ac:dyDescent="0.3"/>
    <row r="59" spans="1:6" ht="13.8" thickBot="1" x14ac:dyDescent="0.3">
      <c r="C59" s="276" t="str">
        <f>texty!$A$15</f>
        <v>w sumie (bez VAT)</v>
      </c>
      <c r="D59" s="274"/>
      <c r="E59" s="274"/>
      <c r="F59" s="277" t="e">
        <f>SUM(F4:F47)</f>
        <v>#N/A</v>
      </c>
    </row>
    <row r="60" spans="1:6" x14ac:dyDescent="0.25"/>
    <row r="61" spans="1:6" x14ac:dyDescent="0.25">
      <c r="A61" s="270" t="str">
        <f>texty!A216</f>
        <v>LAKIEROWANIE PROFILI</v>
      </c>
    </row>
    <row r="62" spans="1:6" x14ac:dyDescent="0.25">
      <c r="A62" s="720" t="str">
        <f>texty!A217</f>
        <v>można pomalować na jakikolwiek odcień RAL</v>
      </c>
      <c r="B62" s="720"/>
    </row>
    <row r="63" spans="1:6" x14ac:dyDescent="0.25">
      <c r="A63" s="720" t="str">
        <f>texty!A218</f>
        <v> opcja połysk / matowy (należy wpisać w zamówieniu)</v>
      </c>
      <c r="B63" s="720"/>
    </row>
    <row r="64" spans="1:6" x14ac:dyDescent="0.25">
      <c r="A64" s="720" t="str">
        <f>texty!A219</f>
        <v>ograniczenie do długości maks. 3,85 m</v>
      </c>
      <c r="B64" s="720"/>
    </row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ht="14.4" x14ac:dyDescent="0.3">
      <c r="A76" s="564">
        <v>494207</v>
      </c>
      <c r="B76" s="235" t="str">
        <f>+VLOOKUP(A76,cennik!$A:$G,2,FALSE)</f>
        <v>SEVROLL wzornik rączek 2023</v>
      </c>
      <c r="C76" s="278"/>
      <c r="D76" s="273">
        <f>+VLOOKUP(A76,cennik!$A:$G,3,FALSE)</f>
        <v>107.15752000000001</v>
      </c>
      <c r="E76" s="235"/>
      <c r="F76" s="273">
        <f>+E76*(100-$F$2)/100</f>
        <v>0</v>
      </c>
    </row>
    <row r="77" spans="1:6" ht="15" thickBot="1" x14ac:dyDescent="0.35">
      <c r="A77" s="271"/>
      <c r="B77" s="235"/>
      <c r="C77" s="271"/>
      <c r="D77" s="234"/>
      <c r="E77" s="271"/>
    </row>
    <row r="78" spans="1:6" ht="13.8" thickBot="1" x14ac:dyDescent="0.3">
      <c r="C78" s="276" t="str">
        <f>texty!$A$15</f>
        <v>w sumie (bez VAT)</v>
      </c>
      <c r="D78" s="274"/>
      <c r="E78" s="274"/>
      <c r="F78" s="277" t="e">
        <f>F76+F59</f>
        <v>#N/A</v>
      </c>
    </row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Pwh61GCjYO7X91HHFbP2SOaGswM3mAwq9guBdpPQW7x+3pF/LNiaawPkmckJLq13ltAe8H1ER70qpwzRZ9n8jw==" saltValue="xHQWGM3XwmKw8IW6dRLf9w==" spinCount="100000" sheet="1" objects="1" scenarios="1" selectLockedCell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494207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8867187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2626</v>
      </c>
      <c r="B2" s="317" t="str">
        <f>profil!T7</f>
        <v>Klient, , NIP: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0.5" customHeight="1" thickBot="1" x14ac:dyDescent="0.3">
      <c r="A3" s="582" t="str">
        <f>CONCATENATE(texty!A243," ",7,".",23)</f>
        <v>Katalog Okuć meblowych 2024 str. 7.23</v>
      </c>
      <c r="B3" s="318" t="str">
        <f>CONCATENATE(texty!A34," / max.         2 740 mm /")</f>
        <v>wysokość / max.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I3" s="22"/>
      <c r="L3" s="5"/>
    </row>
    <row r="4" spans="1:22" ht="24" customHeight="1" x14ac:dyDescent="0.25">
      <c r="A4" s="321" t="str">
        <f>texty!A70</f>
        <v>WEWNĘTRZNY ROZMIAR SZAFY: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IFERROR((((C4-3+(20*(D4-1)))/D4+IF(AND(D4=4,D6=2),M1,0))),"")</f>
        <v/>
      </c>
      <c r="D7" s="15"/>
      <c r="E7" s="15"/>
      <c r="F7" s="15"/>
      <c r="G7" s="330" t="str">
        <f>texty!A39</f>
        <v>W przypadku wykorzystania szkła,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texty!A72</f>
        <v>rozmiar wypełnienia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należy wybrać bezpieczną szybę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1.25" customHeight="1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15"/>
      <c r="E15" s="15"/>
      <c r="F15" s="15"/>
      <c r="G15" s="22"/>
      <c r="H15" s="22"/>
      <c r="I15" s="22"/>
      <c r="L15" s="5"/>
      <c r="R15" s="147"/>
    </row>
    <row r="16" spans="1:22" ht="11.25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25.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9.5" customHeight="1" x14ac:dyDescent="0.25">
      <c r="A20" s="320"/>
      <c r="B20" s="596" t="str">
        <f>texty!A242</f>
        <v>dylatacja 4 mm</v>
      </c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9.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partnerska zniżka: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Kody zamówieniowe,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Tor górny:</v>
      </c>
      <c r="B28" s="15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Tor dolny</v>
      </c>
      <c r="B29" s="15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profil maskujący (maskownica):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górne wózki</v>
      </c>
      <c r="B31" s="15">
        <v>89265</v>
      </c>
      <c r="C31" s="23" t="str">
        <f>+VLOOKUP(B31,cennik!A3:G984,2,FALSE)</f>
        <v>SEVROLL wózek górny 10mm asymetryczny L+P</v>
      </c>
      <c r="D31" s="15">
        <f>IF((D50+D51)&gt;D4,0,D4-(D50+D51))</f>
        <v>0</v>
      </c>
      <c r="E31" s="86">
        <f>+VLOOKUP(B31,cennik!A:G,3,FALSE)</f>
        <v>27.305399999999999</v>
      </c>
      <c r="F31" s="86">
        <f t="shared" si="0"/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dolne wózki</v>
      </c>
      <c r="B32" s="15">
        <f>IF(F4=M68,328321,229441)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szczotka odbojowa</v>
      </c>
      <c r="B33" s="15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zł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rączka</v>
      </c>
      <c r="B34" s="15" t="e">
        <f>+VLOOKUP(P7,data!C727:D730,2,0)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śruba łącząca</v>
      </c>
      <c r="B35" s="1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listwa pozioma górna</v>
      </c>
      <c r="B36" s="15" t="e">
        <f>+VLOOKUP(M29,data!C335:D378,2,0)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320" t="str">
        <f>+System10!A36</f>
        <v>listwa pozioma górna</v>
      </c>
      <c r="B37" s="22" t="e">
        <f>IF(M30&lt;&gt;"jiné",+VLOOKUP(M30,data!C335:D366,2,0),"")</f>
        <v>#VALUE!</v>
      </c>
      <c r="C37" s="468" t="e">
        <f>IF(M30&lt;&gt;"jiné",+VLOOKUP(B37,cennik!A3:G984,2,FALSE),texty!A2)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320" t="str">
        <f>+System10!A38</f>
        <v>poziomy dolny profil ramy</v>
      </c>
      <c r="B38" s="15" t="e">
        <f>+VLOOKUP(M29,data!C406:D449,2,0)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320" t="str">
        <f>+System10!A39</f>
        <v>poziomy dolny profil ramy</v>
      </c>
      <c r="B39" s="22" t="e">
        <f>IF(M30&lt;&gt;"jiné",+VLOOKUP(M30,data!C406:D437,2,0),"")</f>
        <v>#VALUE!</v>
      </c>
      <c r="C39" s="23" t="e">
        <f>IF(M30&lt;&gt;"jiné",+VLOOKUP(B39,cennik!A3:G984,2,FALSE),texty!A2)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325" t="str">
        <f>texty!A66</f>
        <v>Akcesoria:</v>
      </c>
      <c r="B41" s="15"/>
      <c r="C41" s="19"/>
      <c r="D41" s="343" t="str">
        <f>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320" t="str">
        <f>texty!A88</f>
        <v>pozycjoner wózka górnego</v>
      </c>
      <c r="B42" s="15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Wkręt do dolnego toru</v>
      </c>
      <c r="B49" s="15">
        <v>98019</v>
      </c>
      <c r="C49" s="23" t="str">
        <f>+VLOOKUP(B49,cennik!A:G,2,FALSE)</f>
        <v>SEVROLL wkręt 2,5x18mm</v>
      </c>
      <c r="D49" s="278"/>
      <c r="E49" s="86">
        <f>+VLOOKUP(B49,cennik!A:G,3,FALSE)</f>
        <v>0.10996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tłumienie (para)25 kg</v>
      </c>
      <c r="B50" s="22">
        <v>227185</v>
      </c>
      <c r="C50" s="23" t="str">
        <f>+VLOOKUP(B50,cennik!A:G,2,FALSE)</f>
        <v>K-SEVROLL tłumienie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tłumienie (para) 50 kg</v>
      </c>
      <c r="B51" s="22">
        <v>227187</v>
      </c>
      <c r="C51" s="23" t="str">
        <f>+VLOOKUP(B51,cennik!A:G,2,FALSE)</f>
        <v>K-SEVROLL tłumienie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zł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profil łączący H10-3metry</v>
      </c>
      <c r="B52" s="15" t="e">
        <f>+VLOOKUP(P7,data!C496:D508,2,0)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profil łączący H30-3metry</v>
      </c>
      <c r="B53" s="15" t="e">
        <f>+VLOOKUP(P7,data!C508:D516,2,0)</f>
        <v>#N/A</v>
      </c>
      <c r="C53" s="23" t="e">
        <f>IF(B53=data!D64,texty!A239,+VLOOKUP(B53,cennik!A:G,2,FALSE))</f>
        <v>#N/A</v>
      </c>
      <c r="D53" s="278"/>
      <c r="E53" s="367" t="e">
        <f>IF(B53=data!D73,0,+VLOOKUP(B53,cennik!A:G,3,FALSE))</f>
        <v>#N/A</v>
      </c>
      <c r="F53" s="367" t="e">
        <f>+E53*D53</f>
        <v>#N/A</v>
      </c>
      <c r="G53" s="368" t="e">
        <f>+F53*(100-G26)/100</f>
        <v>#N/A</v>
      </c>
      <c r="H53" s="22" t="str">
        <f>cennik!B2</f>
        <v>zł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śruba łącząca</v>
      </c>
      <c r="B54" s="15">
        <v>89244</v>
      </c>
      <c r="C54" s="23" t="str">
        <f>+VLOOKUP(B54,cennik!A:G,2,FALSE)</f>
        <v>SEVROLL blachowkręt 6,3x32 SEVROLL i Simple</v>
      </c>
      <c r="D54" s="354"/>
      <c r="E54" s="86">
        <f>+VLOOKUP(B54,cennik!A:G,3,FALSE)</f>
        <v>0.52500000000000002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szczotka przeciwkurzowa</v>
      </c>
      <c r="B55" s="15">
        <v>95946</v>
      </c>
      <c r="C55" s="23" t="str">
        <f>+VLOOKUP(B55,cennik!A:G,2,FALSE)</f>
        <v>SEVROLL szczotka przeciwkurzowa bez kleju 4,8x13 mm, szara</v>
      </c>
      <c r="D55" s="354"/>
      <c r="E55" s="86">
        <f>+VLOOKUP(B55,cennik!A:G,3,FALSE)</f>
        <v>0.80579999999999996</v>
      </c>
      <c r="F55" s="86">
        <f>+E55*D55</f>
        <v>0</v>
      </c>
      <c r="G55" s="87">
        <f>+F55*(100-G26)/100</f>
        <v>0</v>
      </c>
      <c r="H55" s="22" t="str">
        <f>cennik!B2</f>
        <v>zł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zamek do drzwi przesuwnych</v>
      </c>
      <c r="B56" s="15">
        <v>216363</v>
      </c>
      <c r="C56" s="23" t="str">
        <f>+VLOOKUP(B56,cennik!A:G,2,FALSE)</f>
        <v>SEVROLL zamek do drzwi przesuwnych 10/18mm</v>
      </c>
      <c r="D56" s="354"/>
      <c r="E56" s="86">
        <f>+VLOOKUP(B56,cennik!A:G,3,FALSE)</f>
        <v>66.840599999999995</v>
      </c>
      <c r="F56" s="86">
        <f>+E56*D56</f>
        <v>0</v>
      </c>
      <c r="G56" s="87">
        <f>+F56*(100-G26)/100</f>
        <v>0</v>
      </c>
      <c r="H56" s="22" t="str">
        <f>cennik!B2</f>
        <v>zł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Długość uszczelki w przypadku całkowitego zaszklenia (należy zamówić całe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(w przypadku kombinacji z profilami H należy dodać odpowiednią długość - uszczelka musi być na całym obwodzie każdego szkła)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uszczelka na szkło 4mm</v>
      </c>
      <c r="B61" s="15">
        <v>89238</v>
      </c>
      <c r="C61" s="23" t="str">
        <f>+VLOOKUP(B61,cennik!A:G,2,FALSE)</f>
        <v>SEVROLL uszczelka do szkła 10/4 mm</v>
      </c>
      <c r="D61" s="355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22" t="str">
        <f>cennik!B2</f>
        <v>zł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uszczelka na szkło 4,5mm</v>
      </c>
      <c r="B62" s="15">
        <v>135164</v>
      </c>
      <c r="C62" s="23" t="str">
        <f>+VLOOKUP(B62,cennik!A:G,2,FALSE)</f>
        <v>SEVROLL uszczelka bezbarwna 10/4,5mm</v>
      </c>
      <c r="D62" s="355"/>
      <c r="E62" s="86">
        <f>+VLOOKUP(B62,cennik!A:G,3,FALSE)</f>
        <v>2.7501000000000002</v>
      </c>
      <c r="F62" s="91">
        <f>+CEILING(D62,1)*E62</f>
        <v>0</v>
      </c>
      <c r="G62" s="87">
        <f>+F62*(100-G26)/100</f>
        <v>0</v>
      </c>
      <c r="H62" s="22" t="str">
        <f>cennik!B2</f>
        <v>zł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uszczelka na szkło 6mm</v>
      </c>
      <c r="B63" s="15">
        <v>89243</v>
      </c>
      <c r="C63" s="23" t="str">
        <f>+VLOOKUP(B63,cennik!A:G,2,FALSE)</f>
        <v>SEVROLL uszczelka bezbarwna 10/6mm</v>
      </c>
      <c r="D63" s="355"/>
      <c r="E63" s="86">
        <f>+VLOOKUP(B63,cennik!A:G,3,FALSE)</f>
        <v>2.7501000000000002</v>
      </c>
      <c r="F63" s="91">
        <f>+CEILING(D63,1)*E63</f>
        <v>0</v>
      </c>
      <c r="G63" s="87">
        <f>+F63*(100-G26)/100</f>
        <v>0</v>
      </c>
      <c r="H63" s="22" t="str">
        <f>cennik!B2</f>
        <v>zł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 xml:space="preserve">tutaj można znaleźć inne akcesoria 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rysunek techniczny tego systemu</v>
      </c>
      <c r="B65" s="470">
        <v>129677</v>
      </c>
      <c r="C65" s="348" t="str">
        <f>VLOOKUP(B65,cennik!A:C,2,0)</f>
        <v>SEVROLL element montażowy do płyty laminowanej 10mm mały</v>
      </c>
      <c r="D65" s="355"/>
      <c r="E65" s="86">
        <f>+VLOOKUP(B65,cennik!A:G,3,FALSE)</f>
        <v>51.590769999999999</v>
      </c>
      <c r="F65" s="91">
        <f>+CEILING(D65,1)*E65</f>
        <v>0</v>
      </c>
      <c r="G65" s="87">
        <f>+F65</f>
        <v>0</v>
      </c>
      <c r="H65" s="22" t="str">
        <f>cennik!B2</f>
        <v>zł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0">
        <v>128842</v>
      </c>
      <c r="C66" s="348" t="str">
        <f>VLOOKUP(B66,cennik!A:C,2,0)</f>
        <v>SEVROLL wiertło stopniowe 6,5/9,5mm</v>
      </c>
      <c r="D66" s="355"/>
      <c r="E66" s="86">
        <f>+VLOOKUP(B66,cennik!A:G,3,FALSE)</f>
        <v>116.85122</v>
      </c>
      <c r="F66" s="91">
        <f>+CEILING(D66,1)*E66</f>
        <v>0</v>
      </c>
      <c r="G66" s="87">
        <f>+F66</f>
        <v>0</v>
      </c>
      <c r="H66" s="22" t="str">
        <f>cennik!B2</f>
        <v>zł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w sumie (bez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zł</v>
      </c>
      <c r="I68" s="22"/>
      <c r="J68" s="166"/>
      <c r="K68" s="166">
        <v>68</v>
      </c>
      <c r="L68" s="4" t="str">
        <f>data!J4</f>
        <v>srebrny</v>
      </c>
      <c r="M68" s="19" t="s">
        <v>968</v>
      </c>
    </row>
    <row r="69" spans="1:14" ht="12.75" customHeight="1" x14ac:dyDescent="0.25">
      <c r="A69" s="337" t="str">
        <f>System10!A67</f>
        <v>Uwagi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j.brąz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data!J15</f>
        <v> biały połysk</v>
      </c>
      <c r="M70" s="19"/>
    </row>
    <row r="71" spans="1:14" ht="12.75" customHeight="1" x14ac:dyDescent="0.25">
      <c r="A71" s="680" t="str">
        <f>IF(N71=1,texty!A215,IF(K71&gt;0,texty!A214,""))</f>
        <v>niektóre elementy nie są produkowane w wybranej długości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L71" s="4" t="str">
        <f>data!J17</f>
        <v> czarny mat</v>
      </c>
      <c r="N71" s="4">
        <f>IF(ISERROR(K71),1,0)</f>
        <v>1</v>
      </c>
    </row>
    <row r="73" spans="1:14" ht="12.75" hidden="1" customHeight="1" x14ac:dyDescent="0.25">
      <c r="L73" s="4" t="str">
        <f>data!J9</f>
        <v>szczot.czarna</v>
      </c>
    </row>
    <row r="74" spans="1:14" ht="12.75" hidden="1" customHeight="1" x14ac:dyDescent="0.25">
      <c r="L74" s="4" t="str">
        <f>data!J15</f>
        <v> biały połysk</v>
      </c>
    </row>
    <row r="75" spans="1:14" ht="12.75" hidden="1" customHeight="1" x14ac:dyDescent="0.25">
      <c r="L75" s="4" t="str">
        <f>data!J16</f>
        <v>czarny połysk</v>
      </c>
    </row>
    <row r="76" spans="1:14" ht="12.75" hidden="1" customHeight="1" x14ac:dyDescent="0.25">
      <c r="L76" s="4" t="str">
        <f>data!J17</f>
        <v> czarny mat</v>
      </c>
    </row>
  </sheetData>
  <sheetProtection algorithmName="SHA-512" hashValue="riXXKo+TpoI5Jp7vAxInVAsQEE/jamBXlSsf7C5e3JZEfasa4fCIh5dLVWc3QJtHLduMYkzZaLye480dFp3X8Q==" saltValue="HWwZ4KvhO4DkyfyfsqukzA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19:I20"/>
    <mergeCell ref="I21:I22"/>
    <mergeCell ref="A67:I67"/>
    <mergeCell ref="B69:G69"/>
    <mergeCell ref="A70:H70"/>
  </mergeCells>
  <conditionalFormatting sqref="A14">
    <cfRule type="expression" dxfId="349" priority="3">
      <formula>SUM($D$47:$D$48)&gt;0</formula>
    </cfRule>
  </conditionalFormatting>
  <conditionalFormatting sqref="D6">
    <cfRule type="expression" dxfId="347" priority="7">
      <formula>$D$4=4</formula>
    </cfRule>
    <cfRule type="expression" dxfId="346" priority="8">
      <formula>$D$4&lt;&gt;4</formula>
    </cfRule>
  </conditionalFormatting>
  <conditionalFormatting sqref="D54">
    <cfRule type="expression" dxfId="345" priority="9" stopIfTrue="1">
      <formula>IF($D$53&gt;0,IF($D$54=0,1,0),0)</formula>
    </cfRule>
  </conditionalFormatting>
  <conditionalFormatting sqref="G4">
    <cfRule type="expression" dxfId="344" priority="6">
      <formula>$D$4=4</formula>
    </cfRule>
  </conditionalFormatting>
  <conditionalFormatting sqref="I19:I20">
    <cfRule type="expression" dxfId="343" priority="4">
      <formula>$F$4=$M$69</formula>
    </cfRule>
  </conditionalFormatting>
  <conditionalFormatting sqref="I21:I22">
    <cfRule type="expression" dxfId="342" priority="5">
      <formula>$F$4=$M$68</formula>
    </cfRule>
  </conditionalFormatting>
  <dataValidations count="7">
    <dataValidation type="list" allowBlank="1" showInputMessage="1" showErrorMessage="1" sqref="F4" xr:uid="{F9B4D27F-7AB3-40D1-AC19-D30F3A35EC10}">
      <formula1>IF(OR(E4=L68,E4=L69),M68:M69,M68)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F6" xr:uid="{E32435ED-AC49-4DD2-A80D-811EBC674518}">
      <formula1>"stříbrná,zlatá,oliva"</formula1>
      <formula2>0</formula2>
    </dataValidation>
    <dataValidation type="decimal" allowBlank="1" showInputMessage="1" showErrorMessage="1" errorTitle="Nelze" error="Max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$L$68:$L$71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5.66406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2624</v>
      </c>
      <c r="B2" s="317" t="str">
        <f>profil!T7</f>
        <v>Klient, , NIP:</v>
      </c>
      <c r="C2" s="15"/>
      <c r="D2" s="15"/>
      <c r="E2" s="15"/>
      <c r="F2" s="15"/>
      <c r="G2" s="22"/>
      <c r="H2" s="22"/>
      <c r="L2" s="22">
        <v>3</v>
      </c>
    </row>
    <row r="3" spans="1:22" ht="40.5" customHeight="1" thickBot="1" x14ac:dyDescent="0.3">
      <c r="A3" s="582" t="str">
        <f>CONCATENATE(texty!A243," ",7,".",24)</f>
        <v>Katalog Okuć meblowych 2024 str. 7.24</v>
      </c>
      <c r="B3" s="318" t="str">
        <f>CONCATENATE(texty!A34," / max.          2 740 mm /")</f>
        <v>wysokość / max. 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L3" s="22"/>
    </row>
    <row r="4" spans="1:22" ht="18" customHeight="1" x14ac:dyDescent="0.25">
      <c r="A4" s="321" t="str">
        <f>texty!A70</f>
        <v>WEWNĘTRZNY ROZMIAR SZAFY: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IFERROR(((C4-3+(30*(D4-1)))/D4+IF(AND(D4=4,D6=2),M1,0)),"")</f>
        <v/>
      </c>
      <c r="D7" s="15"/>
      <c r="E7" s="15"/>
      <c r="F7" s="15"/>
      <c r="G7" s="330" t="str">
        <f>texty!A39</f>
        <v>W przypadku wykorzystania szkła,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rozmiar wypełnienia 10 mm:</v>
      </c>
      <c r="B8" s="53" t="str">
        <f>IFERROR((B7-64),"")</f>
        <v/>
      </c>
      <c r="C8" s="55" t="str">
        <f>IFERROR((C7-41),"")</f>
        <v/>
      </c>
      <c r="D8" s="15"/>
      <c r="E8" s="15"/>
      <c r="F8" s="15"/>
      <c r="G8" s="330" t="str">
        <f>texty!A40</f>
        <v>należy wybrać bezpieczną szybę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IFERROR((C7-58),"")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54"/>
      <c r="C13" s="133" t="str">
        <f>IFERROR((ROUND(B8*2+C9*2,0)),"")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6.5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15"/>
      <c r="E15" s="15"/>
      <c r="F15" s="15"/>
      <c r="G15" s="22"/>
      <c r="H15" s="22"/>
      <c r="L15" s="22"/>
      <c r="R15" s="357"/>
    </row>
    <row r="16" spans="1:22" ht="12.75" customHeight="1" x14ac:dyDescent="0.25"/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 t="str">
        <f>texty!A242</f>
        <v>dylatacja 4 mm</v>
      </c>
      <c r="C19" s="113"/>
      <c r="D19" s="15"/>
      <c r="E19" s="15"/>
      <c r="F19" s="15"/>
      <c r="G19" s="22"/>
      <c r="H19" s="22"/>
      <c r="I19" s="686" t="s">
        <v>974</v>
      </c>
      <c r="L19" s="22"/>
    </row>
    <row r="20" spans="1:22" ht="16.5" customHeight="1" x14ac:dyDescent="0.25">
      <c r="A20" s="320"/>
      <c r="B20" s="15"/>
      <c r="C20" s="15"/>
      <c r="E20" s="15"/>
      <c r="F20" s="15"/>
      <c r="G20" s="22"/>
      <c r="H20" s="22"/>
      <c r="I20" s="68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partnerska zniżka: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Kody zamówieniowe,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kod</v>
      </c>
      <c r="C27" s="18" t="str">
        <f>+System10!C27</f>
        <v>nazwa</v>
      </c>
      <c r="D27" s="17" t="str">
        <f>+System10!D27</f>
        <v>szt.</v>
      </c>
      <c r="E27" s="17" t="str">
        <f>+System10!E27</f>
        <v>cena/szt.</v>
      </c>
      <c r="F27" s="17" t="str">
        <f>+System10!F27</f>
        <v>cena w sumie</v>
      </c>
      <c r="G27" s="18" t="str">
        <f>+System10!G27</f>
        <v>w sumie netto:</v>
      </c>
      <c r="H27" s="22"/>
      <c r="I27" s="18" t="str">
        <f>texty!A29</f>
        <v>Uwagi: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Tor górny: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Tor dolny</v>
      </c>
      <c r="B29" s="15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profil maskujący (maskownica):</v>
      </c>
      <c r="B30" s="15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górne wózki</v>
      </c>
      <c r="B31" s="15">
        <v>228009</v>
      </c>
      <c r="C31" s="23" t="str">
        <f>+VLOOKUP(B31,cennik!A:G,2,FALSE)</f>
        <v>SEVROLL wózek górny Gemini symetryczny 10mm - 2szt</v>
      </c>
      <c r="D31" s="15">
        <f>IF((D49+D50)&gt;D4,0,D4-(D49+D50))</f>
        <v>0</v>
      </c>
      <c r="E31" s="86">
        <f>+VLOOKUP(B31,cennik!A:G,3,FALSE)</f>
        <v>23.174399999999999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dolne wózki</v>
      </c>
      <c r="B32" s="15">
        <f>IF(F4=M70,328321,229441)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22" t="str">
        <f>cennik!B2</f>
        <v>zł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rączka</v>
      </c>
      <c r="B34" s="447" t="e">
        <f>+VLOOKUP(P7,data!C528:D529,2,0)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śruba łącząca</v>
      </c>
      <c r="B35" s="22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listwa pozioma górna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listwa pozioma górna</v>
      </c>
      <c r="B37" s="15" t="e">
        <f>IF(M30="jiné","",+VLOOKUP(M30,data!C334:D351,2,0))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IF(M30&lt;&gt;"jiné",+VLOOKUP(B37,cennik!A3:G701,3,FALSE),0)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poziomy dolny profil ramy</v>
      </c>
      <c r="B38" s="22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poziomy dolny profil ramy</v>
      </c>
      <c r="B39" s="15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IF(M30&lt;&gt;"jiné",+VLOOKUP(B39,cennik!A3:G701,3,FALSE),0)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Akcesoria:</v>
      </c>
      <c r="B41" s="15"/>
      <c r="D41" s="343" t="str">
        <f>+System10!D41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pozycjoner wózka górnego</v>
      </c>
      <c r="B42" s="15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tłumienie (para)25 kg</v>
      </c>
      <c r="B49" s="22">
        <v>227185</v>
      </c>
      <c r="C49" s="23" t="str">
        <f>+VLOOKUP(B49,cennik!A:G,2,FALSE)</f>
        <v>K-SEVROLL tłumienie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tłumienie (para) 50 kg</v>
      </c>
      <c r="B50" s="22">
        <v>227187</v>
      </c>
      <c r="C50" s="23" t="str">
        <f>+VLOOKUP(B50,cennik!A:G,2,FALSE)</f>
        <v>K-SEVROLL tłumienie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profil łączący H10-3metry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zł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profil łączący H30-3metry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śruba łącząca</v>
      </c>
      <c r="B53" s="15">
        <v>89244</v>
      </c>
      <c r="C53" s="23" t="str">
        <f>+VLOOKUP(B53,cennik!A:G,2,FALSE)</f>
        <v>SEVROLL blachowkręt 6,3x32 SEVROLL i Simple</v>
      </c>
      <c r="D53" s="354"/>
      <c r="E53" s="86">
        <f>+VLOOKUP(B53,cennik!A:G,3,FALSE)</f>
        <v>0.52500000000000002</v>
      </c>
      <c r="F53" s="86">
        <f>+E53*D53</f>
        <v>0</v>
      </c>
      <c r="G53" s="87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zamek do drzwi przesuwnych</v>
      </c>
      <c r="B54" s="15">
        <v>216363</v>
      </c>
      <c r="C54" s="23" t="str">
        <f>+VLOOKUP(B54,cennik!A:G,2,FALSE)</f>
        <v>SEVROLL zamek do drzwi przesuwnych 10/18mm</v>
      </c>
      <c r="D54" s="354"/>
      <c r="E54" s="86">
        <f>+VLOOKUP(B54,cennik!A:G,3,FALSE)</f>
        <v>66.840599999999995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Długość uszczelki w przypadku całkowitego zaszklenia (należy zamówić całe metry)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(w przypadku kombinacji z profilami H należy dodać odpowiednią długość - uszczelka musi być na całym obwodzie każdego szkła)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uszczelka na szkło 4mm</v>
      </c>
      <c r="B59" s="15">
        <v>89238</v>
      </c>
      <c r="C59" s="23" t="str">
        <f>+VLOOKUP(B59,cennik!A:G,2,FALSE)</f>
        <v>SEVROLL uszczelka do szkła 10/4 mm</v>
      </c>
      <c r="D59" s="355"/>
      <c r="E59" s="86">
        <f>+VLOOKUP(B59,cennik!A:G,3,FALSE)</f>
        <v>2.7501000000000002</v>
      </c>
      <c r="F59" s="91">
        <f>+CEILING(D59,1)*E59</f>
        <v>0</v>
      </c>
      <c r="G59" s="87">
        <f>+F59*(100-G26)/100</f>
        <v>0</v>
      </c>
      <c r="H59" s="22" t="str">
        <f>cennik!B2</f>
        <v>zł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uszczelka na szkło 4,5mm</v>
      </c>
      <c r="B60" s="15">
        <v>135164</v>
      </c>
      <c r="C60" s="23" t="str">
        <f>+VLOOKUP(B60,cennik!A:G,2,FALSE)</f>
        <v>SEVROLL uszczelka bezbarwna 10/4,5mm</v>
      </c>
      <c r="D60" s="355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22" t="str">
        <f>cennik!B2</f>
        <v>zł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uszczelka na szkło 6mm</v>
      </c>
      <c r="B61" s="15">
        <v>89243</v>
      </c>
      <c r="C61" s="23" t="str">
        <f>+VLOOKUP(B61,cennik!A:G,2,FALSE)</f>
        <v>SEVROLL uszczelka bezbarwna 10/6mm</v>
      </c>
      <c r="D61" s="355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22" t="str">
        <f>cennik!B2</f>
        <v>zł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 xml:space="preserve">tutaj można znaleźć inne akcesoria </v>
      </c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rysunek techniczny tego systemu</v>
      </c>
      <c r="B63" s="15">
        <v>129677</v>
      </c>
      <c r="C63" s="348" t="str">
        <f>VLOOKUP(B63,cennik!A:C,2,0)</f>
        <v>SEVROLL element montażowy do płyty laminowanej 10mm mały</v>
      </c>
      <c r="D63" s="355"/>
      <c r="E63" s="86">
        <f>+VLOOKUP(B63,cennik!A:G,3,FALSE)</f>
        <v>51.590769999999999</v>
      </c>
      <c r="F63" s="91">
        <f>+CEILING(D63,1)*E63</f>
        <v>0</v>
      </c>
      <c r="G63" s="87">
        <f>+F63</f>
        <v>0</v>
      </c>
      <c r="H63" s="22" t="str">
        <f>cennik!B2</f>
        <v>zł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348" t="str">
        <f>VLOOKUP(B64,cennik!A:C,2,0)</f>
        <v>SEVROLL wiertło stopniowe 6,5/9,5mm</v>
      </c>
      <c r="D64" s="355"/>
      <c r="E64" s="86">
        <f>+VLOOKUP(B64,cennik!A:G,3,FALSE)</f>
        <v>116.85122</v>
      </c>
      <c r="F64" s="91">
        <f>+CEILING(D64,1)*E64</f>
        <v>0</v>
      </c>
      <c r="G64" s="87">
        <f>+F64</f>
        <v>0</v>
      </c>
      <c r="H64" s="22" t="str">
        <f>cennik!B2</f>
        <v>zł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w sumie (bez VAT)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zł</v>
      </c>
      <c r="I66" s="19"/>
      <c r="L66" s="22"/>
    </row>
    <row r="67" spans="1:14" ht="12.75" customHeight="1" x14ac:dyDescent="0.25">
      <c r="A67" s="337" t="str">
        <f>System10!A67</f>
        <v>Uwagi</v>
      </c>
      <c r="B67" s="690"/>
      <c r="C67" s="691"/>
      <c r="D67" s="691"/>
      <c r="E67" s="691"/>
      <c r="F67" s="691"/>
      <c r="G67" s="692"/>
      <c r="H67" s="21"/>
      <c r="L67" s="22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  <c r="L68" s="22"/>
    </row>
    <row r="69" spans="1:14" ht="12.75" customHeight="1" x14ac:dyDescent="0.25">
      <c r="A69" s="680" t="str">
        <f>IF(N73=1,texty!A215,IF(K73&gt;0,texty!A214,""))</f>
        <v>niektóre elementy nie są produkowane w wybranej długości</v>
      </c>
      <c r="B69" s="680"/>
      <c r="C69" s="680"/>
      <c r="D69" s="680"/>
      <c r="E69" s="680"/>
      <c r="F69" s="680"/>
      <c r="G69" s="680"/>
      <c r="H69" s="680"/>
      <c r="K69" s="363"/>
    </row>
    <row r="70" spans="1:14" ht="12.75" hidden="1" customHeight="1" x14ac:dyDescent="0.25">
      <c r="I70" s="19"/>
      <c r="J70" s="19"/>
      <c r="L70" s="19" t="str">
        <f>texty!A128</f>
        <v>srebrny</v>
      </c>
      <c r="M70" s="19" t="s">
        <v>968</v>
      </c>
    </row>
    <row r="71" spans="1:14" ht="12.75" hidden="1" customHeight="1" x14ac:dyDescent="0.25">
      <c r="I71" s="19"/>
      <c r="J71" s="19"/>
      <c r="L71" s="19" t="str">
        <f>texty!A130</f>
        <v>j.brąz</v>
      </c>
      <c r="M71" s="19" t="s">
        <v>42</v>
      </c>
    </row>
    <row r="72" spans="1:14" ht="12.75" hidden="1" customHeight="1" x14ac:dyDescent="0.25">
      <c r="I72" s="19"/>
      <c r="J72" s="19"/>
    </row>
    <row r="73" spans="1:14" ht="12.75" hidden="1" customHeight="1" x14ac:dyDescent="0.25">
      <c r="I73" s="19"/>
      <c r="J73" s="19"/>
      <c r="K73" s="22" t="e">
        <f>SUM(K27:K64)</f>
        <v>#N/A</v>
      </c>
      <c r="N73" s="19">
        <f>IF(ISERROR(K73),1,0)</f>
        <v>1</v>
      </c>
    </row>
  </sheetData>
  <sheetProtection algorithmName="SHA-512" hashValue="MBq3EgCS10vlGR6glGBamtCdPqsDpGV5AH0AkryHncQY/I+ti+K636+iXRvusnt4PbGQzsu3YJZ7WjbBFPV+nA==" saltValue="YnrAWIT3a8bkjqbkISn6w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A14">
    <cfRule type="expression" dxfId="341" priority="4">
      <formula>SUM($D$47:$D$48)&gt;0</formula>
    </cfRule>
  </conditionalFormatting>
  <conditionalFormatting sqref="D6">
    <cfRule type="expression" dxfId="339" priority="7">
      <formula>$D$4=4</formula>
    </cfRule>
    <cfRule type="expression" dxfId="338" priority="8">
      <formula>$D$4&lt;&gt;4</formula>
    </cfRule>
  </conditionalFormatting>
  <conditionalFormatting sqref="D53">
    <cfRule type="expression" dxfId="337" priority="1">
      <formula>IF(D52&gt;0,IF(D53=0,1,0),0)</formula>
    </cfRule>
  </conditionalFormatting>
  <conditionalFormatting sqref="G4">
    <cfRule type="expression" dxfId="336" priority="6">
      <formula>$D$4=4</formula>
    </cfRule>
  </conditionalFormatting>
  <conditionalFormatting sqref="I19:I20">
    <cfRule type="expression" dxfId="335" priority="5">
      <formula>$F$4=$M$71</formula>
    </cfRule>
  </conditionalFormatting>
  <conditionalFormatting sqref="I21:I22">
    <cfRule type="expression" dxfId="334" priority="9">
      <formula>$F$4=$M$70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6.332031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22.4414062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42</v>
      </c>
      <c r="B2" s="317" t="str">
        <f>profil!T7</f>
        <v>Klient, , NIP:</v>
      </c>
      <c r="C2" s="15"/>
      <c r="D2" s="15"/>
      <c r="E2" s="15"/>
      <c r="F2" s="15"/>
      <c r="G2" s="22"/>
      <c r="H2" s="22"/>
      <c r="L2" s="22">
        <v>3</v>
      </c>
    </row>
    <row r="3" spans="1:22" ht="37.5" customHeight="1" thickBot="1" x14ac:dyDescent="0.3">
      <c r="A3" s="582" t="str">
        <f>CONCATENATE(texty!A243," ",7,".",23)</f>
        <v>Katalog Okuć meblowych 2024 str. 7.23</v>
      </c>
      <c r="B3" s="318" t="str">
        <f>CONCATENATE(texty!A34," / max.          2 740 mm /")</f>
        <v>wysokość / max.          2 740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L3" s="22"/>
    </row>
    <row r="4" spans="1:22" ht="18" customHeight="1" x14ac:dyDescent="0.25">
      <c r="A4" s="321" t="str">
        <f>texty!A70</f>
        <v>WEWNĘTRZNY ROZMIAR SZAFY: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IFERROR((((C4-3+(32*(D4-1)))/D4+IF(AND(D4=4,D6=2),M1,0))),"")</f>
        <v/>
      </c>
      <c r="D7" s="15"/>
      <c r="E7" s="15"/>
      <c r="F7" s="15"/>
      <c r="G7" s="330" t="str">
        <f>texty!A39</f>
        <v>W przypadku wykorzystania szkła,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rozmiar wypełnienia 10 mm:</v>
      </c>
      <c r="B8" s="53" t="str">
        <f>IFERROR((B7-64),"")</f>
        <v/>
      </c>
      <c r="C8" s="55" t="str">
        <f>IFERROR((C7-46),"")</f>
        <v/>
      </c>
      <c r="D8" s="15"/>
      <c r="E8" s="15"/>
      <c r="F8" s="15"/>
      <c r="G8" s="330" t="str">
        <f>texty!A40</f>
        <v>należy wybrać bezpieczną szybę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IFERROR((C7-62),"")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5.75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22"/>
    </row>
    <row r="20" spans="1:22" ht="16.5" customHeight="1" x14ac:dyDescent="0.25">
      <c r="A20" s="320"/>
      <c r="B20" s="596" t="str">
        <f>texty!A242</f>
        <v>dylatacja 4 mm</v>
      </c>
      <c r="C20" s="15"/>
      <c r="E20" s="15"/>
      <c r="F20" s="15"/>
      <c r="G20" s="22"/>
      <c r="H20" s="22"/>
      <c r="I20" s="68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partnerska zniżka: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Kody zamówieniowe,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+System10!B27</f>
        <v>kod</v>
      </c>
      <c r="C27" s="18" t="str">
        <f>+System10!C27</f>
        <v>nazwa</v>
      </c>
      <c r="D27" s="17" t="str">
        <f>+System10!D27</f>
        <v>szt.</v>
      </c>
      <c r="E27" s="17" t="str">
        <f>+System10!E27</f>
        <v>cena/szt.</v>
      </c>
      <c r="F27" s="17" t="str">
        <f>+System10!F27</f>
        <v>cena w sumie</v>
      </c>
      <c r="G27" s="18" t="str">
        <f>+System10!G27</f>
        <v>w sumie netto:</v>
      </c>
      <c r="H27" s="22"/>
      <c r="I27" s="18" t="str">
        <f>texty!A29</f>
        <v>Uwagi: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Tor górny:</v>
      </c>
      <c r="B28" s="15" t="e">
        <f>+VLOOKUP(K5,data!C211:D235,2,0)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Tor dolny</v>
      </c>
      <c r="B29" s="15" t="str">
        <f>IFERROR((VLOOKUP(M5,data!C4:D88,2,0)),"N/A")</f>
        <v>N/A</v>
      </c>
      <c r="C29" s="23" t="str">
        <f>IF(B29=data!D64,texty!A239,+VLOOKUP(B29,cennik!A3:G9999,2,FALSE))</f>
        <v> w tym kolorze i długości dany profil nie jest produkowany</v>
      </c>
      <c r="D29" s="15">
        <v>1</v>
      </c>
      <c r="E29" s="86">
        <f>IF(B29=data!D73,0,+VLOOKUP(B29,cennik!A3:G9999,3,FALSE))</f>
        <v>0</v>
      </c>
      <c r="F29" s="86">
        <f>+E29*D29</f>
        <v>0</v>
      </c>
      <c r="G29" s="87">
        <f>+F29*(100-G26)/100</f>
        <v>0</v>
      </c>
      <c r="H29" s="22" t="str">
        <f>cennik!B2</f>
        <v>zł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profil maskujący (maskownica):</v>
      </c>
      <c r="B30" s="15" t="str">
        <f>IFERROR((VLOOKUP(M5,data!C115:D210,2,0)),"N/A")</f>
        <v>N/A</v>
      </c>
      <c r="C30" s="23" t="str">
        <f>IF(B30=data!D64,texty!A239,+VLOOKUP(B30,cennik!A3:G9999,2,FALSE))</f>
        <v> w tym kolorze i długości dany profil nie jest produkowany</v>
      </c>
      <c r="D30" s="15">
        <v>1</v>
      </c>
      <c r="E30" s="86">
        <f>IF(B30=data!D73,0,+VLOOKUP(B30,cennik!A3:G9999,3,FALSE))</f>
        <v>0</v>
      </c>
      <c r="F30" s="86">
        <f>+E30*D30</f>
        <v>0</v>
      </c>
      <c r="G30" s="87">
        <f>+F30*(100-G26)/100</f>
        <v>0</v>
      </c>
      <c r="H30" s="22" t="str">
        <f>cennik!B2</f>
        <v>zł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górne wózki</v>
      </c>
      <c r="B31" s="15">
        <v>228009</v>
      </c>
      <c r="C31" s="23" t="str">
        <f>+VLOOKUP(B31,cennik!A:G,2,FALSE)</f>
        <v>SEVROLL wózek górny Gemini symetryczny 10mm - 2szt</v>
      </c>
      <c r="D31" s="15">
        <f>IF((D49+D50)&gt;D4,0,D4-(D49+D50))</f>
        <v>0</v>
      </c>
      <c r="E31" s="86">
        <f>+VLOOKUP(B31,cennik!A:G,3,FALSE)</f>
        <v>23.174399999999999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dolne wózki</v>
      </c>
      <c r="B32" s="15">
        <f>IF(F4=M70,328321,229441)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22" t="str">
        <f>cennik!B2</f>
        <v>zł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rączka</v>
      </c>
      <c r="B34" s="15" t="e">
        <f>+VLOOKUP(P7,data!C525:D531,2,0)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śruba łącząca</v>
      </c>
      <c r="B35" s="22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listwa pozioma górna</v>
      </c>
      <c r="B36" s="15" t="e">
        <f>+VLOOKUP(M29,data!C335:D355,2,0)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listwa pozioma górna</v>
      </c>
      <c r="B37" s="15" t="e">
        <f>IF(M30="jiné","",+VLOOKUP(M30,data!C335:D355,2,0))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poziomy dolny profil ramy</v>
      </c>
      <c r="B38" s="22" t="e">
        <f>+VLOOKUP(M29,data!C406:D423,2,0)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poziomy dolny profil ramy</v>
      </c>
      <c r="B39" s="15" t="e">
        <f>IF(M30&lt;&gt;"jiné",+VLOOKUP(M30,data!C406:D423,2,0),"")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Akcesoria:</v>
      </c>
      <c r="B41" s="15"/>
      <c r="D41" s="343" t="str">
        <f>+System10!D41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pozycjoner wózka górnego</v>
      </c>
      <c r="B42" s="15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tłumienie (para)25 kg</v>
      </c>
      <c r="B49" s="22">
        <v>227185</v>
      </c>
      <c r="C49" s="23" t="str">
        <f>+VLOOKUP(B49,cennik!A:G,2,FALSE)</f>
        <v>K-SEVROLL tłumienie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tłumienie (para) 50 kg</v>
      </c>
      <c r="B50" s="22">
        <v>227187</v>
      </c>
      <c r="C50" s="23" t="str">
        <f>+VLOOKUP(B50,cennik!A:G,2,FALSE)</f>
        <v>K-SEVROLL tłumienie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profil łączący H10-3metry</v>
      </c>
      <c r="B51" s="15" t="e">
        <f>+VLOOKUP(P7,data!C496:D507,2,0)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zł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profil łączący H30-3metry</v>
      </c>
      <c r="B52" s="15" t="str">
        <f>IFERROR((VLOOKUP(P7,data!C508:D515,2,0)),"N/A")</f>
        <v>N/A</v>
      </c>
      <c r="C52" s="23" t="str">
        <f>IF(B52=data!D64,texty!A239,+VLOOKUP(B52,cennik!A3:G9999,2,FALSE))</f>
        <v> w tym kolorze i długości dany profil nie jest produkowany</v>
      </c>
      <c r="D52" s="354"/>
      <c r="E52" s="86">
        <f>IF(B52=data!D73,0,+VLOOKUP(B52,cennik!A3:G9999,3,FALSE))</f>
        <v>0</v>
      </c>
      <c r="F52" s="86">
        <f>+E52*D52</f>
        <v>0</v>
      </c>
      <c r="G52" s="87">
        <f>+F52*(100-G26)/100</f>
        <v>0</v>
      </c>
      <c r="H52" s="22" t="str">
        <f>cennik!B2</f>
        <v>zł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śruba łącząca</v>
      </c>
      <c r="B53" s="15">
        <v>89244</v>
      </c>
      <c r="C53" s="23" t="str">
        <f>+VLOOKUP(B53,cennik!A:G,2,FALSE)</f>
        <v>SEVROLL blachowkręt 6,3x32 SEVROLL i Simple</v>
      </c>
      <c r="D53" s="354"/>
      <c r="E53" s="86">
        <f>+VLOOKUP(B53,cennik!A:G,3,FALSE)</f>
        <v>0.52500000000000002</v>
      </c>
      <c r="F53" s="86">
        <f>+E53*D53</f>
        <v>0</v>
      </c>
      <c r="G53" s="87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zamek do drzwi przesuwnych</v>
      </c>
      <c r="B54" s="15">
        <v>216363</v>
      </c>
      <c r="C54" s="23" t="str">
        <f>+VLOOKUP(B54,cennik!A:G,2,FALSE)</f>
        <v>SEVROLL zamek do drzwi przesuwnych 10/18mm</v>
      </c>
      <c r="D54" s="354"/>
      <c r="E54" s="86">
        <f>+VLOOKUP(B54,cennik!A:G,3,FALSE)</f>
        <v>66.840599999999995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Długość uszczelki w przypadku całkowitego zaszklenia (należy zamówić całe metry)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(w przypadku kombinacji z profilami H należy dodać odpowiednią długość - uszczelka musi być na całym obwodzie każdego szkła)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uszczelka na szkło 4mm</v>
      </c>
      <c r="B59" s="15">
        <v>89238</v>
      </c>
      <c r="C59" s="23" t="str">
        <f>+VLOOKUP(B59,cennik!A:G,2,FALSE)</f>
        <v>SEVROLL uszczelka do szkła 10/4 mm</v>
      </c>
      <c r="D59" s="355"/>
      <c r="E59" s="86">
        <f>+VLOOKUP(B59,cennik!A:G,3,FALSE)</f>
        <v>2.7501000000000002</v>
      </c>
      <c r="F59" s="91">
        <f>+CEILING(D59,1)*E59</f>
        <v>0</v>
      </c>
      <c r="G59" s="87">
        <f>+F59*(100-G26)/100</f>
        <v>0</v>
      </c>
      <c r="H59" s="22" t="str">
        <f>cennik!B2</f>
        <v>zł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uszczelka na szkło 4,5mm</v>
      </c>
      <c r="B60" s="15">
        <v>135164</v>
      </c>
      <c r="C60" s="23" t="str">
        <f>+VLOOKUP(B60,cennik!A:G,2,FALSE)</f>
        <v>SEVROLL uszczelka bezbarwna 10/4,5mm</v>
      </c>
      <c r="D60" s="355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22" t="str">
        <f>cennik!B2</f>
        <v>zł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uszczelka na szkło 6mm</v>
      </c>
      <c r="B61" s="15">
        <v>89243</v>
      </c>
      <c r="C61" s="23" t="str">
        <f>+VLOOKUP(B61,cennik!A:G,2,FALSE)</f>
        <v>SEVROLL uszczelka bezbarwna 10/6mm</v>
      </c>
      <c r="D61" s="355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22" t="str">
        <f>cennik!B2</f>
        <v>zł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 xml:space="preserve">tutaj można znaleźć inne akcesoria </v>
      </c>
      <c r="B62" s="341"/>
      <c r="C62" s="341"/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rysunek techniczny tego systemu</v>
      </c>
      <c r="B63" s="15">
        <v>129677</v>
      </c>
      <c r="C63" s="468" t="str">
        <f>VLOOKUP(B63,cennik!A:C,2,0)</f>
        <v>SEVROLL element montażowy do płyty laminowanej 10mm mały</v>
      </c>
      <c r="D63" s="355"/>
      <c r="E63" s="86">
        <f>+VLOOKUP(B63,cennik!A:G,3,FALSE)</f>
        <v>51.590769999999999</v>
      </c>
      <c r="F63" s="91">
        <f>+CEILING(D63,1)*E63</f>
        <v>0</v>
      </c>
      <c r="G63" s="87">
        <f>+F63</f>
        <v>0</v>
      </c>
      <c r="H63" s="22" t="str">
        <f>cennik!B2</f>
        <v>zł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468" t="str">
        <f>VLOOKUP(B64,cennik!A:C,2,0)</f>
        <v>SEVROLL wiertło stopniowe 6,5/9,5mm</v>
      </c>
      <c r="D64" s="355"/>
      <c r="E64" s="86">
        <f>+VLOOKUP(B64,cennik!A:G,3,FALSE)</f>
        <v>116.85122</v>
      </c>
      <c r="F64" s="91">
        <f>+CEILING(D64,1)*E64</f>
        <v>0</v>
      </c>
      <c r="G64" s="87">
        <f>+F64</f>
        <v>0</v>
      </c>
      <c r="H64" s="22" t="str">
        <f>cennik!B2</f>
        <v>zł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w sumie (bez VAT)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zł</v>
      </c>
      <c r="I66" s="19"/>
      <c r="L66" s="22"/>
    </row>
    <row r="67" spans="1:14" ht="12.75" customHeight="1" x14ac:dyDescent="0.25">
      <c r="A67" s="337" t="str">
        <f>System10!A67</f>
        <v>Uwagi</v>
      </c>
      <c r="B67" s="690"/>
      <c r="C67" s="691"/>
      <c r="D67" s="691"/>
      <c r="E67" s="691"/>
      <c r="F67" s="691"/>
      <c r="G67" s="692"/>
      <c r="H67" s="21"/>
      <c r="L67" s="22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  <c r="L68" s="22"/>
    </row>
    <row r="69" spans="1:14" ht="12.75" customHeight="1" x14ac:dyDescent="0.25">
      <c r="A69" s="680" t="str">
        <f>IF(N73=1,texty!A215,IF(K73&gt;0,texty!A214,""))</f>
        <v>niektóre elementy nie są produkowane w wybranej długości</v>
      </c>
      <c r="B69" s="680"/>
      <c r="C69" s="680"/>
      <c r="D69" s="680"/>
      <c r="E69" s="680"/>
      <c r="F69" s="680"/>
      <c r="G69" s="680"/>
      <c r="H69" s="680"/>
      <c r="K69" s="363"/>
    </row>
    <row r="70" spans="1:14" ht="12.75" hidden="1" customHeight="1" x14ac:dyDescent="0.25">
      <c r="I70" s="19"/>
      <c r="J70" s="19"/>
      <c r="K70" s="22">
        <v>70</v>
      </c>
      <c r="L70" s="19" t="str">
        <f>data!J4</f>
        <v>srebrny</v>
      </c>
      <c r="M70" s="19" t="s">
        <v>968</v>
      </c>
    </row>
    <row r="71" spans="1:14" ht="12.75" hidden="1" customHeight="1" x14ac:dyDescent="0.25">
      <c r="I71" s="19"/>
      <c r="J71" s="19"/>
      <c r="L71" s="19" t="str">
        <f>data!J5</f>
        <v>złoty/mosiądz</v>
      </c>
      <c r="M71" s="19" t="s">
        <v>42</v>
      </c>
    </row>
    <row r="72" spans="1:14" ht="12.75" hidden="1" customHeight="1" x14ac:dyDescent="0.25">
      <c r="I72" s="19"/>
      <c r="J72" s="19"/>
      <c r="L72" s="19" t="str">
        <f>data!J6</f>
        <v>j.brąz</v>
      </c>
    </row>
    <row r="73" spans="1:14" ht="12.75" hidden="1" customHeight="1" x14ac:dyDescent="0.25">
      <c r="I73" s="19"/>
      <c r="J73" s="19"/>
      <c r="K73" s="22" t="e">
        <f>SUM(K27:K64)</f>
        <v>#N/A</v>
      </c>
      <c r="L73" s="19" t="str">
        <f>data!J17</f>
        <v> czarny mat</v>
      </c>
      <c r="N73" s="19">
        <f>IF(ISERROR(K73),1,0)</f>
        <v>1</v>
      </c>
    </row>
    <row r="74" spans="1:14" ht="12.75" hidden="1" customHeight="1" x14ac:dyDescent="0.25">
      <c r="L74" s="19" t="str">
        <f>data!J22</f>
        <v>czarny lakier strukturalny</v>
      </c>
    </row>
  </sheetData>
  <sheetProtection algorithmName="SHA-512" hashValue="v1Kj8LQY4fCpxvPzGnsvXNAgM1hRWYMJCzmjRcCeCJT7nic2ywHGqWOhco4O+GeolCFwhAN3gui6r2ETUZJV+A==" saltValue="Cc5w63nret7Co4mL4HCmw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A14">
    <cfRule type="expression" dxfId="333" priority="4">
      <formula>SUM($D$47:$D$48)&gt;0</formula>
    </cfRule>
  </conditionalFormatting>
  <conditionalFormatting sqref="D6">
    <cfRule type="expression" dxfId="331" priority="14">
      <formula>$D$4=4</formula>
    </cfRule>
    <cfRule type="expression" dxfId="330" priority="15">
      <formula>$D$4&lt;&gt;4</formula>
    </cfRule>
  </conditionalFormatting>
  <conditionalFormatting sqref="D53">
    <cfRule type="expression" dxfId="329" priority="1">
      <formula>IF(D52&gt;0,IF(D53=0,1,0),0)</formula>
    </cfRule>
  </conditionalFormatting>
  <conditionalFormatting sqref="G4">
    <cfRule type="expression" dxfId="328" priority="13">
      <formula>$D$4=4</formula>
    </cfRule>
  </conditionalFormatting>
  <conditionalFormatting sqref="I19:I20">
    <cfRule type="expression" dxfId="327" priority="7">
      <formula>$F$4=$M$71</formula>
    </cfRule>
  </conditionalFormatting>
  <conditionalFormatting sqref="I21:I22">
    <cfRule type="expression" dxfId="326" priority="22">
      <formula>$F$4=$M$70</formula>
    </cfRule>
  </conditionalFormatting>
  <dataValidations count="6">
    <dataValidation type="list" allowBlank="1" showInputMessage="1" showErrorMessage="1" sqref="E4" xr:uid="{00000000-0002-0000-0700-000001000000}">
      <formula1>$L$70:$L$74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IF(OR(E4=L70,E4=L72),M70:M71,M70)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F6E52B-B6AE-40B4-A2FE-8349A783680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19" customWidth="1"/>
    <col min="2" max="2" width="15.6640625" style="19" customWidth="1"/>
    <col min="3" max="3" width="53.33203125" style="19" customWidth="1"/>
    <col min="4" max="7" width="14.6640625" style="19" customWidth="1"/>
    <col min="8" max="8" width="4.6640625" style="19" customWidth="1"/>
    <col min="9" max="9" width="24.6640625" style="22" customWidth="1"/>
    <col min="10" max="10" width="11.44140625" style="22" hidden="1" customWidth="1"/>
    <col min="11" max="11" width="11.332031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256" width="9.109375" style="19" hidden="1" customWidth="1"/>
    <col min="257" max="16384" width="5.664062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-8.25</v>
      </c>
    </row>
    <row r="2" spans="1:22" ht="18.75" customHeight="1" x14ac:dyDescent="0.25">
      <c r="A2" s="405" t="s">
        <v>6585</v>
      </c>
      <c r="B2" s="317" t="str">
        <f>profil!T7</f>
        <v>Klient, , NIP:</v>
      </c>
      <c r="C2" s="15"/>
      <c r="D2" s="15"/>
      <c r="E2" s="15"/>
      <c r="F2" s="15"/>
      <c r="G2" s="22"/>
      <c r="H2" s="22"/>
      <c r="L2" s="22">
        <v>3</v>
      </c>
    </row>
    <row r="3" spans="1:22" ht="41.25" customHeight="1" thickBot="1" x14ac:dyDescent="0.3">
      <c r="A3" s="582" t="str">
        <f>CONCATENATE(texty!A243," ",7,".",24)</f>
        <v>Katalog Okuć meblowych 2024 str. 7.24</v>
      </c>
      <c r="B3" s="318" t="str">
        <f>CONCATENATE(texty!A34," / max.         3 040 mm /")</f>
        <v>wysokość / max.         3 040 mm /</v>
      </c>
      <c r="C3" s="319" t="str">
        <f>CONCATENATE(texty!A35," / max 6 000 mm /")</f>
        <v>szerokość / max 6 000 mm /</v>
      </c>
      <c r="D3" s="318" t="str">
        <f>texty!A36</f>
        <v>ilość drzwi</v>
      </c>
      <c r="E3" s="319" t="str">
        <f>texty!A37</f>
        <v>kolor</v>
      </c>
      <c r="F3" s="318" t="str">
        <f>texty!A38</f>
        <v>rodzaj toru dolnego</v>
      </c>
      <c r="G3" s="22"/>
      <c r="H3" s="22"/>
      <c r="L3" s="22"/>
    </row>
    <row r="4" spans="1:22" ht="18" customHeight="1" x14ac:dyDescent="0.25">
      <c r="A4" s="321" t="str">
        <f>texty!A70</f>
        <v>WEWNĘTRZNY ROZMIAR SZAFY: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  <c r="N4" s="15"/>
    </row>
    <row r="5" spans="1:22" ht="18" customHeight="1" x14ac:dyDescent="0.25">
      <c r="A5" s="321"/>
      <c r="B5" s="688" t="str">
        <f>texty!A45</f>
        <v>wypełnij 5 pól !!!!! informacje w mm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  <c r="N5" s="21"/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skrzydło drzwi:</v>
      </c>
      <c r="B7" s="53" t="str">
        <f>IF(B4&gt;0,B4-40,"")</f>
        <v/>
      </c>
      <c r="C7" s="55" t="str">
        <f>IFERROR((((C4+(40*(D4-1)))/D4+IF(AND(D4=4,D6=2),M1,0))),"")</f>
        <v/>
      </c>
      <c r="D7" s="15"/>
      <c r="E7" s="15"/>
      <c r="F7" s="15"/>
      <c r="G7" s="330" t="str">
        <f>texty!A39</f>
        <v>W przypadku wykorzystania szkła,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rozmiar wypełnienia 10 mm:</v>
      </c>
      <c r="B8" s="53" t="str">
        <f>IFERROR((B7-64),"")</f>
        <v/>
      </c>
      <c r="C8" s="55" t="str">
        <f>IFERROR((C7-25),"")</f>
        <v/>
      </c>
      <c r="D8" s="15"/>
      <c r="E8" s="15"/>
      <c r="F8" s="15"/>
      <c r="G8" s="330" t="str">
        <f>texty!A40</f>
        <v>należy wybrać bezpieczną szybę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rozmiar lustra /szkła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ew. zabezpieczyć ją folią ochronną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długość toru i listwy maskującej skrzydła</v>
      </c>
      <c r="B10" s="53"/>
      <c r="C10" s="56" t="str">
        <f>IFERROR((C7-42),"")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Tor górny / dolny</v>
      </c>
      <c r="B11" s="53"/>
      <c r="C11" s="172" t="str">
        <f>TRIM(C4)</f>
        <v/>
      </c>
      <c r="D11" s="15"/>
      <c r="E11" s="15"/>
      <c r="F11" s="15"/>
      <c r="G11" s="21" t="str">
        <f>texty!A43</f>
        <v>Maksymalna waga skrzydła to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rączka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 xml:space="preserve">Długość uszczelki na jedno skrzydło to 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dodatkowe zmniejszenie wysokośći wyliczonych wypełnień przy wykorzystaniu profili dzielących: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22"/>
    </row>
    <row r="20" spans="1:22" ht="39" customHeight="1" x14ac:dyDescent="0.25">
      <c r="A20" s="320"/>
      <c r="B20" s="608" t="str">
        <f>texty!A242</f>
        <v>dylatacja 4 mm</v>
      </c>
      <c r="C20" s="15"/>
      <c r="E20" s="15"/>
      <c r="F20" s="15"/>
      <c r="G20" s="22"/>
      <c r="H20" s="22"/>
      <c r="I20" s="603" t="s">
        <v>974</v>
      </c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partnerska zniżka: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Kody zamówieniowe,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kod</v>
      </c>
      <c r="C27" s="18" t="str">
        <f>texty!A16</f>
        <v>nazwa</v>
      </c>
      <c r="D27" s="17" t="str">
        <f>texty!A17</f>
        <v>szt.</v>
      </c>
      <c r="E27" s="17" t="str">
        <f>texty!A18</f>
        <v>cena/szt.</v>
      </c>
      <c r="F27" s="17" t="str">
        <f>texty!A19</f>
        <v>cena w sumie</v>
      </c>
      <c r="G27" s="18" t="str">
        <f>texty!A20</f>
        <v>w sumie netto:</v>
      </c>
      <c r="H27" s="22"/>
      <c r="I27" s="18" t="str">
        <f>texty!A29</f>
        <v>Uwagi:</v>
      </c>
      <c r="J27" s="18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+System10!A28</f>
        <v>Tor górny: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zł</v>
      </c>
      <c r="I28" s="363" t="str">
        <f>IFERROR(IF((VLOOKUP(B28,cennik!A:L,12,0))="O",texty!A250,""),"")</f>
        <v/>
      </c>
      <c r="J28" s="174"/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Tor dolny</v>
      </c>
      <c r="B29" s="15" t="e">
        <f>+VLOOKUP(M5,data!C4:D83,2,0)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zł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+System10!A30</f>
        <v>profil maskujący (maskownica):</v>
      </c>
      <c r="B30" s="15" t="e">
        <f>+VLOOKUP(M5,data!C115:D210,2,0)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zł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+System10!A31</f>
        <v>górne wózki</v>
      </c>
      <c r="B31" s="15">
        <v>89265</v>
      </c>
      <c r="C31" s="23" t="str">
        <f>+VLOOKUP(B31,cennik!A:G,2,FALSE)</f>
        <v>SEVROLL wózek górny 10mm asymetryczny L+P</v>
      </c>
      <c r="D31" s="15">
        <f>IF((D49+D50)&gt;D4,0,D4-(D49+D50))</f>
        <v>0</v>
      </c>
      <c r="E31" s="86">
        <f>+VLOOKUP(B31,cennik!A:G,3,FALSE)</f>
        <v>27.305399999999999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zł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+System10!A32</f>
        <v>dolne wózki</v>
      </c>
      <c r="B32" s="15">
        <f>IF(F4=M66,328321,229441)</f>
        <v>229441</v>
      </c>
      <c r="C32" s="23" t="str">
        <f>+VLOOKUP(B32,cennik!A:G,2,FALSE)</f>
        <v>SEVROLL wózek dolny WD 10C HI-TEC - 2szt</v>
      </c>
      <c r="D32" s="15">
        <f>+D4</f>
        <v>0</v>
      </c>
      <c r="E32" s="86">
        <f>+VLOOKUP(B32,cennik!A:G,3,FALSE)</f>
        <v>26.3874</v>
      </c>
      <c r="F32" s="86">
        <f t="shared" si="0"/>
        <v>0</v>
      </c>
      <c r="G32" s="87">
        <f>+F32*(100-G26)/100</f>
        <v>0</v>
      </c>
      <c r="H32" s="22" t="str">
        <f>cennik!B2</f>
        <v>zł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szczotka odbojowa</v>
      </c>
      <c r="B33" s="15">
        <v>98067</v>
      </c>
      <c r="C33" s="23" t="str">
        <f>+VLOOKUP(B33,cennik!A:G,2,FALSE)</f>
        <v>SEVROLL szczotka odbojowa zasuwana 14,5x4 mm</v>
      </c>
      <c r="D33" s="15">
        <f>CEILING((B4*D4*2/1000),1)</f>
        <v>0</v>
      </c>
      <c r="E33" s="86">
        <f>+VLOOKUP(B33,cennik!A:G,3,FALSE)</f>
        <v>1.224</v>
      </c>
      <c r="F33" s="86">
        <f t="shared" si="0"/>
        <v>0</v>
      </c>
      <c r="G33" s="87">
        <f>+F33*(100-G26)/100</f>
        <v>0</v>
      </c>
      <c r="H33" s="22" t="str">
        <f>cennik!B2</f>
        <v>zł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rączka</v>
      </c>
      <c r="B34" s="15" t="e">
        <f>IF(B12&gt;2700, VLOOKUP(P7,data!C712:D714,2,0),IF(B12&lt;1501, VLOOKUP(P7,data!C712:D714,2,0),IF(B12&gt;1347, VLOOKUP(P7,data!C709:D711,2,0), VLOOKUP(P7,data!C709:D,2,0))))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zł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śruba łącząca</v>
      </c>
      <c r="B35" s="15">
        <v>89244</v>
      </c>
      <c r="C35" s="23" t="str">
        <f>+VLOOKUP(B35,cennik!A:G,2,FALSE)</f>
        <v>SEVROLL blachowkręt 6,3x32 SEVROLL i Simple</v>
      </c>
      <c r="D35" s="15">
        <f>+D4*4</f>
        <v>0</v>
      </c>
      <c r="E35" s="86">
        <f>+VLOOKUP(B35,cennik!A:G,3,FALSE)</f>
        <v>0.52500000000000002</v>
      </c>
      <c r="F35" s="86">
        <f t="shared" si="0"/>
        <v>0</v>
      </c>
      <c r="G35" s="87">
        <f>+F35*(100-G26)/100</f>
        <v>0</v>
      </c>
      <c r="H35" s="22" t="str">
        <f>cennik!B2</f>
        <v>zł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listwa pozioma górna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zł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 t="s">
        <v>12</v>
      </c>
    </row>
    <row r="37" spans="1:22" ht="12.75" customHeight="1" x14ac:dyDescent="0.25">
      <c r="A37" s="320" t="str">
        <f>+System10!A36</f>
        <v>listwa pozioma górna</v>
      </c>
      <c r="B37" s="22" t="e">
        <f>IF(M30&lt;&gt;"jiné",+VLOOKUP(M30,data!C335:D352,2,0),"")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zł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 t="s">
        <v>12</v>
      </c>
    </row>
    <row r="38" spans="1:22" ht="12.75" customHeight="1" x14ac:dyDescent="0.25">
      <c r="A38" s="320" t="str">
        <f>+System10!A38</f>
        <v>poziomy dolny profil ramy</v>
      </c>
      <c r="B38" s="1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zł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">
        <v>12</v>
      </c>
    </row>
    <row r="39" spans="1:22" ht="12.75" customHeight="1" x14ac:dyDescent="0.25">
      <c r="A39" s="320" t="str">
        <f>+System10!A39</f>
        <v>poziomy dolny profil ramy</v>
      </c>
      <c r="B39" s="22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zł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 t="s">
        <v>12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/>
      <c r="K40" s="174"/>
      <c r="L40" s="21" t="s">
        <v>13</v>
      </c>
    </row>
    <row r="41" spans="1:22" ht="12.75" customHeight="1" x14ac:dyDescent="0.25">
      <c r="A41" s="325" t="str">
        <f>texty!A66</f>
        <v>Akcesoria:</v>
      </c>
      <c r="B41" s="15"/>
      <c r="D41" s="343" t="str">
        <f>System10!D41</f>
        <v>podaj ilość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 t="s">
        <v>13</v>
      </c>
    </row>
    <row r="42" spans="1:22" ht="12.75" customHeight="1" x14ac:dyDescent="0.25">
      <c r="A42" s="320" t="str">
        <f>texty!A88</f>
        <v>pozycjoner wózka górnego</v>
      </c>
      <c r="B42" s="15">
        <v>298035</v>
      </c>
      <c r="C42" s="23" t="str">
        <f>+VLOOKUP(B42,cennik!A:G,2,FALSE)</f>
        <v>SEVROLL Fix pozycjoner wózka górnego transparentny</v>
      </c>
      <c r="D42" s="278"/>
      <c r="E42" s="86">
        <f>+VLOOKUP(B42,cennik!A:G,3,FALSE)</f>
        <v>3.74519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zł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pozycjoner</v>
      </c>
      <c r="B43" s="15">
        <f>IF(F4="Gemini",387424,89063)</f>
        <v>89063</v>
      </c>
      <c r="C43" s="23" t="str">
        <f>+VLOOKUP(B43,cennik!A:G,2,FALSE)</f>
        <v>SEVROLL pozycjoner wózka dolnego HI-TEC</v>
      </c>
      <c r="D43" s="278"/>
      <c r="E43" s="86">
        <f>+VLOOKUP(B43,cennik!A:G,3,FALSE)</f>
        <v>1.071</v>
      </c>
      <c r="F43" s="91">
        <f t="shared" si="1"/>
        <v>0</v>
      </c>
      <c r="G43" s="87">
        <f>+F43*(100-G26)/100</f>
        <v>0</v>
      </c>
      <c r="H43" s="22" t="str">
        <f>cennik!B2</f>
        <v>zł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 Tłumienie MINI do 25 kg (para)</v>
      </c>
      <c r="B44" s="15">
        <v>318662</v>
      </c>
      <c r="C44" s="23" t="str">
        <f>+VLOOKUP(B44,cennik!A:G,2,FALSE)</f>
        <v>SEVROLL tłumienie Mini SV25 (14-25kg)</v>
      </c>
      <c r="D44" s="278"/>
      <c r="E44" s="86">
        <f>+VLOOKUP(B44,cennik!A:G,3,FALSE)</f>
        <v>96.889799999999994</v>
      </c>
      <c r="F44" s="91">
        <f t="shared" si="1"/>
        <v>0</v>
      </c>
      <c r="G44" s="87">
        <f>+F44*(100-G26)/100</f>
        <v>0</v>
      </c>
      <c r="H44" s="22" t="str">
        <f>cennik!B2</f>
        <v>zł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</row>
    <row r="45" spans="1:22" ht="12.75" customHeight="1" x14ac:dyDescent="0.25">
      <c r="A45" s="320" t="str">
        <f>texty!A229</f>
        <v> Tłumienie MINI do 40 kg (para)</v>
      </c>
      <c r="B45" s="22">
        <v>283956</v>
      </c>
      <c r="C45" s="23" t="str">
        <f>+VLOOKUP(B45,cennik!A:G,2,FALSE)</f>
        <v>SEVROLL tłumienie Mini SV40 (25 - 40kg)</v>
      </c>
      <c r="D45" s="278"/>
      <c r="E45" s="86">
        <f>+VLOOKUP(B45,cennik!A:G,3,FALSE)</f>
        <v>96.889799999999994</v>
      </c>
      <c r="F45" s="91">
        <f t="shared" si="1"/>
        <v>0</v>
      </c>
      <c r="G45" s="87">
        <f>+F45*(100-G26)/100</f>
        <v>0</v>
      </c>
      <c r="H45" s="22" t="str">
        <f>cennik!B2</f>
        <v>zł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 Tłumienie MINI do 60 kg (para)</v>
      </c>
      <c r="B46" s="22">
        <v>351743</v>
      </c>
      <c r="C46" s="23" t="str">
        <f>+VLOOKUP(B46,cennik!A:G,2,FALSE)</f>
        <v>SEVROLL tłumienie Mini SV60 (40 - 60kg)</v>
      </c>
      <c r="D46" s="278"/>
      <c r="E46" s="86">
        <f>+VLOOKUP(B46,cennik!A:G,3,FALSE)</f>
        <v>96.889799999999994</v>
      </c>
      <c r="F46" s="91">
        <f t="shared" si="1"/>
        <v>0</v>
      </c>
      <c r="G46" s="87">
        <f>+F46*(100-G26)/100</f>
        <v>0</v>
      </c>
      <c r="H46" s="22" t="str">
        <f>cennik!B2</f>
        <v>zł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  <c r="L46" s="22"/>
    </row>
    <row r="47" spans="1:22" ht="12.75" customHeight="1" x14ac:dyDescent="0.25">
      <c r="A47" s="320" t="str">
        <f>texty!A231</f>
        <v xml:space="preserve"> Tłumienie do skrzydła środkowego do 25 kg </v>
      </c>
      <c r="B47" s="22">
        <v>318663</v>
      </c>
      <c r="C47" s="23" t="str">
        <f>+VLOOKUP(B47,cennik!A:G,2,FALSE)</f>
        <v>SEVROLL tłumienie Central 10/18mm obustronne 25kg</v>
      </c>
      <c r="D47" s="278"/>
      <c r="E47" s="86">
        <f>+VLOOKUP(B47,cennik!A:G,3,FALSE)</f>
        <v>206.958</v>
      </c>
      <c r="F47" s="91">
        <f t="shared" si="1"/>
        <v>0</v>
      </c>
      <c r="G47" s="87">
        <f>+F47*(100-G26)/100</f>
        <v>0</v>
      </c>
      <c r="H47" s="22" t="str">
        <f>cennik!B2</f>
        <v>zł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  <c r="L47" s="22"/>
    </row>
    <row r="48" spans="1:22" ht="12.75" customHeight="1" x14ac:dyDescent="0.25">
      <c r="A48" s="320" t="str">
        <f>texty!A232</f>
        <v xml:space="preserve"> Tłumienie do skrzydła środkowego do 40 kg </v>
      </c>
      <c r="B48" s="22">
        <v>283955</v>
      </c>
      <c r="C48" s="23" t="str">
        <f>+VLOOKUP(B48,cennik!A:G,2,FALSE)</f>
        <v>SEVROLL tłumienie Central 10/18mm obustronne 25-40kg</v>
      </c>
      <c r="D48" s="278"/>
      <c r="E48" s="86">
        <f>+VLOOKUP(B48,cennik!A:G,3,FALSE)</f>
        <v>206.958</v>
      </c>
      <c r="F48" s="91">
        <f t="shared" si="1"/>
        <v>0</v>
      </c>
      <c r="G48" s="87">
        <f>+F48*(100-G26)/100</f>
        <v>0</v>
      </c>
      <c r="H48" s="22" t="str">
        <f>cennik!B2</f>
        <v>zł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  <c r="L48" s="22"/>
    </row>
    <row r="49" spans="1:12" ht="12.75" customHeight="1" x14ac:dyDescent="0.25">
      <c r="A49" s="320" t="str">
        <f>System10!A49</f>
        <v>tłumienie (para)25 kg</v>
      </c>
      <c r="B49" s="22">
        <v>227185</v>
      </c>
      <c r="C49" s="23" t="str">
        <f>+VLOOKUP(B49,cennik!A:G,2,FALSE)</f>
        <v>K-SEVROLL tłumienie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zł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tłumienie (para) 50 kg</v>
      </c>
      <c r="B50" s="22">
        <v>227187</v>
      </c>
      <c r="C50" s="23" t="str">
        <f>+VLOOKUP(B50,cennik!A:G,2,FALSE)</f>
        <v>K-SEVROLL tłumienie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zł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320" t="str">
        <f>System10!A51</f>
        <v>profil łączący H10-3metry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zł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System10!A52</f>
        <v>profil łączący H30-3metry</v>
      </c>
      <c r="B52" s="15" t="e">
        <f>+VLOOKUP(P7,data!C508:D510,2,0)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zł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+System10!A35</f>
        <v>śruba łącząca</v>
      </c>
      <c r="B53" s="15">
        <v>89244</v>
      </c>
      <c r="C53" s="23" t="str">
        <f>+VLOOKUP(B53,cennik!A:G,2,FALSE)</f>
        <v>SEVROLL blachowkręt 6,3x32 SEVROLL i Simple</v>
      </c>
      <c r="D53" s="354"/>
      <c r="E53" s="86">
        <f>+VLOOKUP(B53,cennik!A:G,3,FALSE)</f>
        <v>0.52500000000000002</v>
      </c>
      <c r="F53" s="86">
        <f>+E53*D53</f>
        <v>0</v>
      </c>
      <c r="G53" s="87">
        <f>+F53*(100-G26)/100</f>
        <v>0</v>
      </c>
      <c r="H53" s="22" t="str">
        <f>cennik!B2</f>
        <v>zł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System10!A55</f>
        <v>szczotka przeciwkurzowa</v>
      </c>
      <c r="B54" s="15">
        <v>95946</v>
      </c>
      <c r="C54" s="23" t="str">
        <f>+VLOOKUP(B54,cennik!A:G,2,FALSE)</f>
        <v>SEVROLL szczotka przeciwkurzowa bez kleju 4,8x13 mm, szara</v>
      </c>
      <c r="D54" s="354"/>
      <c r="E54" s="86">
        <f>+VLOOKUP(B54,cennik!A:G,3,FALSE)</f>
        <v>0.80579999999999996</v>
      </c>
      <c r="F54" s="86">
        <f>+E54*D54</f>
        <v>0</v>
      </c>
      <c r="G54" s="87">
        <f>+F54*(100-G26)/100</f>
        <v>0</v>
      </c>
      <c r="H54" s="22" t="str">
        <f>cennik!B2</f>
        <v>zł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  <c r="L54" s="22"/>
    </row>
    <row r="55" spans="1:12" ht="12.75" customHeight="1" x14ac:dyDescent="0.25">
      <c r="I55" s="363" t="str">
        <f>IFERROR(IF((VLOOKUP(B55,cennik!A:L,12,0))="O",texty!A250,""),"")</f>
        <v/>
      </c>
      <c r="J55" s="19"/>
      <c r="K55" s="174"/>
      <c r="L55" s="22"/>
    </row>
    <row r="56" spans="1:12" ht="12.75" customHeight="1" x14ac:dyDescent="0.25">
      <c r="I56" s="363" t="str">
        <f>IFERROR(IF((VLOOKUP(B56,cennik!A:L,12,0))="O",texty!A250,""),"")</f>
        <v/>
      </c>
      <c r="K56" s="174"/>
      <c r="L56" s="22"/>
    </row>
    <row r="57" spans="1:12" ht="12.75" customHeight="1" x14ac:dyDescent="0.25">
      <c r="A57" s="327" t="str">
        <f>IFERROR((CONCATENATE(texty!A6,ROUND((C13/1000),1),texty!A8)),"")</f>
        <v/>
      </c>
      <c r="B57" s="38"/>
      <c r="C57" s="39"/>
      <c r="D57" s="38"/>
      <c r="E57" s="92"/>
      <c r="F57" s="92"/>
      <c r="G57" s="93"/>
      <c r="H57" s="22"/>
      <c r="I57" s="363" t="str">
        <f>IFERROR(IF((VLOOKUP(B57,cennik!A:L,12,0))="O",texty!A250,""),"")</f>
        <v/>
      </c>
      <c r="J57" s="334" t="str">
        <f>IF(D57&gt;0,IF(VLOOKUP(B57,cennik!A:L,12,FALSE)="O",1,""),"")</f>
        <v/>
      </c>
      <c r="K57" s="174"/>
      <c r="L57" s="22"/>
    </row>
    <row r="58" spans="1:12" ht="12.75" customHeight="1" x14ac:dyDescent="0.25">
      <c r="C58" s="344" t="str">
        <f>texty!A10</f>
        <v>Długość uszczelki w przypadku całkowitego zaszklenia (należy zamówić całe metry)</v>
      </c>
      <c r="D58" s="334" t="str">
        <f>IFERROR((CEILING(((B9+C9)*2/1000*D4),1)),"")</f>
        <v/>
      </c>
      <c r="E58" s="266"/>
      <c r="F58" s="266"/>
      <c r="G58" s="266"/>
      <c r="H58" s="22"/>
      <c r="I58" s="363" t="str">
        <f>IFERROR(IF((VLOOKUP(B58,cennik!A:L,12,0))="O",texty!A250,""),"")</f>
        <v/>
      </c>
      <c r="J58" s="334"/>
      <c r="K58" s="174"/>
      <c r="L58" s="22"/>
    </row>
    <row r="59" spans="1:12" ht="12.75" customHeight="1" x14ac:dyDescent="0.25">
      <c r="A59" s="345" t="str">
        <f>texty!A12</f>
        <v>(w przypadku kombinacji z profilami H należy dodać odpowiednią długość - uszczelka musi być na całym obwodzie każdego szkła)</v>
      </c>
      <c r="B59" s="346"/>
      <c r="C59" s="347"/>
      <c r="D59" s="346"/>
      <c r="E59" s="336"/>
      <c r="F59" s="336"/>
      <c r="G59" s="336"/>
      <c r="H59" s="22"/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/>
      <c r="L59" s="22"/>
    </row>
    <row r="60" spans="1:12" ht="12.75" customHeight="1" x14ac:dyDescent="0.25">
      <c r="A60" s="320" t="str">
        <f>System10!A59</f>
        <v>uszczelka na szkło 4mm</v>
      </c>
      <c r="B60" s="15">
        <v>89238</v>
      </c>
      <c r="C60" s="23" t="str">
        <f>+VLOOKUP(B60,cennik!A:G,2,FALSE)</f>
        <v>SEVROLL uszczelka do szkła 10/4 mm</v>
      </c>
      <c r="D60" s="355"/>
      <c r="E60" s="86">
        <f>+VLOOKUP(B60,cennik!A:G,3,FALSE)</f>
        <v>2.7501000000000002</v>
      </c>
      <c r="F60" s="91">
        <f>+CEILING(D60,1)*E60</f>
        <v>0</v>
      </c>
      <c r="G60" s="87">
        <f>+F60*(100-G26)/100</f>
        <v>0</v>
      </c>
      <c r="H60" s="22" t="str">
        <f>cennik!B2</f>
        <v>zł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texty!A103</f>
        <v>uszczelka na szkło 4,5mm</v>
      </c>
      <c r="B61" s="15">
        <v>135164</v>
      </c>
      <c r="C61" s="23" t="str">
        <f>+VLOOKUP(B61,cennik!A:G,2,FALSE)</f>
        <v>SEVROLL uszczelka bezbarwna 10/4,5mm</v>
      </c>
      <c r="D61" s="355"/>
      <c r="E61" s="86">
        <f>+VLOOKUP(B61,cennik!A:G,3,FALSE)</f>
        <v>2.7501000000000002</v>
      </c>
      <c r="F61" s="91">
        <f>+CEILING(D61,1)*E61</f>
        <v>0</v>
      </c>
      <c r="G61" s="87">
        <f>+F61*(100-G26)/100</f>
        <v>0</v>
      </c>
      <c r="H61" s="22" t="str">
        <f>cennik!B2</f>
        <v>zł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1"/>
    </row>
    <row r="62" spans="1:12" ht="12.75" customHeight="1" x14ac:dyDescent="0.25">
      <c r="A62" s="320" t="str">
        <f>System10!A61</f>
        <v>uszczelka na szkło 6mm</v>
      </c>
      <c r="B62" s="15">
        <v>89243</v>
      </c>
      <c r="C62" s="23" t="str">
        <f>+VLOOKUP(B62,cennik!A:G,2,FALSE)</f>
        <v>SEVROLL uszczelka bezbarwna 10/6mm</v>
      </c>
      <c r="D62" s="355"/>
      <c r="E62" s="86">
        <f>+VLOOKUP(B62,cennik!A:G,3,FALSE)</f>
        <v>2.7501000000000002</v>
      </c>
      <c r="F62" s="91">
        <f>+CEILING(D62,1)*E62</f>
        <v>0</v>
      </c>
      <c r="G62" s="87">
        <f>+F62*(100-G26)/100</f>
        <v>0</v>
      </c>
      <c r="H62" s="22" t="str">
        <f>cennik!B2</f>
        <v>zł</v>
      </c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5" x14ac:dyDescent="0.25">
      <c r="A63" s="209" t="str">
        <f>texty!A190</f>
        <v xml:space="preserve">tutaj można znaleźć inne akcesoria </v>
      </c>
      <c r="E63" s="266"/>
      <c r="F63" s="266"/>
      <c r="G63" s="266"/>
      <c r="H63" s="22"/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</row>
    <row r="64" spans="1:12" ht="12.75" customHeight="1" x14ac:dyDescent="0.25">
      <c r="A64" s="209" t="str">
        <f>texty!A244</f>
        <v>rysunek techniczny tego systemu</v>
      </c>
      <c r="B64" s="471">
        <v>129677</v>
      </c>
      <c r="C64" s="348" t="str">
        <f>VLOOKUP(B64,cennik!A:C,2,0)</f>
        <v>SEVROLL element montażowy do płyty laminowanej 10mm mały</v>
      </c>
      <c r="D64" s="355"/>
      <c r="E64" s="86">
        <f>+VLOOKUP(B64,cennik!A:G,3,FALSE)</f>
        <v>51.590769999999999</v>
      </c>
      <c r="F64" s="91">
        <f>+CEILING(D64,1)*E64</f>
        <v>0</v>
      </c>
      <c r="G64" s="87">
        <f>+F64</f>
        <v>0</v>
      </c>
      <c r="H64" s="22" t="str">
        <f>cennik!B2</f>
        <v>zł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</row>
    <row r="65" spans="1:14" ht="12.75" customHeight="1" x14ac:dyDescent="0.25">
      <c r="B65" s="471">
        <v>128842</v>
      </c>
      <c r="C65" s="348" t="str">
        <f>VLOOKUP(B65,cennik!A:C,2,0)</f>
        <v>SEVROLL wiertło stopniowe 6,5/9,5mm</v>
      </c>
      <c r="D65" s="355"/>
      <c r="E65" s="86">
        <f>+VLOOKUP(B65,cennik!A:G,3,FALSE)</f>
        <v>116.85122</v>
      </c>
      <c r="F65" s="91">
        <f>+CEILING(D65,1)*E65</f>
        <v>0</v>
      </c>
      <c r="G65" s="87">
        <f>+F65</f>
        <v>0</v>
      </c>
      <c r="H65" s="22" t="str">
        <f>cennik!B2</f>
        <v>zł</v>
      </c>
      <c r="I65" s="363" t="str">
        <f>IFERROR(IF((VLOOKUP(B65,cennik!A:L,12,0))="O",texty!A250,""),"")</f>
        <v/>
      </c>
      <c r="J65" s="334" t="str">
        <f>IF(D65&gt;0,IF(VLOOKUP(B65,cennik!A:L,12,FALSE)="O",1,""),"")</f>
        <v/>
      </c>
      <c r="K65" s="174" t="str">
        <f>IF(D65&gt;0,IF(VLOOKUP(B65,cennik!A:L,12,FALSE)="O",1,""),"")</f>
        <v/>
      </c>
    </row>
    <row r="66" spans="1:14" ht="12.75" customHeight="1" x14ac:dyDescent="0.25">
      <c r="A66" s="685" t="str">
        <f>IF(SUM(D49:D50)&gt;0,IF(C7&lt;(B4/3),texty!A212,""),"")</f>
        <v/>
      </c>
      <c r="B66" s="685"/>
      <c r="C66" s="685"/>
      <c r="D66" s="685"/>
      <c r="E66" s="685"/>
      <c r="F66" s="685"/>
      <c r="G66" s="685"/>
      <c r="H66" s="685"/>
      <c r="I66" s="685"/>
      <c r="J66" s="349"/>
      <c r="K66" s="363">
        <v>66</v>
      </c>
      <c r="L66" s="19" t="str">
        <f>texty!A128</f>
        <v>srebrny</v>
      </c>
      <c r="M66" s="19" t="s">
        <v>968</v>
      </c>
    </row>
    <row r="67" spans="1:14" ht="12.75" customHeight="1" x14ac:dyDescent="0.25">
      <c r="B67" s="15"/>
      <c r="C67" s="15"/>
      <c r="D67" s="350" t="str">
        <f>texty!A15</f>
        <v>w sumie (bez VAT)</v>
      </c>
      <c r="E67" s="336"/>
      <c r="F67" s="96" t="e">
        <f>SUM(F28:F65)</f>
        <v>#N/A</v>
      </c>
      <c r="G67" s="96" t="e">
        <f>SUM(G28:G65)</f>
        <v>#N/A</v>
      </c>
      <c r="H67" s="22" t="str">
        <f>cennik!B2</f>
        <v>zł</v>
      </c>
      <c r="L67" s="19" t="str">
        <f>texty!A130</f>
        <v>j.brąz</v>
      </c>
      <c r="M67" s="19" t="s">
        <v>42</v>
      </c>
    </row>
    <row r="68" spans="1:14" ht="12.75" customHeight="1" x14ac:dyDescent="0.25">
      <c r="A68" s="337" t="str">
        <f>System10!A67</f>
        <v>Uwagi</v>
      </c>
      <c r="B68" s="690"/>
      <c r="C68" s="691"/>
      <c r="D68" s="691"/>
      <c r="E68" s="691"/>
      <c r="F68" s="691"/>
      <c r="G68" s="692"/>
      <c r="H68" s="22"/>
    </row>
    <row r="69" spans="1:14" ht="12.75" customHeight="1" x14ac:dyDescent="0.25">
      <c r="A69" s="689" t="str">
        <f>profil!U15</f>
        <v/>
      </c>
      <c r="B69" s="679"/>
      <c r="C69" s="679"/>
      <c r="D69" s="679"/>
      <c r="E69" s="679"/>
      <c r="F69" s="679"/>
      <c r="G69" s="679"/>
      <c r="H69" s="679"/>
      <c r="L69" s="22"/>
    </row>
    <row r="70" spans="1:14" ht="12.75" customHeight="1" x14ac:dyDescent="0.25">
      <c r="A70" s="680" t="str">
        <f>IF(N70=1,texty!A215,IF(K70&gt;0,texty!A214,""))</f>
        <v>niektóre elementy nie są produkowane w wybranej długości</v>
      </c>
      <c r="B70" s="680"/>
      <c r="C70" s="680"/>
      <c r="D70" s="680"/>
      <c r="E70" s="680"/>
      <c r="F70" s="680"/>
      <c r="G70" s="680"/>
      <c r="H70" s="680"/>
      <c r="K70" s="22" t="e">
        <f>SUM(K28:K65)</f>
        <v>#N/A</v>
      </c>
      <c r="N70" s="19">
        <f>IF(ISERROR(K70),1,0)</f>
        <v>1</v>
      </c>
    </row>
  </sheetData>
  <sheetProtection algorithmName="SHA-512" hashValue="bFP6G0YZ1xvwfeMy7+PwvzPCkc665+/gTQTs7xjH/jlgzCpCbdNhztuCGiaPl+wqbRt7aA3IE/hIQwUVqHYMVw==" saltValue="07j0L4vu9ZfRBlv+ytPjUQ==" spinCount="100000" sheet="1" objects="1" scenarios="1"/>
  <mergeCells count="12">
    <mergeCell ref="A70:H70"/>
    <mergeCell ref="U6:U7"/>
    <mergeCell ref="A69:H69"/>
    <mergeCell ref="R6:R7"/>
    <mergeCell ref="S6:S7"/>
    <mergeCell ref="T6:T7"/>
    <mergeCell ref="I21:I22"/>
    <mergeCell ref="A66:I66"/>
    <mergeCell ref="B68:G68"/>
    <mergeCell ref="G4:I6"/>
    <mergeCell ref="B5:F5"/>
    <mergeCell ref="A14:B15"/>
  </mergeCells>
  <conditionalFormatting sqref="A14">
    <cfRule type="expression" dxfId="325" priority="4">
      <formula>SUM($D$47:$D$48)&gt;0</formula>
    </cfRule>
  </conditionalFormatting>
  <conditionalFormatting sqref="D6">
    <cfRule type="expression" dxfId="323" priority="8">
      <formula>$D$4=4</formula>
    </cfRule>
    <cfRule type="expression" dxfId="322" priority="9">
      <formula>$D$4&lt;&gt;4</formula>
    </cfRule>
  </conditionalFormatting>
  <conditionalFormatting sqref="D53">
    <cfRule type="expression" dxfId="321" priority="1">
      <formula>IF(D52&gt;0,IF(D53=0,1,0),0)</formula>
    </cfRule>
  </conditionalFormatting>
  <conditionalFormatting sqref="G4">
    <cfRule type="expression" dxfId="320" priority="7">
      <formula>$D$4=4</formula>
    </cfRule>
  </conditionalFormatting>
  <conditionalFormatting sqref="I20">
    <cfRule type="expression" dxfId="319" priority="20">
      <formula>$F$4=$M$67</formula>
    </cfRule>
  </conditionalFormatting>
  <conditionalFormatting sqref="I21:I22">
    <cfRule type="expression" dxfId="318" priority="28">
      <formula>$F$4=$M$66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00000000-0002-0000-0800-000004000000}">
      <formula1>0</formula1>
      <formula2>3040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IF(E4=L68,M66,M66:M67)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256178-139C-4674-9545-DFC118CDB944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FF0000"/>
  </sheetPr>
  <dimension ref="A1:Z900"/>
  <sheetViews>
    <sheetView topLeftCell="A471" zoomScale="85" zoomScaleNormal="85" workbookViewId="0">
      <selection activeCell="D493" sqref="D493"/>
    </sheetView>
  </sheetViews>
  <sheetFormatPr defaultColWidth="9.109375" defaultRowHeight="15" customHeight="1" x14ac:dyDescent="0.3"/>
  <cols>
    <col min="1" max="1" width="8.6640625" style="1" customWidth="1"/>
    <col min="2" max="2" width="24.44140625" style="1" customWidth="1"/>
    <col min="3" max="3" width="39" style="1" bestFit="1" customWidth="1"/>
    <col min="4" max="4" width="11.44140625" style="2" customWidth="1"/>
    <col min="5" max="5" width="54.44140625" style="1" customWidth="1"/>
    <col min="6" max="6" width="49.6640625" style="1" customWidth="1"/>
    <col min="7" max="7" width="45.6640625" style="1" hidden="1" customWidth="1"/>
    <col min="8" max="8" width="9.109375" style="1"/>
    <col min="9" max="9" width="39" style="1" bestFit="1" customWidth="1"/>
    <col min="10" max="10" width="29.109375" style="1" customWidth="1"/>
    <col min="11" max="11" width="22.44140625" style="1" bestFit="1" customWidth="1"/>
    <col min="12" max="12" width="16.44140625" style="1" bestFit="1" customWidth="1"/>
    <col min="13" max="13" width="17.44140625" style="1" bestFit="1" customWidth="1"/>
    <col min="14" max="14" width="15.44140625" style="1" bestFit="1" customWidth="1"/>
    <col min="15" max="25" width="9.109375" style="1"/>
    <col min="26" max="26" width="9.6640625" style="1" bestFit="1" customWidth="1"/>
    <col min="27" max="16384" width="9.109375" style="1"/>
  </cols>
  <sheetData>
    <row r="1" spans="1:26" ht="15" customHeight="1" x14ac:dyDescent="0.3">
      <c r="J1" s="83">
        <f>cennik!A2</f>
        <v>3</v>
      </c>
      <c r="K1" t="s">
        <v>101</v>
      </c>
      <c r="T1" s="130" t="s">
        <v>3543</v>
      </c>
      <c r="U1" t="s">
        <v>3544</v>
      </c>
      <c r="Z1" s="1" t="b">
        <f>A1=D1</f>
        <v>1</v>
      </c>
    </row>
    <row r="2" spans="1:26" ht="15" customHeight="1" x14ac:dyDescent="0.3">
      <c r="A2" s="48"/>
      <c r="B2" s="48" t="s">
        <v>18</v>
      </c>
      <c r="D2" s="49" t="s">
        <v>19</v>
      </c>
      <c r="E2" s="48" t="s">
        <v>0</v>
      </c>
      <c r="F2" s="48" t="s">
        <v>1</v>
      </c>
      <c r="G2" s="1" t="s">
        <v>2</v>
      </c>
      <c r="H2" s="1" t="s">
        <v>463</v>
      </c>
      <c r="O2" s="1" t="s">
        <v>10479</v>
      </c>
      <c r="T2" s="130">
        <v>238030</v>
      </c>
      <c r="U2">
        <v>489291</v>
      </c>
      <c r="Z2" s="1" t="b">
        <f t="shared" ref="Z2:Z65" si="0">A2=D2</f>
        <v>0</v>
      </c>
    </row>
    <row r="3" spans="1:26" ht="15" customHeight="1" x14ac:dyDescent="0.3">
      <c r="B3" s="143" t="s">
        <v>972</v>
      </c>
      <c r="K3" s="1" t="s">
        <v>469</v>
      </c>
      <c r="L3" s="1" t="s">
        <v>470</v>
      </c>
      <c r="M3" s="1" t="s">
        <v>471</v>
      </c>
      <c r="N3" s="1" t="s">
        <v>472</v>
      </c>
      <c r="O3" s="1" t="s">
        <v>8786</v>
      </c>
      <c r="P3" s="1" t="s">
        <v>8787</v>
      </c>
      <c r="Q3" s="1" t="s">
        <v>8788</v>
      </c>
      <c r="T3" s="130">
        <v>188680</v>
      </c>
      <c r="U3">
        <v>489290</v>
      </c>
      <c r="Z3" s="1" t="b">
        <f t="shared" si="0"/>
        <v>1</v>
      </c>
    </row>
    <row r="4" spans="1:26" ht="15" customHeight="1" x14ac:dyDescent="0.3">
      <c r="A4" s="49">
        <v>84385</v>
      </c>
      <c r="B4" s="48"/>
      <c r="C4" s="1" t="str">
        <f>CONCATENATE(H4,"-",J4,", ",J19)</f>
        <v>1700-srebrny, Elegant II</v>
      </c>
      <c r="D4" s="49">
        <v>84385</v>
      </c>
      <c r="E4" s="48" t="str">
        <f>+VLOOKUP(A4,cennik!A:G,2,FALSE)</f>
        <v>SEVROLL Elegant II tor dolny 1,7m srebrny</v>
      </c>
      <c r="F4" s="48" t="str">
        <f>+VLOOKUP(A4,cennik!A:B,2,FALSE)</f>
        <v>SEVROLL Elegant II tor dolny 1,7m srebrny</v>
      </c>
      <c r="G4" s="1" t="e">
        <f>+VLOOKUP(A4,#REF!,4,FALSE)</f>
        <v>#REF!</v>
      </c>
      <c r="H4" s="1" t="s">
        <v>464</v>
      </c>
      <c r="I4" s="1" t="str">
        <f>CONCATENATE(H4,"-",J4,", ",J19)</f>
        <v>1700-srebrny, Elegant II</v>
      </c>
      <c r="J4" s="1" t="str">
        <f>IF($J$1=1,K4,IF($J$1=2,N4,IF($J$1=3,M4,IF($J$1=4,L4,IF($J$1=5,O4,IF($J$1=6,P4,IF($J$1=7,Q4,"zadat jazyk")))))))</f>
        <v>srebrny</v>
      </c>
      <c r="K4" s="1" t="s">
        <v>95</v>
      </c>
      <c r="L4" s="1" t="s">
        <v>201</v>
      </c>
      <c r="M4" s="1" t="s">
        <v>455</v>
      </c>
      <c r="N4" s="1" t="str">
        <f>texty!D128</f>
        <v xml:space="preserve">strieborná </v>
      </c>
      <c r="O4" s="1" t="s">
        <v>10480</v>
      </c>
      <c r="P4" s="1" t="s">
        <v>10481</v>
      </c>
      <c r="Q4" s="1" t="s">
        <v>10516</v>
      </c>
      <c r="T4" s="130">
        <v>284592</v>
      </c>
      <c r="U4">
        <v>489293</v>
      </c>
      <c r="Z4" s="1" t="b">
        <f t="shared" si="0"/>
        <v>1</v>
      </c>
    </row>
    <row r="5" spans="1:26" ht="15" customHeight="1" x14ac:dyDescent="0.3">
      <c r="A5" s="49">
        <v>84388</v>
      </c>
      <c r="B5" s="48"/>
      <c r="C5" s="1" t="str">
        <f>CONCATENATE(H5,"-",J4,", ",J19)</f>
        <v>2350-srebrny, Elegant II</v>
      </c>
      <c r="D5" s="49">
        <v>84388</v>
      </c>
      <c r="E5" s="48" t="str">
        <f>+VLOOKUP(A5,cennik!A:G,2,FALSE)</f>
        <v>SEVROLL Elegant II tor dolny 2,35m srebrny</v>
      </c>
      <c r="F5" s="48" t="str">
        <f>+VLOOKUP(A5,cennik!A:B,2,FALSE)</f>
        <v>SEVROLL Elegant II tor dolny 2,35m srebrny</v>
      </c>
      <c r="G5" s="1" t="e">
        <f>+VLOOKUP(A5,#REF!,4,FALSE)</f>
        <v>#REF!</v>
      </c>
      <c r="H5" s="1" t="s">
        <v>465</v>
      </c>
      <c r="I5" s="1" t="str">
        <f>CONCATENATE(H5,"-",J4,", ",J19)</f>
        <v>2350-srebrny, Elegant II</v>
      </c>
      <c r="J5" s="1" t="str">
        <f>IF($J$1=1,K5,IF($J$1=2,N5,IF($J$1=3,M5,IF($J$1=4,L5,IF($J$1=5,O5,IF($J$1=6,P5,IF($J$1=7,Q5,"zadat jazyk")))))))</f>
        <v>złoty/mosiądz</v>
      </c>
      <c r="K5" s="1" t="s">
        <v>11400</v>
      </c>
      <c r="L5" s="1" t="s">
        <v>11401</v>
      </c>
      <c r="M5" s="1" t="s">
        <v>11402</v>
      </c>
      <c r="N5" s="1" t="s">
        <v>11403</v>
      </c>
      <c r="O5" s="1" t="s">
        <v>11404</v>
      </c>
      <c r="P5" s="1" t="s">
        <v>11405</v>
      </c>
      <c r="Q5" s="1" t="s">
        <v>11406</v>
      </c>
      <c r="T5" s="130">
        <v>284539</v>
      </c>
      <c r="U5">
        <v>489292</v>
      </c>
      <c r="Z5" s="1" t="b">
        <f t="shared" si="0"/>
        <v>1</v>
      </c>
    </row>
    <row r="6" spans="1:26" ht="15" customHeight="1" x14ac:dyDescent="0.3">
      <c r="A6" s="49">
        <v>84391</v>
      </c>
      <c r="B6" s="48"/>
      <c r="C6" s="1" t="str">
        <f>CONCATENATE(H6,"-",J4,", ",J19)</f>
        <v>3000-srebrny, Elegant II</v>
      </c>
      <c r="D6" s="49">
        <v>84391</v>
      </c>
      <c r="E6" s="48" t="str">
        <f>+VLOOKUP(A6,cennik!A:G,2,FALSE)</f>
        <v>SEVROLL Elegant II tor dolny 3m srebrny</v>
      </c>
      <c r="F6" s="48" t="str">
        <f>+VLOOKUP(A6,cennik!A:B,2,FALSE)</f>
        <v>SEVROLL Elegant II tor dolny 3m srebrny</v>
      </c>
      <c r="G6" s="1" t="e">
        <f>+VLOOKUP(A6,#REF!,4,FALSE)</f>
        <v>#REF!</v>
      </c>
      <c r="H6" s="1" t="s">
        <v>466</v>
      </c>
      <c r="I6" s="1" t="str">
        <f>CONCATENATE(H6,"-",J4,", ",J19)</f>
        <v>3000-srebrny, Elegant II</v>
      </c>
      <c r="J6" s="1" t="str">
        <f t="shared" ref="J6:J9" si="1">IF($J$1=1,K6,IF($J$1=2,N6,IF($J$1=3,M6,IF($J$1=4,L6,IF($J$1=5,O6,IF($J$1=6,P6,IF($J$1=7,Q6,"zadat jazyk")))))))</f>
        <v>j.brąz</v>
      </c>
      <c r="K6" s="1" t="s">
        <v>203</v>
      </c>
      <c r="L6" s="1" t="s">
        <v>203</v>
      </c>
      <c r="M6" s="1" t="s">
        <v>457</v>
      </c>
      <c r="N6" s="1" t="s">
        <v>203</v>
      </c>
      <c r="O6" s="1" t="s">
        <v>10486</v>
      </c>
      <c r="P6" s="1" t="s">
        <v>10487</v>
      </c>
      <c r="Q6" s="1" t="s">
        <v>10487</v>
      </c>
      <c r="T6" s="130">
        <v>393279</v>
      </c>
      <c r="U6">
        <v>496946</v>
      </c>
      <c r="Z6" s="1" t="b">
        <f t="shared" si="0"/>
        <v>1</v>
      </c>
    </row>
    <row r="7" spans="1:26" ht="15" customHeight="1" x14ac:dyDescent="0.3">
      <c r="A7" s="49">
        <v>84394</v>
      </c>
      <c r="B7" s="48"/>
      <c r="C7" s="1" t="str">
        <f>CONCATENATE(H7,"-",J4,", ",J19)</f>
        <v>4050-srebrny, Elegant II</v>
      </c>
      <c r="D7" s="49">
        <v>84394</v>
      </c>
      <c r="E7" s="48" t="str">
        <f>+VLOOKUP(A7,cennik!A:G,2,FALSE)</f>
        <v>SEVROLL Elegant II tor dolny 4,05m srebrny</v>
      </c>
      <c r="F7" s="48" t="str">
        <f>+VLOOKUP(A7,cennik!A:B,2,FALSE)</f>
        <v>SEVROLL Elegant II tor dolny 4,05m srebrny</v>
      </c>
      <c r="G7" s="1" t="e">
        <f>+VLOOKUP(A7,#REF!,4,FALSE)</f>
        <v>#REF!</v>
      </c>
      <c r="H7" s="1" t="s">
        <v>467</v>
      </c>
      <c r="I7" s="1" t="str">
        <f>CONCATENATE(H7,"-",J4,", ",J19)</f>
        <v>4050-srebrny, Elegant II</v>
      </c>
      <c r="J7" s="1" t="str">
        <f t="shared" si="1"/>
        <v>j.brąz szczotkowany</v>
      </c>
      <c r="K7" s="1" t="str">
        <f>texty!B131</f>
        <v>oliva kartáčovaná</v>
      </c>
      <c r="L7" t="s">
        <v>193</v>
      </c>
      <c r="M7" s="1" t="s">
        <v>415</v>
      </c>
      <c r="N7" s="1" t="str">
        <f>texty!D131</f>
        <v>oliva kartáčovaná</v>
      </c>
      <c r="O7" s="1" t="s">
        <v>10489</v>
      </c>
      <c r="P7" s="1" t="s">
        <v>10490</v>
      </c>
      <c r="Q7" s="1" t="s">
        <v>10517</v>
      </c>
      <c r="T7" s="130">
        <v>284958</v>
      </c>
      <c r="U7">
        <v>496947</v>
      </c>
      <c r="Z7" s="1" t="b">
        <f t="shared" si="0"/>
        <v>1</v>
      </c>
    </row>
    <row r="8" spans="1:26" ht="15" customHeight="1" x14ac:dyDescent="0.3">
      <c r="A8" s="49">
        <v>350687</v>
      </c>
      <c r="B8" s="48"/>
      <c r="C8" s="1" t="str">
        <f>CONCATENATE(H8,"-",J4,", ",J19)</f>
        <v>6000-srebrny, Elegant II</v>
      </c>
      <c r="D8" s="49">
        <v>350687</v>
      </c>
      <c r="E8" s="48" t="str">
        <f>+VLOOKUP(A8,cennik!A:G,2,FALSE)</f>
        <v>SEVROLL Elegant II tor dolny 6m, srebrny</v>
      </c>
      <c r="F8" s="48" t="str">
        <f>+VLOOKUP(A8,cennik!A:B,2,FALSE)</f>
        <v>SEVROLL Elegant II tor dolny 6m, srebrny</v>
      </c>
      <c r="G8" s="1" t="e">
        <f>+VLOOKUP(A8,#REF!,4,FALSE)</f>
        <v>#REF!</v>
      </c>
      <c r="H8" s="144" t="s">
        <v>536</v>
      </c>
      <c r="I8" s="1" t="str">
        <f>CONCATENATE(H8,"-",J4,", ",J19)</f>
        <v>6000-srebrny, Elegant II</v>
      </c>
      <c r="J8" s="1" t="str">
        <f t="shared" si="1"/>
        <v>szczot.oliwa ciemna</v>
      </c>
      <c r="K8" s="130" t="s">
        <v>602</v>
      </c>
      <c r="L8" s="1" t="str">
        <f>texty!C202</f>
        <v>szálcsi.oliva sö.</v>
      </c>
      <c r="M8" s="1" t="str">
        <f>texty!E202</f>
        <v>szczot.oliwa ciemna</v>
      </c>
      <c r="N8" s="1" t="str">
        <f>texty!D202</f>
        <v>kart. tm. oliva</v>
      </c>
      <c r="O8" s="1" t="s">
        <v>10498</v>
      </c>
      <c r="P8" s="1" t="s">
        <v>10499</v>
      </c>
      <c r="Q8" s="1" t="s">
        <v>10518</v>
      </c>
      <c r="T8" s="130">
        <v>284971</v>
      </c>
      <c r="U8">
        <v>496951</v>
      </c>
      <c r="Z8" s="1" t="b">
        <f t="shared" si="0"/>
        <v>1</v>
      </c>
    </row>
    <row r="9" spans="1:26" ht="15" customHeight="1" x14ac:dyDescent="0.3">
      <c r="A9" s="2">
        <v>542698</v>
      </c>
      <c r="B9" s="48"/>
      <c r="C9" s="1" t="str">
        <f>CONCATENATE(H9,"-",J5,", ",J19)</f>
        <v>1700-złoty/mosiądz, Elegant II</v>
      </c>
      <c r="D9" s="2">
        <v>542698</v>
      </c>
      <c r="E9" s="48" t="str">
        <f>+VLOOKUP(A9,cennik!A:G,2,FALSE)</f>
        <v>SEVROLL 06795 Elegant II tor dolny 1,7m złoty/mosiądz</v>
      </c>
      <c r="F9" s="48" t="str">
        <f>+VLOOKUP(A9,cennik!A:B,2,FALSE)</f>
        <v>SEVROLL 06795 Elegant II tor dolny 1,7m złoty/mosiądz</v>
      </c>
      <c r="G9" s="1" t="e">
        <f>+VLOOKUP(A9,#REF!,4,FALSE)</f>
        <v>#REF!</v>
      </c>
      <c r="H9" s="1" t="s">
        <v>464</v>
      </c>
      <c r="I9" s="1" t="str">
        <f>CONCATENATE(H9,"-",J5,", ",J19)</f>
        <v>1700-złoty/mosiądz, Elegant II</v>
      </c>
      <c r="J9" s="1" t="str">
        <f t="shared" si="1"/>
        <v>szczot.czarna</v>
      </c>
      <c r="K9" s="143" t="s">
        <v>661</v>
      </c>
      <c r="L9" s="1" t="str">
        <f>texty!C201</f>
        <v>szálcsi.fekete</v>
      </c>
      <c r="M9" s="1" t="str">
        <f>texty!E201</f>
        <v>szczot.czarna</v>
      </c>
      <c r="N9" s="1" t="str">
        <f>texty!D201</f>
        <v>kart. čierna</v>
      </c>
      <c r="O9" t="s">
        <v>10501</v>
      </c>
      <c r="P9" s="1" t="s">
        <v>10502</v>
      </c>
      <c r="Q9" s="1" t="s">
        <v>10503</v>
      </c>
      <c r="T9" s="130">
        <v>238032</v>
      </c>
      <c r="U9" t="s">
        <v>3545</v>
      </c>
      <c r="Z9" s="1" t="b">
        <f t="shared" si="0"/>
        <v>1</v>
      </c>
    </row>
    <row r="10" spans="1:26" ht="15" customHeight="1" x14ac:dyDescent="0.3">
      <c r="A10" s="49">
        <v>542700</v>
      </c>
      <c r="B10" s="48"/>
      <c r="C10" s="1" t="str">
        <f>CONCATENATE(H10,"-",J5,", ",J19)</f>
        <v>2350-złoty/mosiądz, Elegant II</v>
      </c>
      <c r="D10" s="49">
        <v>542700</v>
      </c>
      <c r="E10" s="48" t="str">
        <f>+VLOOKUP(A10,cennik!A:G,2,FALSE)</f>
        <v>SEVROLL 06796 Elegant II tor dolny 2,35m złoty/mosiądz</v>
      </c>
      <c r="F10" s="48" t="str">
        <f>+VLOOKUP(A10,cennik!A:B,2,FALSE)</f>
        <v>SEVROLL 06796 Elegant II tor dolny 2,35m złoty/mosiądz</v>
      </c>
      <c r="G10" s="1" t="e">
        <f>+VLOOKUP(A10,#REF!,4,FALSE)</f>
        <v>#REF!</v>
      </c>
      <c r="H10" s="1" t="s">
        <v>465</v>
      </c>
      <c r="I10" s="1" t="str">
        <f>CONCATENATE(H10,"-",J5,", ",J19)</f>
        <v>2350-złoty/mosiądz, Elegant II</v>
      </c>
      <c r="K10" s="1" t="str">
        <f t="shared" ref="K10:Q10" si="2">CONCATENATE(K4,";",K5,";",K6)</f>
        <v>stříbrná;zlatá/mosaz;oliva</v>
      </c>
      <c r="L10" s="1" t="str">
        <f t="shared" si="2"/>
        <v>ezüst;arany/sárgaréz;oliva</v>
      </c>
      <c r="M10" s="1" t="str">
        <f t="shared" si="2"/>
        <v>srebrny;złoty/mosiądz;j.brąz</v>
      </c>
      <c r="N10" s="1" t="str">
        <f t="shared" si="2"/>
        <v>strieborná ;zlatá/mosadz;oliva</v>
      </c>
      <c r="O10" s="1" t="str">
        <f t="shared" si="2"/>
        <v xml:space="preserve">argent;or/laiton;olive </v>
      </c>
      <c r="P10" s="1" t="str">
        <f t="shared" si="2"/>
        <v>silver;golden/brass;olive</v>
      </c>
      <c r="Q10" s="1" t="str">
        <f t="shared" si="2"/>
        <v>silber;gold/messing;olive</v>
      </c>
      <c r="T10" s="130">
        <v>102827</v>
      </c>
      <c r="U10">
        <v>496369</v>
      </c>
      <c r="Z10" s="1" t="b">
        <f t="shared" si="0"/>
        <v>1</v>
      </c>
    </row>
    <row r="11" spans="1:26" ht="15" customHeight="1" x14ac:dyDescent="0.3">
      <c r="A11" s="49">
        <v>542591</v>
      </c>
      <c r="B11" s="48"/>
      <c r="C11" s="1" t="str">
        <f>CONCATENATE(H11,"-",J5,", ",J19)</f>
        <v>3000-złoty/mosiądz, Elegant II</v>
      </c>
      <c r="D11" s="49">
        <v>542591</v>
      </c>
      <c r="E11" s="48" t="str">
        <f>+VLOOKUP(A11,cennik!A:G,2,FALSE)</f>
        <v>SEVROLL 06797 Elegant II tor dolny 3m złoty/mosiądz</v>
      </c>
      <c r="F11" s="48" t="str">
        <f>+VLOOKUP(A11,cennik!A:B,2,FALSE)</f>
        <v>SEVROLL 06797 Elegant II tor dolny 3m złoty/mosiądz</v>
      </c>
      <c r="G11" s="1" t="e">
        <f>+VLOOKUP(A11,#REF!,4,FALSE)</f>
        <v>#REF!</v>
      </c>
      <c r="H11" s="1" t="s">
        <v>466</v>
      </c>
      <c r="I11" s="1" t="str">
        <f>CONCATENATE(H11,"-",J5,", ",J19)</f>
        <v>3000-złoty/mosiądz, Elegant II</v>
      </c>
      <c r="K11" s="1" t="s">
        <v>253</v>
      </c>
      <c r="L11" s="1" t="s">
        <v>254</v>
      </c>
      <c r="T11" s="130">
        <v>102828</v>
      </c>
      <c r="U11">
        <v>496370</v>
      </c>
      <c r="Z11" s="1" t="b">
        <f t="shared" si="0"/>
        <v>1</v>
      </c>
    </row>
    <row r="12" spans="1:26" ht="15" customHeight="1" x14ac:dyDescent="0.3">
      <c r="A12" s="49">
        <v>542576</v>
      </c>
      <c r="B12" s="48"/>
      <c r="C12" s="1" t="str">
        <f>CONCATENATE(H12,"-",J5,", ",J19)</f>
        <v>4050-złoty/mosiądz, Elegant II</v>
      </c>
      <c r="D12" s="49">
        <v>542576</v>
      </c>
      <c r="E12" s="48" t="str">
        <f>+VLOOKUP(A12,cennik!A:G,2,FALSE)</f>
        <v>SEVROLL 06798 Elegant II tor dolny 4,05m złoty/mosiądz</v>
      </c>
      <c r="F12" s="48" t="str">
        <f>+VLOOKUP(A12,cennik!A:B,2,FALSE)</f>
        <v>SEVROLL 06798 Elegant II tor dolny 4,05m złoty/mosiądz</v>
      </c>
      <c r="G12" s="1" t="e">
        <f>+VLOOKUP(A12,#REF!,4,FALSE)</f>
        <v>#REF!</v>
      </c>
      <c r="H12" s="1" t="s">
        <v>467</v>
      </c>
      <c r="I12" s="1" t="str">
        <f>CONCATENATE(H12,"-",J5,", ",J19)</f>
        <v>4050-złoty/mosiądz, Elegant II</v>
      </c>
      <c r="J12" s="143" t="s">
        <v>3524</v>
      </c>
      <c r="T12" s="130">
        <v>102830</v>
      </c>
      <c r="U12">
        <v>496371</v>
      </c>
      <c r="Z12" s="1" t="b">
        <f t="shared" si="0"/>
        <v>1</v>
      </c>
    </row>
    <row r="13" spans="1:26" ht="15" customHeight="1" x14ac:dyDescent="0.3">
      <c r="A13" s="49">
        <v>542688</v>
      </c>
      <c r="B13" s="48"/>
      <c r="C13" s="1" t="str">
        <f>CONCATENATE(H13,"-",J5,", ",J19)</f>
        <v>6000-złoty/mosiądz, Elegant II</v>
      </c>
      <c r="D13" s="49">
        <v>542688</v>
      </c>
      <c r="E13" s="48" t="str">
        <f>+VLOOKUP(A13,cennik!A:G,2,FALSE)</f>
        <v>SEVROLL 06799 Elegant II tor dolny 6m złoty/mosiądz</v>
      </c>
      <c r="F13" s="48" t="str">
        <f>+VLOOKUP(A13,cennik!A:B,2,FALSE)</f>
        <v>SEVROLL 06799 Elegant II tor dolny 6m złoty/mosiądz</v>
      </c>
      <c r="H13" s="1">
        <v>6000</v>
      </c>
      <c r="I13" s="1" t="str">
        <f>CONCATENATE(H13,"-",J5,", ",J19)</f>
        <v>6000-złoty/mosiądz, Elegant II</v>
      </c>
      <c r="J13" s="1" t="str">
        <f t="shared" ref="J13:J18" si="3">IF($J$1=1,K13,IF($J$1=2,N13,IF($J$1=3,M13,IF($J$1=4,L13,IF($J$1=5,O13,IF($J$1=6,P13,IF($J$1=7,Q13,"zadat jazyk")))))))</f>
        <v>szczot.czarna</v>
      </c>
      <c r="K13" s="130" t="s">
        <v>601</v>
      </c>
      <c r="L13" t="s">
        <v>604</v>
      </c>
      <c r="M13" s="136" t="s">
        <v>603</v>
      </c>
      <c r="N13" t="s">
        <v>605</v>
      </c>
      <c r="O13" s="1" t="s">
        <v>10495</v>
      </c>
      <c r="P13" s="1" t="s">
        <v>10496</v>
      </c>
      <c r="Q13" s="1" t="s">
        <v>10497</v>
      </c>
      <c r="T13" s="130">
        <v>102831</v>
      </c>
      <c r="U13" t="s">
        <v>3545</v>
      </c>
      <c r="Z13" s="1" t="b">
        <f t="shared" si="0"/>
        <v>1</v>
      </c>
    </row>
    <row r="14" spans="1:26" ht="15" customHeight="1" x14ac:dyDescent="0.3">
      <c r="A14" s="49">
        <v>318666</v>
      </c>
      <c r="B14" s="48"/>
      <c r="C14" s="1" t="str">
        <f>CONCATENATE(H14,"-",J6,", ",J19)</f>
        <v>1700-j.brąz, Elegant II</v>
      </c>
      <c r="D14" s="49">
        <v>318666</v>
      </c>
      <c r="E14" s="48" t="str">
        <f>+VLOOKUP(A14,cennik!A:G,2,FALSE)</f>
        <v>SEVROLL Elegant II tor dolny 1,7 m, jasny brąz</v>
      </c>
      <c r="F14" s="48" t="str">
        <f>+VLOOKUP(A14,cennik!A:B,2,FALSE)</f>
        <v>SEVROLL Elegant II tor dolny 1,7 m, jasny brąz</v>
      </c>
      <c r="G14" s="1" t="e">
        <f>+VLOOKUP(A14,#REF!,4,FALSE)</f>
        <v>#REF!</v>
      </c>
      <c r="H14" s="1" t="s">
        <v>464</v>
      </c>
      <c r="I14" s="1" t="str">
        <f>CONCATENATE(H14,"-",J6,", ",J19)</f>
        <v>1700-j.brąz, Elegant II</v>
      </c>
      <c r="J14" s="1" t="str">
        <f t="shared" si="3"/>
        <v>szczot.oliwa ciemna</v>
      </c>
      <c r="K14" s="130" t="s">
        <v>602</v>
      </c>
      <c r="L14" t="s">
        <v>608</v>
      </c>
      <c r="M14" s="136" t="s">
        <v>607</v>
      </c>
      <c r="N14" t="s">
        <v>606</v>
      </c>
      <c r="O14" t="s">
        <v>10498</v>
      </c>
      <c r="P14" s="1" t="s">
        <v>10499</v>
      </c>
      <c r="Q14" s="1" t="s">
        <v>10500</v>
      </c>
      <c r="T14" s="130">
        <v>180420</v>
      </c>
      <c r="U14" t="s">
        <v>3545</v>
      </c>
      <c r="Z14" s="1" t="b">
        <f t="shared" si="0"/>
        <v>1</v>
      </c>
    </row>
    <row r="15" spans="1:26" ht="15" customHeight="1" x14ac:dyDescent="0.3">
      <c r="A15" s="49">
        <v>84387</v>
      </c>
      <c r="B15" s="48"/>
      <c r="C15" s="1" t="str">
        <f>CONCATENATE(H15,"-",J6,", ",J19)</f>
        <v>2350-j.brąz, Elegant II</v>
      </c>
      <c r="D15" s="49">
        <v>84387</v>
      </c>
      <c r="E15" s="48" t="str">
        <f>+VLOOKUP(A15,cennik!A:G,2,FALSE)</f>
        <v>SEVROLL Elegant II tor dolny 2,35m jasny brąz</v>
      </c>
      <c r="F15" s="48" t="str">
        <f>+VLOOKUP(A15,cennik!A:B,2,FALSE)</f>
        <v>SEVROLL Elegant II tor dolny 2,35m jasny brąz</v>
      </c>
      <c r="G15" s="1" t="e">
        <f>+VLOOKUP(A15,#REF!,4,FALSE)</f>
        <v>#REF!</v>
      </c>
      <c r="H15" s="1" t="s">
        <v>465</v>
      </c>
      <c r="I15" s="1" t="str">
        <f>CONCATENATE(H15,"-",J6,", ",J19)</f>
        <v>2350-j.brąz, Elegant II</v>
      </c>
      <c r="J15" s="1" t="str">
        <f t="shared" si="3"/>
        <v> biały połysk</v>
      </c>
      <c r="K15" s="130" t="s">
        <v>946</v>
      </c>
      <c r="L15" t="s">
        <v>943</v>
      </c>
      <c r="M15" s="136" t="s">
        <v>945</v>
      </c>
      <c r="N15" t="s">
        <v>944</v>
      </c>
      <c r="O15" s="1" t="s">
        <v>10492</v>
      </c>
      <c r="P15" s="1" t="s">
        <v>10493</v>
      </c>
      <c r="Q15" s="1" t="s">
        <v>10519</v>
      </c>
      <c r="T15" s="130">
        <v>393278</v>
      </c>
      <c r="U15">
        <v>496970</v>
      </c>
      <c r="Z15" s="1" t="b">
        <f t="shared" si="0"/>
        <v>1</v>
      </c>
    </row>
    <row r="16" spans="1:26" ht="15" customHeight="1" x14ac:dyDescent="0.3">
      <c r="A16" s="49">
        <v>84390</v>
      </c>
      <c r="B16" s="48"/>
      <c r="C16" s="1" t="str">
        <f>CONCATENATE(H16,"-",J6,", ",J19)</f>
        <v>3000-j.brąz, Elegant II</v>
      </c>
      <c r="D16" s="49">
        <v>84390</v>
      </c>
      <c r="E16" s="48" t="str">
        <f>+VLOOKUP(A16,cennik!A:G,2,FALSE)</f>
        <v>SEVROLL Elegant II tor dolny 3m jasny brąz</v>
      </c>
      <c r="F16" s="48" t="str">
        <f>+VLOOKUP(A16,cennik!A:B,2,FALSE)</f>
        <v>SEVROLL Elegant II tor dolny 3m jasny brąz</v>
      </c>
      <c r="G16" s="1" t="e">
        <f>+VLOOKUP(A16,#REF!,4,FALSE)</f>
        <v>#REF!</v>
      </c>
      <c r="H16" s="1" t="s">
        <v>466</v>
      </c>
      <c r="I16" s="1" t="str">
        <f>CONCATENATE(H16,"-",J6,", ",J19)</f>
        <v>3000-j.brąz, Elegant II</v>
      </c>
      <c r="J16" s="1" t="str">
        <f t="shared" si="3"/>
        <v>czarny połysk</v>
      </c>
      <c r="K16" s="130" t="s">
        <v>1267</v>
      </c>
      <c r="L16" t="s">
        <v>1717</v>
      </c>
      <c r="M16" s="136" t="s">
        <v>1718</v>
      </c>
      <c r="N16" s="1" t="s">
        <v>1719</v>
      </c>
      <c r="O16" s="1" t="s">
        <v>10504</v>
      </c>
      <c r="P16" s="1" t="s">
        <v>10505</v>
      </c>
      <c r="Q16" s="1" t="s">
        <v>10506</v>
      </c>
      <c r="T16" s="130">
        <v>284957</v>
      </c>
      <c r="U16">
        <v>496971</v>
      </c>
      <c r="Z16" s="1" t="b">
        <f t="shared" si="0"/>
        <v>1</v>
      </c>
    </row>
    <row r="17" spans="1:26" ht="15" customHeight="1" x14ac:dyDescent="0.3">
      <c r="A17" s="49">
        <v>84393</v>
      </c>
      <c r="B17" s="48"/>
      <c r="C17" s="1" t="str">
        <f>CONCATENATE(H17,"-",J6,", ",J19)</f>
        <v>4050-j.brąz, Elegant II</v>
      </c>
      <c r="D17" s="49">
        <v>84393</v>
      </c>
      <c r="E17" s="48" t="str">
        <f>+VLOOKUP(A17,cennik!A:G,2,FALSE)</f>
        <v>SEVROLL Elegant II tor dolny 4,05m jasny brąz</v>
      </c>
      <c r="F17" s="48" t="str">
        <f>+VLOOKUP(A17,cennik!A:B,2,FALSE)</f>
        <v>SEVROLL Elegant II tor dolny 4,05m jasny brąz</v>
      </c>
      <c r="G17" s="1" t="e">
        <f>+VLOOKUP(A17,#REF!,4,FALSE)</f>
        <v>#REF!</v>
      </c>
      <c r="H17" s="1" t="s">
        <v>467</v>
      </c>
      <c r="I17" s="1" t="str">
        <f>CONCATENATE(H17,"-",J6,", ",J19)</f>
        <v>4050-j.brąz, Elegant II</v>
      </c>
      <c r="J17" s="1" t="str">
        <f t="shared" si="3"/>
        <v> czarny mat</v>
      </c>
      <c r="K17" s="130" t="s">
        <v>1268</v>
      </c>
      <c r="L17" t="s">
        <v>1720</v>
      </c>
      <c r="M17" s="136" t="s">
        <v>1721</v>
      </c>
      <c r="N17" s="1" t="s">
        <v>1722</v>
      </c>
      <c r="O17" s="1" t="s">
        <v>10507</v>
      </c>
      <c r="P17" s="1" t="s">
        <v>10508</v>
      </c>
      <c r="Q17" s="1" t="s">
        <v>10509</v>
      </c>
      <c r="T17" s="130">
        <v>284970</v>
      </c>
      <c r="U17">
        <v>496972</v>
      </c>
      <c r="Z17" s="1" t="b">
        <f t="shared" si="0"/>
        <v>1</v>
      </c>
    </row>
    <row r="18" spans="1:26" ht="15" customHeight="1" x14ac:dyDescent="0.3">
      <c r="A18" s="49">
        <v>350688</v>
      </c>
      <c r="B18" s="48"/>
      <c r="C18" s="1" t="str">
        <f>CONCATENATE(H18,"-",J6,", ",J19)</f>
        <v>6000-j.brąz, Elegant II</v>
      </c>
      <c r="D18" s="49">
        <v>350688</v>
      </c>
      <c r="E18" s="48" t="str">
        <f>+VLOOKUP(A18,cennik!A:G,2,FALSE)</f>
        <v>SEVROLL Elegant II tor dolny 6m, jasny brąz</v>
      </c>
      <c r="F18" s="48" t="str">
        <f>+VLOOKUP(A18,cennik!A:B,2,FALSE)</f>
        <v>SEVROLL Elegant II tor dolny 6m, jasny brąz</v>
      </c>
      <c r="H18" s="1">
        <v>6000</v>
      </c>
      <c r="I18" s="1" t="str">
        <f>CONCATENATE(H18,"-",J6,", ",J19)</f>
        <v>6000-j.brąz, Elegant II</v>
      </c>
      <c r="J18" s="1" t="str">
        <f t="shared" si="3"/>
        <v>biały mat</v>
      </c>
      <c r="K18" s="143" t="s">
        <v>1716</v>
      </c>
      <c r="L18" t="s">
        <v>1723</v>
      </c>
      <c r="M18" s="136" t="s">
        <v>1724</v>
      </c>
      <c r="N18" s="143" t="s">
        <v>1725</v>
      </c>
      <c r="O18" t="s">
        <v>10510</v>
      </c>
      <c r="P18" s="1" t="s">
        <v>10511</v>
      </c>
      <c r="Q18" s="1" t="s">
        <v>10512</v>
      </c>
      <c r="T18" s="130">
        <v>238031</v>
      </c>
      <c r="U18" t="s">
        <v>3545</v>
      </c>
      <c r="Z18" s="1" t="b">
        <f t="shared" si="0"/>
        <v>1</v>
      </c>
    </row>
    <row r="19" spans="1:26" ht="15" customHeight="1" x14ac:dyDescent="0.3">
      <c r="A19" s="49">
        <v>276744</v>
      </c>
      <c r="B19" s="48"/>
      <c r="C19" s="1" t="str">
        <f>CONCATENATE(H19,"-",J15,", ",J19)</f>
        <v>1700- biały połysk, Elegant II</v>
      </c>
      <c r="D19" s="49">
        <v>276744</v>
      </c>
      <c r="E19" s="48" t="str">
        <f>+VLOOKUP(A19,cennik!A:G,2,FALSE)</f>
        <v>SEVROLL Elegant II tor dolny 1,7 m, biały połysk</v>
      </c>
      <c r="F19" s="48" t="str">
        <f>+VLOOKUP(A19,cennik!A:B,2,FALSE)</f>
        <v>SEVROLL Elegant II tor dolny 1,7 m, biały połysk</v>
      </c>
      <c r="H19" s="1">
        <v>1700</v>
      </c>
      <c r="I19" s="1" t="str">
        <f>CONCATENATE(H19,"-",J15,", ",J19)</f>
        <v>1700- biały połysk, Elegant II</v>
      </c>
      <c r="J19" s="4" t="s">
        <v>968</v>
      </c>
      <c r="O19"/>
      <c r="T19" s="130">
        <v>102820</v>
      </c>
      <c r="U19">
        <v>496366</v>
      </c>
      <c r="Z19" s="1" t="b">
        <f t="shared" si="0"/>
        <v>1</v>
      </c>
    </row>
    <row r="20" spans="1:26" ht="15" customHeight="1" x14ac:dyDescent="0.3">
      <c r="A20" s="49">
        <v>276745</v>
      </c>
      <c r="B20" s="48"/>
      <c r="C20" s="1" t="str">
        <f>CONCATENATE(H20,"-",J15,", ",J19)</f>
        <v>2350- biały połysk, Elegant II</v>
      </c>
      <c r="D20" s="49">
        <v>276745</v>
      </c>
      <c r="E20" s="48" t="str">
        <f>+VLOOKUP(A20,cennik!A:G,2,FALSE)</f>
        <v>SEVROLL Elegant II tor dolny 2,35 m, biały połysk</v>
      </c>
      <c r="F20" s="48" t="str">
        <f>+VLOOKUP(A20,cennik!A:B,2,FALSE)</f>
        <v>SEVROLL Elegant II tor dolny 2,35 m, biały połysk</v>
      </c>
      <c r="H20" s="1">
        <v>2350</v>
      </c>
      <c r="I20" s="1" t="str">
        <f>CONCATENATE(H20,"-",J15,", ",J19)</f>
        <v>2350- biały połysk, Elegant II</v>
      </c>
      <c r="J20" s="4" t="s">
        <v>968</v>
      </c>
      <c r="T20" s="130">
        <v>102822</v>
      </c>
      <c r="U20">
        <v>496367</v>
      </c>
      <c r="Z20" s="1" t="b">
        <f t="shared" si="0"/>
        <v>1</v>
      </c>
    </row>
    <row r="21" spans="1:26" ht="15" customHeight="1" x14ac:dyDescent="0.3">
      <c r="A21" s="49">
        <v>252568</v>
      </c>
      <c r="B21" s="48"/>
      <c r="C21" s="1" t="str">
        <f>CONCATENATE(H21,"-",J15,", ",J19)</f>
        <v>3000- biały połysk, Elegant II</v>
      </c>
      <c r="D21" s="49">
        <v>252568</v>
      </c>
      <c r="E21" s="48" t="str">
        <f>+VLOOKUP(A21,cennik!A:G,2,FALSE)</f>
        <v>SEVROLL Elegant II tor dolny 3 m, biały połysk</v>
      </c>
      <c r="F21" s="48" t="str">
        <f>+VLOOKUP(A21,cennik!A:B,2,FALSE)</f>
        <v>SEVROLL Elegant II tor dolny 3 m, biały połysk</v>
      </c>
      <c r="H21" s="1">
        <v>3000</v>
      </c>
      <c r="I21" s="1" t="str">
        <f>CONCATENATE(H21,"-",J15,", ",J19)</f>
        <v>3000- biały połysk, Elegant II</v>
      </c>
      <c r="J21" s="143" t="s">
        <v>42</v>
      </c>
      <c r="T21" s="130">
        <v>102824</v>
      </c>
      <c r="U21">
        <v>496368</v>
      </c>
      <c r="Z21" s="1" t="b">
        <f t="shared" si="0"/>
        <v>1</v>
      </c>
    </row>
    <row r="22" spans="1:26" ht="15" customHeight="1" x14ac:dyDescent="0.3">
      <c r="A22" s="49">
        <v>276746</v>
      </c>
      <c r="B22" s="48"/>
      <c r="C22" s="1" t="str">
        <f>CONCATENATE(H22,"-",J15,", ",J19)</f>
        <v>4050- biały połysk, Elegant II</v>
      </c>
      <c r="D22" s="49">
        <v>276746</v>
      </c>
      <c r="E22" s="48" t="str">
        <f>+VLOOKUP(A22,cennik!A:G,2,FALSE)</f>
        <v>SEVROLL Elegant II tor dolny 4,05 m, biały połysk</v>
      </c>
      <c r="F22" s="48" t="str">
        <f>+VLOOKUP(A22,cennik!A:B,2,FALSE)</f>
        <v>SEVROLL Elegant II tor dolny 4,05 m, biały połysk</v>
      </c>
      <c r="H22" s="1">
        <v>4050</v>
      </c>
      <c r="I22" s="1" t="str">
        <f>CONCATENATE(H22,"-",J15,", ",J19)</f>
        <v>4050- biały połysk, Elegant II</v>
      </c>
      <c r="J22" s="1" t="str">
        <f>IF($J$1=1,K22,IF($J$1=2,N22,IF($J$1=3,M22,IF($J$1=4,L22,IF($J$1=5,O22,IF($J$1=6,P22,IF($J$1=7,Q22,"zadat jazyk")))))))</f>
        <v>czarny lakier strukturalny</v>
      </c>
      <c r="K22" s="143" t="s">
        <v>6703</v>
      </c>
      <c r="L22" s="143" t="s">
        <v>6704</v>
      </c>
      <c r="M22" s="143" t="s">
        <v>6705</v>
      </c>
      <c r="N22" s="143" t="s">
        <v>6706</v>
      </c>
      <c r="O22" s="1" t="s">
        <v>10514</v>
      </c>
      <c r="P22" s="1" t="s">
        <v>10515</v>
      </c>
      <c r="Q22" s="1" t="s">
        <v>10513</v>
      </c>
      <c r="T22" s="130">
        <v>102825</v>
      </c>
      <c r="U22" t="s">
        <v>3545</v>
      </c>
      <c r="Z22" s="1" t="b">
        <f t="shared" si="0"/>
        <v>1</v>
      </c>
    </row>
    <row r="23" spans="1:26" ht="15" customHeight="1" x14ac:dyDescent="0.3">
      <c r="A23" s="49">
        <v>308645</v>
      </c>
      <c r="B23" s="48"/>
      <c r="C23" s="1" t="str">
        <f>CONCATENATE(H23,"-",J15,", ",J19)</f>
        <v>6000- biały połysk, Elegant II</v>
      </c>
      <c r="D23" s="49">
        <v>308645</v>
      </c>
      <c r="E23" s="48" t="str">
        <f>+VLOOKUP(A23,cennik!A:G,2,FALSE)</f>
        <v>SEVROLL Elegant II tor dolny 6m biały połysk</v>
      </c>
      <c r="F23" s="48" t="str">
        <f>+VLOOKUP(A23,cennik!A:B,2,FALSE)</f>
        <v>SEVROLL Elegant II tor dolny 6m biały połysk</v>
      </c>
      <c r="H23" s="1">
        <v>6000</v>
      </c>
      <c r="I23" s="1" t="str">
        <f>CONCATENATE(H23,"-",J15,", ",J19)</f>
        <v>6000- biały połysk, Elegant II</v>
      </c>
      <c r="T23" s="130">
        <v>180419</v>
      </c>
      <c r="U23" t="s">
        <v>3545</v>
      </c>
      <c r="Z23" s="1" t="b">
        <f t="shared" si="0"/>
        <v>1</v>
      </c>
    </row>
    <row r="24" spans="1:26" ht="15" customHeight="1" x14ac:dyDescent="0.3">
      <c r="A24" s="49">
        <v>120868</v>
      </c>
      <c r="B24" s="48"/>
      <c r="C24" s="1" t="str">
        <f>CONCATENATE(H24,"-",J7,", ",J19)</f>
        <v>1700-j.brąz szczotkowany, Elegant II</v>
      </c>
      <c r="D24" s="49">
        <v>120868</v>
      </c>
      <c r="E24" s="48" t="str">
        <f>+VLOOKUP(A24,cennik!A:G,2,FALSE)</f>
        <v>SEVROLL 04333-Y Elegant II tor dolny 1,7 m, jasny brąz szczotkowany</v>
      </c>
      <c r="F24" s="48" t="str">
        <f>+VLOOKUP(A24,cennik!A:B,2,FALSE)</f>
        <v>SEVROLL 04333-Y Elegant II tor dolny 1,7 m, jasny brąz szczotkowany</v>
      </c>
      <c r="H24" s="1">
        <v>1700</v>
      </c>
      <c r="I24" s="1" t="str">
        <f>CONCATENATE(H24,"-",J7,", ",J19)</f>
        <v>1700-j.brąz szczotkowany, Elegant II</v>
      </c>
      <c r="T24" s="130">
        <v>238033</v>
      </c>
      <c r="U24" t="s">
        <v>3545</v>
      </c>
      <c r="Z24" s="1" t="b">
        <f t="shared" si="0"/>
        <v>1</v>
      </c>
    </row>
    <row r="25" spans="1:26" ht="15" customHeight="1" x14ac:dyDescent="0.3">
      <c r="A25" s="49">
        <v>120869</v>
      </c>
      <c r="B25" s="48"/>
      <c r="C25" s="1" t="str">
        <f>CONCATENATE(H25,"-",J7,", ",J19)</f>
        <v>2350-j.brąz szczotkowany, Elegant II</v>
      </c>
      <c r="D25" s="49">
        <v>120869</v>
      </c>
      <c r="E25" s="48" t="str">
        <f>+VLOOKUP(A25,cennik!A:G,2,FALSE)</f>
        <v>SEVROLL 04334-Y Elegant II tor dolny 2,35 m, jasny brąz szczotkowany</v>
      </c>
      <c r="F25" s="48" t="str">
        <f>+VLOOKUP(A25,cennik!A:B,2,FALSE)</f>
        <v>SEVROLL 04334-Y Elegant II tor dolny 2,35 m, jasny brąz szczotkowany</v>
      </c>
      <c r="H25" s="1">
        <v>2350</v>
      </c>
      <c r="I25" s="1" t="str">
        <f>CONCATENATE(H25,"-",J7,", ",J19)</f>
        <v>2350-j.brąz szczotkowany, Elegant II</v>
      </c>
      <c r="T25" s="130">
        <v>238034</v>
      </c>
      <c r="U25">
        <v>496986</v>
      </c>
      <c r="Z25" s="1" t="b">
        <f t="shared" si="0"/>
        <v>1</v>
      </c>
    </row>
    <row r="26" spans="1:26" ht="15" customHeight="1" x14ac:dyDescent="0.3">
      <c r="A26" s="49">
        <v>120870</v>
      </c>
      <c r="B26" s="48"/>
      <c r="C26" s="1" t="str">
        <f>CONCATENATE(H26,"-",J7,", ",J19)</f>
        <v>3000-j.brąz szczotkowany, Elegant II</v>
      </c>
      <c r="D26" s="49">
        <v>120870</v>
      </c>
      <c r="E26" s="48" t="str">
        <f>+VLOOKUP(A26,cennik!A:G,2,FALSE)</f>
        <v>SEVROLL 04335-Y Elegant II tor dolny 3 m, jasny brąz szczotkowany</v>
      </c>
      <c r="F26" s="48" t="str">
        <f>+VLOOKUP(A26,cennik!A:B,2,FALSE)</f>
        <v>SEVROLL 04335-Y Elegant II tor dolny 3 m, jasny brąz szczotkowany</v>
      </c>
      <c r="H26" s="1">
        <v>3000</v>
      </c>
      <c r="I26" s="1" t="str">
        <f>CONCATENATE(H26,"-",J7,", ",J19)</f>
        <v>3000-j.brąz szczotkowany, Elegant II</v>
      </c>
      <c r="T26" s="130">
        <v>102833</v>
      </c>
      <c r="U26" t="s">
        <v>3545</v>
      </c>
      <c r="Z26" s="1" t="b">
        <f t="shared" si="0"/>
        <v>1</v>
      </c>
    </row>
    <row r="27" spans="1:26" ht="15" customHeight="1" x14ac:dyDescent="0.3">
      <c r="A27" s="49">
        <v>120871</v>
      </c>
      <c r="B27" s="48"/>
      <c r="C27" s="1" t="str">
        <f>CONCATENATE(H27,"-",J7,", ",J19)</f>
        <v>4050-j.brąz szczotkowany, Elegant II</v>
      </c>
      <c r="D27" s="49">
        <v>120871</v>
      </c>
      <c r="E27" s="48" t="str">
        <f>+VLOOKUP(A27,cennik!A:G,2,FALSE)</f>
        <v>SEVROLL 04336-Y Elegant II tor dolny 4,05 m, jasny brąz szczotkowany</v>
      </c>
      <c r="F27" s="48" t="str">
        <f>+VLOOKUP(A27,cennik!A:B,2,FALSE)</f>
        <v>SEVROLL 04336-Y Elegant II tor dolny 4,05 m, jasny brąz szczotkowany</v>
      </c>
      <c r="H27" s="1">
        <v>4050</v>
      </c>
      <c r="I27" s="1" t="str">
        <f>CONCATENATE(H27,"-",J7,", ",J19)</f>
        <v>4050-j.brąz szczotkowany, Elegant II</v>
      </c>
      <c r="T27" s="130">
        <v>102834</v>
      </c>
      <c r="U27">
        <v>496942</v>
      </c>
      <c r="Z27" s="1" t="b">
        <f t="shared" si="0"/>
        <v>1</v>
      </c>
    </row>
    <row r="28" spans="1:26" ht="15" customHeight="1" x14ac:dyDescent="0.3">
      <c r="A28" s="49">
        <v>225367</v>
      </c>
      <c r="B28" s="48"/>
      <c r="C28" s="1" t="str">
        <f>CONCATENATE(H28,"-",J7,", ",J19)</f>
        <v>6000-j.brąz szczotkowany, Elegant II</v>
      </c>
      <c r="D28" s="49">
        <v>225367</v>
      </c>
      <c r="E28" s="48" t="str">
        <f>+VLOOKUP(A28,cennik!A:G,2,FALSE)</f>
        <v>SEVROLL Elegant II tor dolny 6m jasny brąz szczotkowany</v>
      </c>
      <c r="F28" s="48" t="str">
        <f>+VLOOKUP(A28,cennik!A:B,2,FALSE)</f>
        <v>SEVROLL Elegant II tor dolny 6m jasny brąz szczotkowany</v>
      </c>
      <c r="H28" s="1">
        <v>6000</v>
      </c>
      <c r="I28" s="1" t="str">
        <f>CONCATENATE(H28,"-",J7,", ",J19)</f>
        <v>6000-j.brąz szczotkowany, Elegant II</v>
      </c>
      <c r="T28" s="130">
        <v>238036</v>
      </c>
      <c r="U28" t="s">
        <v>3545</v>
      </c>
      <c r="Z28" s="1" t="b">
        <f t="shared" si="0"/>
        <v>1</v>
      </c>
    </row>
    <row r="29" spans="1:26" ht="15" customHeight="1" x14ac:dyDescent="0.3">
      <c r="A29" s="49">
        <v>205089</v>
      </c>
      <c r="B29" s="48"/>
      <c r="C29" s="1" t="str">
        <f>CONCATENATE(H29,"-",J8,", ",J19)</f>
        <v>1700-szczot.oliwa ciemna, Elegant II</v>
      </c>
      <c r="D29" s="49">
        <v>205089</v>
      </c>
      <c r="E29" s="48" t="str">
        <f>+VLOOKUP(A29,cennik!A:G,2,FALSE)</f>
        <v>SEVROLL Elegant II tor dolny 1,7m koniak szczotkowany</v>
      </c>
      <c r="F29" s="48" t="str">
        <f>+VLOOKUP(A29,cennik!A:B,2,FALSE)</f>
        <v>SEVROLL Elegant II tor dolny 1,7m koniak szczotkowany</v>
      </c>
      <c r="H29" s="1">
        <v>1700</v>
      </c>
      <c r="I29" s="1" t="str">
        <f>CONCATENATE(H29,"-",J8,", ",J19)</f>
        <v>1700-szczot.oliwa ciemna, Elegant II</v>
      </c>
      <c r="T29" s="130">
        <v>238038</v>
      </c>
      <c r="U29">
        <v>496990</v>
      </c>
      <c r="Z29" s="1" t="b">
        <f t="shared" si="0"/>
        <v>1</v>
      </c>
    </row>
    <row r="30" spans="1:26" ht="15" customHeight="1" x14ac:dyDescent="0.3">
      <c r="A30" s="49">
        <v>205078</v>
      </c>
      <c r="B30" s="48"/>
      <c r="C30" s="1" t="str">
        <f>CONCATENATE(H30,"-",J8,", ",J19)</f>
        <v>2350-szczot.oliwa ciemna, Elegant II</v>
      </c>
      <c r="D30" s="49">
        <v>205078</v>
      </c>
      <c r="E30" s="48" t="str">
        <f>+VLOOKUP(A30,cennik!A:G,2,FALSE)</f>
        <v>SEVROLL Elegant II tor dolny 2,35m koniak szczotkowany</v>
      </c>
      <c r="F30" s="48" t="str">
        <f>+VLOOKUP(A30,cennik!A:B,2,FALSE)</f>
        <v>SEVROLL Elegant II tor dolny 2,35m koniak szczotkowany</v>
      </c>
      <c r="H30" s="1">
        <v>2350</v>
      </c>
      <c r="I30" s="1" t="str">
        <f>CONCATENATE(H30,"-",J8,", ",J19)</f>
        <v>2350-szczot.oliwa ciemna, Elegant II</v>
      </c>
      <c r="T30" s="130">
        <v>98055</v>
      </c>
      <c r="U30" t="s">
        <v>3545</v>
      </c>
      <c r="Z30" s="1" t="b">
        <f t="shared" si="0"/>
        <v>1</v>
      </c>
    </row>
    <row r="31" spans="1:26" ht="15" customHeight="1" x14ac:dyDescent="0.3">
      <c r="A31" s="49">
        <v>205098</v>
      </c>
      <c r="B31" s="48"/>
      <c r="C31" s="1" t="str">
        <f>CONCATENATE(H31,"-",J8,", ",J19)</f>
        <v>3000-szczot.oliwa ciemna, Elegant II</v>
      </c>
      <c r="D31" s="49">
        <v>205098</v>
      </c>
      <c r="E31" s="48" t="str">
        <f>+VLOOKUP(A31,cennik!A:G,2,FALSE)</f>
        <v>SEVROLL Elegant II tor dolny 3m koniak szczotkowany</v>
      </c>
      <c r="F31" s="48" t="str">
        <f>+VLOOKUP(A31,cennik!A:B,2,FALSE)</f>
        <v>SEVROLL Elegant II tor dolny 3m koniak szczotkowany</v>
      </c>
      <c r="H31" s="1">
        <v>3000</v>
      </c>
      <c r="I31" s="1" t="str">
        <f>CONCATENATE(H31,"-",J8,", ",J19)</f>
        <v>3000-szczot.oliwa ciemna, Elegant II</v>
      </c>
      <c r="T31" s="130">
        <v>102832</v>
      </c>
      <c r="U31">
        <v>496924</v>
      </c>
      <c r="Z31" s="1" t="b">
        <f t="shared" si="0"/>
        <v>1</v>
      </c>
    </row>
    <row r="32" spans="1:26" ht="15" customHeight="1" x14ac:dyDescent="0.3">
      <c r="A32" s="49">
        <v>205087</v>
      </c>
      <c r="B32" s="48"/>
      <c r="C32" s="1" t="str">
        <f>CONCATENATE(H32,"-",J8,", ",J19)</f>
        <v>4050-szczot.oliwa ciemna, Elegant II</v>
      </c>
      <c r="D32" s="49">
        <v>205087</v>
      </c>
      <c r="E32" s="48" t="str">
        <f>+VLOOKUP(A32,cennik!A:G,2,FALSE)</f>
        <v>SEVROLL Elegant II tor dolny 4,05m koniak szczotkowany</v>
      </c>
      <c r="F32" s="48" t="str">
        <f>+VLOOKUP(A32,cennik!A:B,2,FALSE)</f>
        <v>SEVROLL Elegant II tor dolny 4,05m koniak szczotkowany</v>
      </c>
      <c r="H32" s="1">
        <v>4050</v>
      </c>
      <c r="I32" s="1" t="str">
        <f>CONCATENATE(H32,"-",J8,", ",J19)</f>
        <v>4050-szczot.oliwa ciemna, Elegant II</v>
      </c>
      <c r="T32" s="130">
        <v>465914</v>
      </c>
      <c r="U32">
        <v>318666</v>
      </c>
      <c r="Z32" s="1" t="b">
        <f t="shared" si="0"/>
        <v>1</v>
      </c>
    </row>
    <row r="33" spans="1:26" ht="15" customHeight="1" x14ac:dyDescent="0.3">
      <c r="A33" s="49">
        <v>225368</v>
      </c>
      <c r="B33" s="48"/>
      <c r="C33" s="1" t="str">
        <f>CONCATENATE(H33,"-",J8,", ",J19)</f>
        <v>6000-szczot.oliwa ciemna, Elegant II</v>
      </c>
      <c r="D33" s="49">
        <v>225368</v>
      </c>
      <c r="E33" s="48" t="str">
        <f>+VLOOKUP(A33,cennik!A:G,2,FALSE)</f>
        <v>SEVROLL Elegant II tor dolny 6m koniak szczotkowany</v>
      </c>
      <c r="F33" s="48" t="str">
        <f>+VLOOKUP(A33,cennik!A:B,2,FALSE)</f>
        <v>SEVROLL Elegant II tor dolny 6m koniak szczotkowany</v>
      </c>
      <c r="H33" s="1">
        <v>6000</v>
      </c>
      <c r="I33" s="1" t="str">
        <f>CONCATENATE(H33,"-",J8,", ",J19)</f>
        <v>6000-szczot.oliwa ciemna, Elegant II</v>
      </c>
      <c r="T33" s="130">
        <v>284974</v>
      </c>
      <c r="U33">
        <v>84387</v>
      </c>
      <c r="Z33" s="1" t="b">
        <f t="shared" si="0"/>
        <v>1</v>
      </c>
    </row>
    <row r="34" spans="1:26" ht="15" customHeight="1" x14ac:dyDescent="0.3">
      <c r="A34" s="49">
        <v>205090</v>
      </c>
      <c r="B34" s="48"/>
      <c r="C34" s="1" t="str">
        <f>CONCATENATE(H34,"-",J9,", ",J19)</f>
        <v>1700-szczot.czarna, Elegant II</v>
      </c>
      <c r="D34" s="49">
        <v>205090</v>
      </c>
      <c r="E34" s="48" t="str">
        <f>+VLOOKUP(A34,cennik!A:G,2,FALSE)</f>
        <v>SEVROLL Elegant II tor dolny 1,7 m czarny szczotkowany</v>
      </c>
      <c r="F34" s="48" t="str">
        <f>+VLOOKUP(A34,cennik!A:B,2,FALSE)</f>
        <v>SEVROLL Elegant II tor dolny 1,7 m czarny szczotkowany</v>
      </c>
      <c r="H34" s="1">
        <v>1700</v>
      </c>
      <c r="I34" s="1" t="str">
        <f>CONCATENATE(H34,"-",J9,", ",J19)</f>
        <v>1700-szczot.czarna, Elegant II</v>
      </c>
      <c r="T34" s="130">
        <v>284975</v>
      </c>
      <c r="U34">
        <v>84390</v>
      </c>
      <c r="Z34" s="1" t="b">
        <f t="shared" si="0"/>
        <v>1</v>
      </c>
    </row>
    <row r="35" spans="1:26" ht="15" customHeight="1" x14ac:dyDescent="0.3">
      <c r="A35" s="49">
        <v>205079</v>
      </c>
      <c r="B35" s="48"/>
      <c r="C35" s="1" t="str">
        <f>CONCATENATE(H35,"-",J9,", ",J19)</f>
        <v>2350-szczot.czarna, Elegant II</v>
      </c>
      <c r="D35" s="49">
        <v>205079</v>
      </c>
      <c r="E35" s="48" t="str">
        <f>+VLOOKUP(A35,cennik!A:G,2,FALSE)</f>
        <v>SEVROLL Elegant II tor dolny 2,35 m czarny szczotkowany</v>
      </c>
      <c r="F35" s="48" t="str">
        <f>+VLOOKUP(A35,cennik!A:B,2,FALSE)</f>
        <v>SEVROLL Elegant II tor dolny 2,35 m czarny szczotkowany</v>
      </c>
      <c r="H35" s="1">
        <v>2350</v>
      </c>
      <c r="I35" s="1" t="str">
        <f>CONCATENATE(H35,"-",J9,", ",J19)</f>
        <v>2350-szczot.czarna, Elegant II</v>
      </c>
      <c r="T35" s="130">
        <v>238028</v>
      </c>
      <c r="U35">
        <v>84393</v>
      </c>
      <c r="Z35" s="1" t="b">
        <f t="shared" si="0"/>
        <v>1</v>
      </c>
    </row>
    <row r="36" spans="1:26" ht="15" customHeight="1" x14ac:dyDescent="0.3">
      <c r="A36" s="49">
        <v>205186</v>
      </c>
      <c r="B36" s="48"/>
      <c r="C36" s="1" t="str">
        <f>CONCATENATE(H36,"-",J9,", ",J19)</f>
        <v>3000-szczot.czarna, Elegant II</v>
      </c>
      <c r="D36" s="49">
        <v>205186</v>
      </c>
      <c r="E36" s="48" t="str">
        <f>+VLOOKUP(A36,cennik!A:G,2,FALSE)</f>
        <v>SEVROLL Elegant II tor dolny 3 m czarny szczotkowany</v>
      </c>
      <c r="F36" s="48" t="str">
        <f>+VLOOKUP(A36,cennik!A:B,2,FALSE)</f>
        <v>SEVROLL Elegant II tor dolny 3 m czarny szczotkowany</v>
      </c>
      <c r="H36" s="1">
        <v>3000</v>
      </c>
      <c r="I36" s="1" t="str">
        <f>CONCATENATE(H36,"-",J9,", ",J19)</f>
        <v>3000-szczot.czarna, Elegant II</v>
      </c>
      <c r="T36" s="130">
        <v>180411</v>
      </c>
      <c r="U36">
        <v>84385</v>
      </c>
      <c r="Z36" s="1" t="b">
        <f t="shared" si="0"/>
        <v>1</v>
      </c>
    </row>
    <row r="37" spans="1:26" ht="15" customHeight="1" x14ac:dyDescent="0.3">
      <c r="A37" s="49">
        <v>205088</v>
      </c>
      <c r="B37" s="48"/>
      <c r="C37" s="1" t="str">
        <f>CONCATENATE(H37,"-",J9,", ",J19)</f>
        <v>4050-szczot.czarna, Elegant II</v>
      </c>
      <c r="D37" s="49">
        <v>205088</v>
      </c>
      <c r="E37" s="48" t="str">
        <f>+VLOOKUP(A37,cennik!A:G,2,FALSE)</f>
        <v>SEVROLL Elegant II tor dolny 4,05 m czarny szczotkowany</v>
      </c>
      <c r="F37" s="48" t="str">
        <f>+VLOOKUP(A37,cennik!A:B,2,FALSE)</f>
        <v>SEVROLL Elegant II tor dolny 4,05 m czarny szczotkowany</v>
      </c>
      <c r="H37" s="1">
        <v>4050</v>
      </c>
      <c r="I37" s="1" t="str">
        <f>CONCATENATE(H37,"-",J9,", ",J19)</f>
        <v>4050-szczot.czarna, Elegant II</v>
      </c>
      <c r="T37" s="130">
        <v>180412</v>
      </c>
      <c r="U37">
        <v>84388</v>
      </c>
      <c r="Z37" s="1" t="b">
        <f t="shared" si="0"/>
        <v>1</v>
      </c>
    </row>
    <row r="38" spans="1:26" ht="15" customHeight="1" x14ac:dyDescent="0.3">
      <c r="A38" s="49">
        <v>225369</v>
      </c>
      <c r="B38" s="48"/>
      <c r="C38" s="1" t="str">
        <f>CONCATENATE(H38,"-",J9,", ",J19)</f>
        <v>6000-szczot.czarna, Elegant II</v>
      </c>
      <c r="D38" s="49">
        <v>225369</v>
      </c>
      <c r="E38" s="48" t="str">
        <f>+VLOOKUP(A38,cennik!A:G,2,FALSE)</f>
        <v>SEVROLL Elegant II tor dolny 6m czarny szczotkowany</v>
      </c>
      <c r="F38" s="48" t="str">
        <f>+VLOOKUP(A38,cennik!A:B,2,FALSE)</f>
        <v>SEVROLL Elegant II tor dolny 6m czarny szczotkowany</v>
      </c>
      <c r="H38" s="1">
        <v>6000</v>
      </c>
      <c r="I38" s="1" t="str">
        <f>CONCATENATE(H38,"-",J9,", ",J19)</f>
        <v>6000-szczot.czarna, Elegant II</v>
      </c>
      <c r="T38" s="130">
        <v>180324</v>
      </c>
      <c r="U38">
        <v>84391</v>
      </c>
      <c r="Z38" s="1" t="b">
        <f t="shared" si="0"/>
        <v>1</v>
      </c>
    </row>
    <row r="39" spans="1:26" ht="15" customHeight="1" x14ac:dyDescent="0.3">
      <c r="A39" s="49">
        <v>84410</v>
      </c>
      <c r="B39" s="48"/>
      <c r="C39" s="1" t="str">
        <f>CONCATENATE(H39,"-",J4,", ",J21)</f>
        <v>1700-srebrny, Gemini</v>
      </c>
      <c r="D39" s="49">
        <v>84410</v>
      </c>
      <c r="E39" s="48" t="str">
        <f>+VLOOKUP(A39,cennik!A:G,2,FALSE)</f>
        <v>SEVROLL Gemini II tor dolny 1,7m srebrny</v>
      </c>
      <c r="F39" s="48" t="str">
        <f>+VLOOKUP(A39,cennik!A:B,2,FALSE)</f>
        <v>SEVROLL Gemini II tor dolny 1,7m srebrny</v>
      </c>
      <c r="H39" s="1">
        <v>1700</v>
      </c>
      <c r="I39" s="1" t="str">
        <f>CONCATENATE(H39,"-",J4,", ",J21)</f>
        <v>1700-srebrny, Gemini</v>
      </c>
      <c r="T39" s="130">
        <v>180325</v>
      </c>
      <c r="U39">
        <v>84394</v>
      </c>
      <c r="Z39" s="1" t="b">
        <f t="shared" si="0"/>
        <v>1</v>
      </c>
    </row>
    <row r="40" spans="1:26" ht="15" customHeight="1" x14ac:dyDescent="0.3">
      <c r="A40" s="49">
        <v>98057</v>
      </c>
      <c r="B40" s="48"/>
      <c r="C40" s="1" t="str">
        <f>CONCATENATE(H40,"-",J4,", ",J21)</f>
        <v>2350-srebrny, Gemini</v>
      </c>
      <c r="D40" s="49">
        <v>98057</v>
      </c>
      <c r="E40" s="48" t="str">
        <f>+VLOOKUP(A40,cennik!A:G,2,FALSE)</f>
        <v>SEVROLL Gemini II tor dolny 2,35m srebrny</v>
      </c>
      <c r="F40" s="48" t="str">
        <f>+VLOOKUP(A40,cennik!A:B,2,FALSE)</f>
        <v>SEVROLL Gemini II tor dolny 2,35m srebrny</v>
      </c>
      <c r="H40" s="1">
        <v>2350</v>
      </c>
      <c r="I40" s="1" t="str">
        <f>CONCATENATE(H40,"-",J4,", ",J21)</f>
        <v>2350-srebrny, Gemini</v>
      </c>
      <c r="T40" s="130">
        <v>180414</v>
      </c>
      <c r="U40">
        <v>350687</v>
      </c>
      <c r="Z40" s="1" t="b">
        <f t="shared" si="0"/>
        <v>1</v>
      </c>
    </row>
    <row r="41" spans="1:26" ht="15" customHeight="1" x14ac:dyDescent="0.3">
      <c r="A41" s="49">
        <v>84412</v>
      </c>
      <c r="B41" s="48"/>
      <c r="C41" s="1" t="str">
        <f>CONCATENATE(H41,"-",J4,", ",J21)</f>
        <v>3000-srebrny, Gemini</v>
      </c>
      <c r="D41" s="49">
        <v>84412</v>
      </c>
      <c r="E41" s="48" t="str">
        <f>+VLOOKUP(A41,cennik!A:G,2,FALSE)</f>
        <v>SEVROLL Gemini II tor dolny 3m srebrny</v>
      </c>
      <c r="F41" s="48" t="str">
        <f>+VLOOKUP(A41,cennik!A:B,2,FALSE)</f>
        <v>SEVROLL Gemini II tor dolny 3m srebrny</v>
      </c>
      <c r="H41" s="1">
        <v>3000</v>
      </c>
      <c r="I41" s="1" t="str">
        <f>CONCATENATE(H41,"-",J4,", ",J21)</f>
        <v>3000-srebrny, Gemini</v>
      </c>
      <c r="T41" s="130">
        <v>406344</v>
      </c>
      <c r="U41">
        <v>89105</v>
      </c>
      <c r="Z41" s="1" t="b">
        <f t="shared" si="0"/>
        <v>1</v>
      </c>
    </row>
    <row r="42" spans="1:26" ht="15" customHeight="1" x14ac:dyDescent="0.3">
      <c r="A42" s="49">
        <v>98058</v>
      </c>
      <c r="B42" s="48"/>
      <c r="C42" s="1" t="str">
        <f>CONCATENATE(H42,"-",J4,", ",J21)</f>
        <v>4050-srebrny, Gemini</v>
      </c>
      <c r="D42" s="49">
        <v>98058</v>
      </c>
      <c r="E42" s="48" t="str">
        <f>+VLOOKUP(A42,cennik!A:G,2,FALSE)</f>
        <v>SEVROLL Gemini II tor dolny 4,05m srebrny</v>
      </c>
      <c r="F42" s="48" t="str">
        <f>+VLOOKUP(A42,cennik!A:B,2,FALSE)</f>
        <v>SEVROLL Gemini II tor dolny 4,05m srebrny</v>
      </c>
      <c r="H42" s="1">
        <v>4050</v>
      </c>
      <c r="I42" s="1" t="str">
        <f>CONCATENATE(H42,"-",J4,", ",J21)</f>
        <v>4050-srebrny, Gemini</v>
      </c>
      <c r="T42" s="130">
        <v>284972</v>
      </c>
      <c r="U42">
        <v>89108</v>
      </c>
      <c r="Z42" s="1" t="b">
        <f t="shared" si="0"/>
        <v>1</v>
      </c>
    </row>
    <row r="43" spans="1:26" ht="15" customHeight="1" x14ac:dyDescent="0.3">
      <c r="A43" s="49">
        <v>159409</v>
      </c>
      <c r="B43" s="48"/>
      <c r="C43" s="1" t="str">
        <f>CONCATENATE(H43,"-",J4,", ",J21)</f>
        <v>6000-srebrny, Gemini</v>
      </c>
      <c r="D43" s="49">
        <v>159409</v>
      </c>
      <c r="E43" s="48" t="str">
        <f>+VLOOKUP(A43,cennik!A:G,2,FALSE)</f>
        <v>SEVROLL Gemini II tor dolny 6m srebrny</v>
      </c>
      <c r="F43" s="48" t="str">
        <f>+VLOOKUP(A43,cennik!A:B,2,FALSE)</f>
        <v>SEVROLL Gemini II tor dolny 6m srebrny</v>
      </c>
      <c r="H43" s="1">
        <v>6000</v>
      </c>
      <c r="I43" s="1" t="str">
        <f>CONCATENATE(H43,"-",J4,", ",J21)</f>
        <v>6000-srebrny, Gemini</v>
      </c>
      <c r="T43" s="130">
        <v>284973</v>
      </c>
      <c r="U43">
        <v>89111</v>
      </c>
      <c r="Z43" s="1" t="b">
        <f t="shared" si="0"/>
        <v>1</v>
      </c>
    </row>
    <row r="44" spans="1:26" ht="15" customHeight="1" x14ac:dyDescent="0.3">
      <c r="A44" s="49">
        <v>308647</v>
      </c>
      <c r="B44" s="48"/>
      <c r="C44" s="1" t="str">
        <f>CONCATENATE(H44,"-",J6,", ",J21)</f>
        <v>1700-j.brąz, Gemini</v>
      </c>
      <c r="D44" s="49">
        <v>308647</v>
      </c>
      <c r="E44" s="48" t="str">
        <f>+VLOOKUP(A44,cennik!A:G,2,FALSE)</f>
        <v>SEVROLL Gemini II tor dolny 1,7m jasny brąz</v>
      </c>
      <c r="F44" s="48" t="str">
        <f>+VLOOKUP(A44,cennik!A:B,2,FALSE)</f>
        <v>SEVROLL Gemini II tor dolny 1,7m jasny brąz</v>
      </c>
      <c r="H44" s="1">
        <v>1700</v>
      </c>
      <c r="I44" s="1" t="str">
        <f>CONCATENATE(H44,"-",J6,", ",J21)</f>
        <v>1700-j.brąz, Gemini</v>
      </c>
      <c r="T44" s="130">
        <v>238027</v>
      </c>
      <c r="U44">
        <v>89114</v>
      </c>
      <c r="Z44" s="1" t="b">
        <f t="shared" si="0"/>
        <v>1</v>
      </c>
    </row>
    <row r="45" spans="1:26" ht="15" customHeight="1" x14ac:dyDescent="0.3">
      <c r="A45" s="49">
        <v>308653</v>
      </c>
      <c r="B45" s="48"/>
      <c r="C45" s="1" t="str">
        <f>CONCATENATE(H45,"-",J6,", ",J21)</f>
        <v>2350-j.brąz, Gemini</v>
      </c>
      <c r="D45" s="49">
        <v>308653</v>
      </c>
      <c r="E45" s="48" t="str">
        <f>+VLOOKUP(A45,cennik!A:G,2,FALSE)</f>
        <v>SEVROLL Gemini II tor dolny 2,35m jasny brąz</v>
      </c>
      <c r="F45" s="48" t="str">
        <f>+VLOOKUP(A45,cennik!A:B,2,FALSE)</f>
        <v>SEVROLL Gemini II tor dolny 2,35m jasny brąz</v>
      </c>
      <c r="H45" s="1">
        <v>2350</v>
      </c>
      <c r="I45" s="1" t="str">
        <f>CONCATENATE(H45,"-",J6,", ",J21)</f>
        <v>2350-j.brąz, Gemini</v>
      </c>
      <c r="T45" s="130">
        <v>102835</v>
      </c>
      <c r="U45">
        <v>89106</v>
      </c>
      <c r="Z45" s="1" t="b">
        <f t="shared" si="0"/>
        <v>1</v>
      </c>
    </row>
    <row r="46" spans="1:26" ht="15" customHeight="1" x14ac:dyDescent="0.3">
      <c r="A46" s="49">
        <v>308657</v>
      </c>
      <c r="B46" s="48"/>
      <c r="C46" s="1" t="str">
        <f>CONCATENATE(H46,"-",J6,", ",J21)</f>
        <v>3000-j.brąz, Gemini</v>
      </c>
      <c r="D46" s="49">
        <v>308657</v>
      </c>
      <c r="E46" s="48" t="str">
        <f>+VLOOKUP(A46,cennik!A:G,2,FALSE)</f>
        <v>SEVROLL Gemini II tor dolny 3m jasny brąz</v>
      </c>
      <c r="F46" s="48" t="str">
        <f>+VLOOKUP(A46,cennik!A:B,2,FALSE)</f>
        <v>SEVROLL Gemini II tor dolny 3m jasny brąz</v>
      </c>
      <c r="H46" s="1">
        <v>3000</v>
      </c>
      <c r="I46" s="1" t="str">
        <f>CONCATENATE(H46,"-",J6,", ",J21)</f>
        <v>3000-j.brąz, Gemini</v>
      </c>
      <c r="T46" s="130">
        <v>102836</v>
      </c>
      <c r="U46">
        <v>89109</v>
      </c>
      <c r="Z46" s="1" t="b">
        <f t="shared" si="0"/>
        <v>1</v>
      </c>
    </row>
    <row r="47" spans="1:26" ht="15" customHeight="1" x14ac:dyDescent="0.3">
      <c r="A47" s="49">
        <v>308666</v>
      </c>
      <c r="B47" s="48"/>
      <c r="C47" s="1" t="str">
        <f>CONCATENATE(H47,"-",J6,", ",J21)</f>
        <v>4050-j.brąz, Gemini</v>
      </c>
      <c r="D47" s="49">
        <v>308666</v>
      </c>
      <c r="E47" s="48" t="str">
        <f>+VLOOKUP(A47,cennik!A:G,2,FALSE)</f>
        <v>SEVROLL Gemini II tor dolny 4,05m jasny brąz</v>
      </c>
      <c r="F47" s="48" t="str">
        <f>+VLOOKUP(A47,cennik!A:B,2,FALSE)</f>
        <v>SEVROLL Gemini II tor dolny 4,05m jasny brąz</v>
      </c>
      <c r="H47" s="1">
        <v>4050</v>
      </c>
      <c r="I47" s="1" t="str">
        <f>CONCATENATE(H47,"-",J6,", ",J21)</f>
        <v>4050-j.brąz, Gemini</v>
      </c>
      <c r="T47" s="130">
        <v>102838</v>
      </c>
      <c r="U47">
        <v>89112</v>
      </c>
      <c r="Z47" s="1" t="b">
        <f t="shared" si="0"/>
        <v>1</v>
      </c>
    </row>
    <row r="48" spans="1:26" ht="15" customHeight="1" x14ac:dyDescent="0.3">
      <c r="A48" s="49">
        <v>308668</v>
      </c>
      <c r="B48" s="48"/>
      <c r="C48" s="1" t="str">
        <f>CONCATENATE(H48,"-",J6,", ",J21)</f>
        <v>6000-j.brąz, Gemini</v>
      </c>
      <c r="D48" s="49">
        <v>308668</v>
      </c>
      <c r="E48" s="48" t="str">
        <f>+VLOOKUP(A48,cennik!A:G,2,FALSE)</f>
        <v>SEVROLL Gemini II tor dolny 6m jasny brąz</v>
      </c>
      <c r="F48" s="48" t="str">
        <f>+VLOOKUP(A48,cennik!A:B,2,FALSE)</f>
        <v>SEVROLL Gemini II tor dolny 6m jasny brąz</v>
      </c>
      <c r="H48" s="1">
        <v>6000</v>
      </c>
      <c r="I48" s="1" t="str">
        <f>CONCATENATE(H48,"-",J6,", ",J21)</f>
        <v>6000-j.brąz, Gemini</v>
      </c>
      <c r="T48" s="130">
        <v>102839</v>
      </c>
      <c r="U48">
        <v>89115</v>
      </c>
      <c r="Z48" s="1" t="b">
        <f t="shared" si="0"/>
        <v>1</v>
      </c>
    </row>
    <row r="49" spans="1:26" ht="15" customHeight="1" x14ac:dyDescent="0.3">
      <c r="A49" s="49">
        <v>351475</v>
      </c>
      <c r="B49" s="48"/>
      <c r="C49" s="1" t="str">
        <f>CONCATENATE(H49,"-",J15,", ",J21)</f>
        <v>1700- biały połysk, Gemini</v>
      </c>
      <c r="D49" s="49">
        <v>351475</v>
      </c>
      <c r="E49" s="48" t="str">
        <f>+VLOOKUP(A49,cennik!A:G,2,FALSE)</f>
        <v>SEVROLL Gemini II tor dolny 1,7m biały połysk</v>
      </c>
      <c r="F49" s="48" t="str">
        <f>+VLOOKUP(A49,cennik!A:B,2,FALSE)</f>
        <v>SEVROLL Gemini II tor dolny 1,7m biały połysk</v>
      </c>
      <c r="H49" s="1">
        <v>1700</v>
      </c>
      <c r="I49" s="1" t="str">
        <f>CONCATENATE(H49,"-",J15,", ",J21)</f>
        <v>1700- biały połysk, Gemini</v>
      </c>
      <c r="T49" s="130">
        <v>197377</v>
      </c>
      <c r="U49">
        <v>134933</v>
      </c>
      <c r="Z49" s="1" t="b">
        <f t="shared" si="0"/>
        <v>1</v>
      </c>
    </row>
    <row r="50" spans="1:26" ht="15" customHeight="1" x14ac:dyDescent="0.3">
      <c r="A50" s="49">
        <v>351476</v>
      </c>
      <c r="B50" s="48"/>
      <c r="C50" s="1" t="str">
        <f>CONCATENATE(H50,"-",J15,", ",J21)</f>
        <v>2350- biały połysk, Gemini</v>
      </c>
      <c r="D50" s="49">
        <v>351476</v>
      </c>
      <c r="E50" s="48" t="str">
        <f>+VLOOKUP(A50,cennik!A:G,2,FALSE)</f>
        <v>SEVROLL Gemini II tor dolny 2,35m biały połysk</v>
      </c>
      <c r="F50" s="48" t="str">
        <f>+VLOOKUP(A50,cennik!A:B,2,FALSE)</f>
        <v>SEVROLL Gemini II tor dolny 2,35m biały połysk</v>
      </c>
      <c r="H50" s="1">
        <v>2350</v>
      </c>
      <c r="I50" s="1" t="str">
        <f>CONCATENATE(H50,"-",J15,", ",J21)</f>
        <v>2350- biały połysk, Gemini</v>
      </c>
      <c r="T50" s="130">
        <v>229443</v>
      </c>
      <c r="U50">
        <v>496944</v>
      </c>
      <c r="Z50" s="1" t="b">
        <f t="shared" si="0"/>
        <v>1</v>
      </c>
    </row>
    <row r="51" spans="1:26" ht="15" customHeight="1" x14ac:dyDescent="0.3">
      <c r="A51" s="49">
        <v>351517</v>
      </c>
      <c r="B51" s="48"/>
      <c r="C51" s="1" t="str">
        <f>CONCATENATE(H51,"-",J15,", ",J21)</f>
        <v>3000- biały połysk, Gemini</v>
      </c>
      <c r="D51" s="49">
        <v>351517</v>
      </c>
      <c r="E51" s="48" t="str">
        <f>+VLOOKUP(A51,cennik!A:G,2,FALSE)</f>
        <v>SEVROLL Gemini II tor dolny 3m biały połysk</v>
      </c>
      <c r="F51" s="48" t="str">
        <f>+VLOOKUP(A51,cennik!A:B,2,FALSE)</f>
        <v>SEVROLL Gemini II tor dolny 3m biały połysk</v>
      </c>
      <c r="H51" s="1">
        <v>3000</v>
      </c>
      <c r="I51" s="1" t="str">
        <f>CONCATENATE(H51,"-",J15,", ",J21)</f>
        <v>3000- biały połysk, Gemini</v>
      </c>
      <c r="T51" s="130">
        <v>284540</v>
      </c>
      <c r="U51">
        <v>496998</v>
      </c>
      <c r="Z51" s="1" t="b">
        <f t="shared" si="0"/>
        <v>1</v>
      </c>
    </row>
    <row r="52" spans="1:26" ht="15" customHeight="1" x14ac:dyDescent="0.3">
      <c r="A52" s="49">
        <v>351541</v>
      </c>
      <c r="B52" s="48"/>
      <c r="C52" s="1" t="str">
        <f>CONCATENATE(H52,"-",J15,", ",J21)</f>
        <v>4050- biały połysk, Gemini</v>
      </c>
      <c r="D52" s="49">
        <v>351541</v>
      </c>
      <c r="E52" s="48" t="str">
        <f>+VLOOKUP(A52,cennik!A:G,2,FALSE)</f>
        <v>SEVROLL Gemini II tor dolny 4,05m biały połysk</v>
      </c>
      <c r="F52" s="48" t="str">
        <f>+VLOOKUP(A52,cennik!A:B,2,FALSE)</f>
        <v>SEVROLL Gemini II tor dolny 4,05m biały połysk</v>
      </c>
      <c r="H52" s="1">
        <v>4050</v>
      </c>
      <c r="I52" s="1" t="str">
        <f>CONCATENATE(H52,"-",J15,", ",J21)</f>
        <v>4050- biały połysk, Gemini</v>
      </c>
      <c r="T52" s="130">
        <v>229439</v>
      </c>
      <c r="U52">
        <v>228009</v>
      </c>
      <c r="Z52" s="1" t="b">
        <f t="shared" si="0"/>
        <v>1</v>
      </c>
    </row>
    <row r="53" spans="1:26" ht="15" customHeight="1" x14ac:dyDescent="0.3">
      <c r="A53" s="49">
        <v>351578</v>
      </c>
      <c r="B53" s="48"/>
      <c r="C53" s="1" t="str">
        <f>CONCATENATE(H53,"-",J15,", ",J21)</f>
        <v>6000- biały połysk, Gemini</v>
      </c>
      <c r="D53" s="49">
        <v>351578</v>
      </c>
      <c r="E53" s="48" t="str">
        <f>+VLOOKUP(A53,cennik!A:G,2,FALSE)</f>
        <v>SEVROLL Gemini II tor dolny 6m biały połysk</v>
      </c>
      <c r="F53" s="48" t="str">
        <f>+VLOOKUP(A53,cennik!A:B,2,FALSE)</f>
        <v>SEVROLL Gemini II tor dolny 6m biały połysk</v>
      </c>
      <c r="H53" s="1">
        <v>6000</v>
      </c>
      <c r="I53" s="1" t="str">
        <f>CONCATENATE(H53,"-",J15,", ",J21)</f>
        <v>6000- biały połysk, Gemini</v>
      </c>
      <c r="T53" s="130">
        <v>163151</v>
      </c>
      <c r="U53">
        <v>345776</v>
      </c>
      <c r="Z53" s="1" t="b">
        <f t="shared" si="0"/>
        <v>1</v>
      </c>
    </row>
    <row r="54" spans="1:26" ht="15" customHeight="1" x14ac:dyDescent="0.3">
      <c r="A54" s="49">
        <v>494741</v>
      </c>
      <c r="B54" s="48"/>
      <c r="C54" s="1" t="str">
        <f>CONCATENATE(H54,"-",J12,", ",J19)</f>
        <v>1700-grafit, Elegant II</v>
      </c>
      <c r="D54" s="49">
        <v>494741</v>
      </c>
      <c r="E54" s="48" t="str">
        <f>+VLOOKUP(A54,cennik!A:G,2,FALSE)</f>
        <v>SEVROLL 06042 Elegant II tor dolny 1,7 m grafit</v>
      </c>
      <c r="F54" s="48" t="str">
        <f>+VLOOKUP(A54,cennik!A:B,2,FALSE)</f>
        <v>SEVROLL 06042 Elegant II tor dolny 1,7 m grafit</v>
      </c>
      <c r="H54" s="1">
        <v>1700</v>
      </c>
      <c r="I54" s="1" t="str">
        <f>CONCATENATE(H54,"-",J12,", ",J19)</f>
        <v>1700-grafit, Elegant II</v>
      </c>
      <c r="T54" s="130">
        <v>180415</v>
      </c>
      <c r="U54">
        <v>318657</v>
      </c>
      <c r="Z54" s="1" t="b">
        <f t="shared" si="0"/>
        <v>1</v>
      </c>
    </row>
    <row r="55" spans="1:26" ht="15" customHeight="1" x14ac:dyDescent="0.3">
      <c r="A55" s="49">
        <v>494692</v>
      </c>
      <c r="B55" s="48"/>
      <c r="C55" s="1" t="str">
        <f>CONCATENATE(H55,"-",J12,", ",J19)</f>
        <v>2350-grafit, Elegant II</v>
      </c>
      <c r="D55" s="49">
        <v>494692</v>
      </c>
      <c r="E55" s="48" t="str">
        <f>+VLOOKUP(A55,cennik!A:G,2,FALSE)</f>
        <v>SEVROLL 06043 Elegant II tor dolny 2,35 m grafit</v>
      </c>
      <c r="F55" s="48" t="str">
        <f>+VLOOKUP(A55,cennik!A:B,2,FALSE)</f>
        <v>SEVROLL 06043 Elegant II tor dolny 2,35 m grafit</v>
      </c>
      <c r="H55" s="1">
        <v>2350</v>
      </c>
      <c r="I55" s="1" t="str">
        <f>CONCATENATE(H55,"-",J12,", ",J19)</f>
        <v>2350-grafit, Elegant II</v>
      </c>
      <c r="T55" s="130">
        <v>180416</v>
      </c>
      <c r="U55">
        <v>318660</v>
      </c>
      <c r="Z55" s="1" t="b">
        <f t="shared" si="0"/>
        <v>1</v>
      </c>
    </row>
    <row r="56" spans="1:26" ht="15" customHeight="1" x14ac:dyDescent="0.3">
      <c r="A56" s="49">
        <v>494739</v>
      </c>
      <c r="B56" s="48"/>
      <c r="C56" s="1" t="str">
        <f>CONCATENATE(H56,"-",J12,", ",J19)</f>
        <v>3000-grafit, Elegant II</v>
      </c>
      <c r="D56" s="49">
        <v>494739</v>
      </c>
      <c r="E56" s="48" t="str">
        <f>+VLOOKUP(A56,cennik!A:G,2,FALSE)</f>
        <v>SEVROLL 06020 Elegant II tor dolny 3 m grafit</v>
      </c>
      <c r="F56" s="48" t="str">
        <f>+VLOOKUP(A56,cennik!A:B,2,FALSE)</f>
        <v>SEVROLL 06020 Elegant II tor dolny 3 m grafit</v>
      </c>
      <c r="H56" s="1">
        <v>3000</v>
      </c>
      <c r="I56" s="1" t="str">
        <f>CONCATENATE(H56,"-",J12,", ",J19)</f>
        <v>3000-grafit, Elegant II</v>
      </c>
      <c r="T56" s="130">
        <v>180326</v>
      </c>
      <c r="U56">
        <v>345408</v>
      </c>
      <c r="Z56" s="1" t="b">
        <f t="shared" si="0"/>
        <v>1</v>
      </c>
    </row>
    <row r="57" spans="1:26" ht="15" customHeight="1" x14ac:dyDescent="0.3">
      <c r="A57" s="49">
        <v>494672</v>
      </c>
      <c r="B57" s="48"/>
      <c r="C57" s="1" t="str">
        <f>CONCATENATE(H57,"-",J12,", ",J19)</f>
        <v>4050-grafit, Elegant II</v>
      </c>
      <c r="D57" s="49">
        <v>494672</v>
      </c>
      <c r="E57" s="48" t="str">
        <f>+VLOOKUP(A57,cennik!A:G,2,FALSE)</f>
        <v>SEVROLL 06021 Elegant II tor dolny 4,05 m grafit</v>
      </c>
      <c r="F57" s="48" t="str">
        <f>+VLOOKUP(A57,cennik!A:B,2,FALSE)</f>
        <v>SEVROLL 06021 Elegant II tor dolny 4,05 m grafit</v>
      </c>
      <c r="H57" s="1">
        <v>4050</v>
      </c>
      <c r="I57" s="1" t="str">
        <f>CONCATENATE(H57,"-",J12,", ",J19)</f>
        <v>4050-grafit, Elegant II</v>
      </c>
      <c r="T57" s="130">
        <v>180418</v>
      </c>
      <c r="U57">
        <v>346118</v>
      </c>
      <c r="Z57" s="1" t="b">
        <f t="shared" si="0"/>
        <v>1</v>
      </c>
    </row>
    <row r="58" spans="1:26" ht="15" customHeight="1" x14ac:dyDescent="0.3">
      <c r="A58" s="49">
        <v>496355</v>
      </c>
      <c r="B58" s="48"/>
      <c r="C58" s="1" t="str">
        <f>CONCATENATE(H58,"-",J12,", ",J19)</f>
        <v>6000-grafit, Elegant II</v>
      </c>
      <c r="D58" s="49">
        <v>496355</v>
      </c>
      <c r="E58" s="48" t="str">
        <f>+VLOOKUP(A58,cennik!A:G,2,FALSE)</f>
        <v>SEVROLL 06044 Elegant II tor dolny 6m grafit</v>
      </c>
      <c r="F58" s="48" t="str">
        <f>+VLOOKUP(A58,cennik!A:B,2,FALSE)</f>
        <v>SEVROLL 06044 Elegant II tor dolny 6m grafit</v>
      </c>
      <c r="H58" s="1">
        <v>6000</v>
      </c>
      <c r="I58" s="1" t="str">
        <f>CONCATENATE(H58,"-",J12,", ",J19)</f>
        <v>6000-grafit, Elegant II</v>
      </c>
      <c r="T58" s="130">
        <v>465917</v>
      </c>
      <c r="U58">
        <v>318655</v>
      </c>
      <c r="Z58" s="1" t="b">
        <f t="shared" si="0"/>
        <v>1</v>
      </c>
    </row>
    <row r="59" spans="1:26" ht="15" customHeight="1" x14ac:dyDescent="0.3">
      <c r="A59" s="49">
        <v>409676</v>
      </c>
      <c r="B59" s="48"/>
      <c r="C59" s="1" t="str">
        <f>CONCATENATE(H59,"-",J17,", ",J19)</f>
        <v>4050- czarny mat, Elegant II</v>
      </c>
      <c r="D59" s="49">
        <v>409676</v>
      </c>
      <c r="E59" s="48" t="str">
        <f>+VLOOKUP(A59,cennik!A:G,2,FALSE)</f>
        <v>SEVROLL 05311 Elegant II tor dolny 4,05 m czarny mat</v>
      </c>
      <c r="F59" s="48" t="str">
        <f>+VLOOKUP(A59,cennik!A:B,2,FALSE)</f>
        <v>SEVROLL 05311 Elegant II tor dolny 4,05 m czarny mat</v>
      </c>
      <c r="H59" s="1">
        <v>4050</v>
      </c>
      <c r="I59" s="1" t="str">
        <f>CONCATENATE(H59,"-",J17,", ",J21)</f>
        <v>4050- czarny mat, Gemini</v>
      </c>
      <c r="T59" s="130">
        <v>284976</v>
      </c>
      <c r="U59">
        <v>318658</v>
      </c>
      <c r="Z59" s="1" t="b">
        <f t="shared" si="0"/>
        <v>1</v>
      </c>
    </row>
    <row r="60" spans="1:26" ht="15" customHeight="1" x14ac:dyDescent="0.3">
      <c r="A60" s="49">
        <v>409678</v>
      </c>
      <c r="B60" s="48"/>
      <c r="C60" s="1" t="str">
        <f>CONCATENATE(H60,"-",J17,", ",J19)</f>
        <v>2350- czarny mat, Elegant II</v>
      </c>
      <c r="D60" s="49">
        <v>409678</v>
      </c>
      <c r="E60" s="48" t="str">
        <f>+VLOOKUP(A60,cennik!A:G,2,FALSE)</f>
        <v>SEVROLL 05309 Elegant II tor dolny 2,35 m czarny mat</v>
      </c>
      <c r="F60" s="48" t="str">
        <f>+VLOOKUP(A60,cennik!A:B,2,FALSE)</f>
        <v>SEVROLL 05309 Elegant II tor dolny 2,35 m czarny mat</v>
      </c>
      <c r="H60" s="1">
        <v>2350</v>
      </c>
      <c r="I60" s="1" t="str">
        <f>CONCATENATE(H60,"-",J17,", ",J21)</f>
        <v>2350- czarny mat, Gemini</v>
      </c>
      <c r="T60" s="130">
        <v>284977</v>
      </c>
      <c r="U60">
        <v>345409</v>
      </c>
      <c r="Z60" s="1" t="b">
        <f t="shared" si="0"/>
        <v>1</v>
      </c>
    </row>
    <row r="61" spans="1:26" ht="15" customHeight="1" x14ac:dyDescent="0.3">
      <c r="A61" s="49">
        <v>412231</v>
      </c>
      <c r="B61" s="48"/>
      <c r="C61" s="1" t="str">
        <f>CONCATENATE(H61,"-",J17,", ",J19)</f>
        <v>3000- czarny mat, Elegant II</v>
      </c>
      <c r="D61" s="49">
        <v>412231</v>
      </c>
      <c r="E61" s="48" t="str">
        <f>+VLOOKUP(A61,cennik!A:G,2,FALSE)</f>
        <v>SEVROLL Elegant II tor dolny 3 m czarny mat</v>
      </c>
      <c r="F61" s="48" t="str">
        <f>+VLOOKUP(A61,cennik!A:B,2,FALSE)</f>
        <v>SEVROLL Elegant II tor dolny 3 m czarny mat</v>
      </c>
      <c r="H61" s="1">
        <v>3000</v>
      </c>
      <c r="I61" s="1" t="str">
        <f>CONCATENATE(H61,"-",J17,", ",J21)</f>
        <v>3000- czarny mat, Gemini</v>
      </c>
      <c r="T61" s="130">
        <v>238029</v>
      </c>
      <c r="U61">
        <v>345777</v>
      </c>
      <c r="Z61" s="1" t="b">
        <f t="shared" si="0"/>
        <v>1</v>
      </c>
    </row>
    <row r="62" spans="1:26" ht="15" customHeight="1" x14ac:dyDescent="0.3">
      <c r="A62" s="49">
        <v>422007</v>
      </c>
      <c r="B62" s="48"/>
      <c r="C62" s="1" t="str">
        <f>CONCATENATE(H62,"-",J17,", ",J19)</f>
        <v>1700- czarny mat, Elegant II</v>
      </c>
      <c r="D62" s="49">
        <v>422007</v>
      </c>
      <c r="E62" s="48" t="str">
        <f>+VLOOKUP(A62,cennik!A:G,2,FALSE)</f>
        <v>SEVROLL Elegant II tor dolny 1,7 m czarny mat</v>
      </c>
      <c r="F62" s="48" t="str">
        <f>+VLOOKUP(A62,cennik!A:B,2,FALSE)</f>
        <v>SEVROLL Elegant II tor dolny 1,7 m czarny mat</v>
      </c>
      <c r="H62" s="1">
        <v>1700</v>
      </c>
      <c r="I62" s="1" t="str">
        <f>CONCATENATE(H62,"-",J17,", ",J21)</f>
        <v>1700- czarny mat, Gemini</v>
      </c>
      <c r="Z62" s="1" t="b">
        <f t="shared" si="0"/>
        <v>1</v>
      </c>
    </row>
    <row r="63" spans="1:26" ht="15" customHeight="1" x14ac:dyDescent="0.3">
      <c r="A63" s="49">
        <v>452743</v>
      </c>
      <c r="B63" s="48"/>
      <c r="C63" s="1" t="str">
        <f>CONCATENATE(H63,"-",J17,", ",J19)</f>
        <v>6000- czarny mat, Elegant II</v>
      </c>
      <c r="D63" s="49">
        <v>452743</v>
      </c>
      <c r="E63" s="48" t="str">
        <f>+VLOOKUP(A63,cennik!A:G,2,FALSE)</f>
        <v>SEVROLL 05312 Elegant II tor dolny 6m czarny mat</v>
      </c>
      <c r="F63" s="48" t="str">
        <f>+VLOOKUP(A63,cennik!A:B,2,FALSE)</f>
        <v>SEVROLL 05312 Elegant II tor dolny 6m czarny mat</v>
      </c>
      <c r="H63" s="1">
        <v>6000</v>
      </c>
      <c r="I63" s="1" t="str">
        <f>CONCATENATE(H63,"-",J17,", ",J21)</f>
        <v>6000- czarny mat, Gemini</v>
      </c>
      <c r="Z63" s="1" t="b">
        <f t="shared" si="0"/>
        <v>1</v>
      </c>
    </row>
    <row r="64" spans="1:26" ht="15" customHeight="1" x14ac:dyDescent="0.3">
      <c r="A64" s="49" t="s">
        <v>111</v>
      </c>
      <c r="B64" s="48"/>
      <c r="C64" s="1" t="str">
        <f>CONCATENATE(H64,"-",J5,", ",J21)</f>
        <v>1700-złoty/mosiądz, Gemini</v>
      </c>
      <c r="D64" s="49" t="s">
        <v>111</v>
      </c>
      <c r="E64" s="48" t="e">
        <f>+VLOOKUP(A64,cennik!A:G,2,FALSE)</f>
        <v>#N/A</v>
      </c>
      <c r="F64" s="48" t="e">
        <f>+VLOOKUP(A64,cennik!A:B,2,FALSE)</f>
        <v>#N/A</v>
      </c>
      <c r="G64" s="1" t="e">
        <f>+VLOOKUP(A64,#REF!,4,FALSE)</f>
        <v>#REF!</v>
      </c>
      <c r="H64" s="1" t="s">
        <v>464</v>
      </c>
      <c r="I64" s="1" t="str">
        <f>CONCATENATE(H64,"-",J5,", ",J21)</f>
        <v>1700-złoty/mosiądz, Gemini</v>
      </c>
      <c r="Z64" s="1" t="b">
        <f t="shared" si="0"/>
        <v>1</v>
      </c>
    </row>
    <row r="65" spans="1:26" ht="15" customHeight="1" x14ac:dyDescent="0.3">
      <c r="A65" s="49" t="s">
        <v>111</v>
      </c>
      <c r="B65" s="48"/>
      <c r="C65" s="1" t="str">
        <f>CONCATENATE(H65,"-",J5,", ",J21)</f>
        <v>2350-złoty/mosiądz, Gemini</v>
      </c>
      <c r="D65" s="49" t="s">
        <v>111</v>
      </c>
      <c r="E65" s="48" t="e">
        <f>+VLOOKUP(A65,cennik!A:G,2,FALSE)</f>
        <v>#N/A</v>
      </c>
      <c r="F65" s="48" t="e">
        <f>+VLOOKUP(A65,cennik!A:B,2,FALSE)</f>
        <v>#N/A</v>
      </c>
      <c r="H65" s="1" t="s">
        <v>465</v>
      </c>
      <c r="I65" s="1" t="str">
        <f>CONCATENATE(H65,"-",J5,", ",J21)</f>
        <v>2350-złoty/mosiądz, Gemini</v>
      </c>
      <c r="Z65" s="1" t="b">
        <f t="shared" si="0"/>
        <v>1</v>
      </c>
    </row>
    <row r="66" spans="1:26" ht="15" customHeight="1" x14ac:dyDescent="0.3">
      <c r="A66" s="49" t="s">
        <v>111</v>
      </c>
      <c r="B66" s="48"/>
      <c r="C66" s="1" t="str">
        <f>CONCATENATE(H66,"-",J5,", ",J21)</f>
        <v>3000-złoty/mosiądz, Gemini</v>
      </c>
      <c r="D66" s="49" t="s">
        <v>111</v>
      </c>
      <c r="E66" s="48" t="e">
        <f>+VLOOKUP(A66,cennik!A:G,2,FALSE)</f>
        <v>#N/A</v>
      </c>
      <c r="F66" s="48" t="e">
        <f>+VLOOKUP(A66,cennik!A:B,2,FALSE)</f>
        <v>#N/A</v>
      </c>
      <c r="H66" s="1" t="s">
        <v>466</v>
      </c>
      <c r="I66" s="1" t="str">
        <f>CONCATENATE(H66,"-",J5,", ",J21)</f>
        <v>3000-złoty/mosiądz, Gemini</v>
      </c>
      <c r="Z66" s="1" t="b">
        <f t="shared" ref="Z66:Z144" si="4">A66=D66</f>
        <v>1</v>
      </c>
    </row>
    <row r="67" spans="1:26" ht="15" customHeight="1" x14ac:dyDescent="0.3">
      <c r="A67" s="49" t="s">
        <v>111</v>
      </c>
      <c r="B67" s="48"/>
      <c r="C67" s="1" t="str">
        <f>CONCATENATE(H67,"-",J5,", ",J21)</f>
        <v>4050-złoty/mosiądz, Gemini</v>
      </c>
      <c r="D67" s="49" t="s">
        <v>111</v>
      </c>
      <c r="E67" s="48" t="e">
        <f>+VLOOKUP(A67,cennik!A:G,2,FALSE)</f>
        <v>#N/A</v>
      </c>
      <c r="F67" s="48" t="e">
        <f>+VLOOKUP(A67,cennik!A:B,2,FALSE)</f>
        <v>#N/A</v>
      </c>
      <c r="H67" s="1" t="s">
        <v>467</v>
      </c>
      <c r="I67" s="1" t="str">
        <f>CONCATENATE(H67,"-",J5,", ",J21)</f>
        <v>4050-złoty/mosiądz, Gemini</v>
      </c>
      <c r="Z67" s="1" t="b">
        <f t="shared" si="4"/>
        <v>1</v>
      </c>
    </row>
    <row r="68" spans="1:26" ht="15" customHeight="1" x14ac:dyDescent="0.3">
      <c r="A68" s="49" t="s">
        <v>111</v>
      </c>
      <c r="B68" s="48"/>
      <c r="C68" s="1" t="str">
        <f>CONCATENATE(H68,"-",J5,", ",J21)</f>
        <v>6000-złoty/mosiądz, Gemini</v>
      </c>
      <c r="D68" s="49" t="s">
        <v>111</v>
      </c>
      <c r="E68" s="48" t="e">
        <f>+VLOOKUP(A68,cennik!A:G,2,FALSE)</f>
        <v>#N/A</v>
      </c>
      <c r="F68" s="48" t="e">
        <f>+VLOOKUP(A68,cennik!A:B,2,FALSE)</f>
        <v>#N/A</v>
      </c>
      <c r="H68" s="1">
        <v>6000</v>
      </c>
      <c r="I68" s="1" t="str">
        <f>CONCATENATE(H68,"-",J5,", ",J21)</f>
        <v>6000-złoty/mosiądz, Gemini</v>
      </c>
      <c r="Z68" s="1" t="b">
        <f t="shared" si="4"/>
        <v>1</v>
      </c>
    </row>
    <row r="69" spans="1:26" ht="15" customHeight="1" x14ac:dyDescent="0.3">
      <c r="A69" s="49" t="s">
        <v>111</v>
      </c>
      <c r="B69" s="48"/>
      <c r="C69" s="1" t="str">
        <f>CONCATENATE(H69,"-",J7,", ",J21)</f>
        <v>1700-j.brąz szczotkowany, Gemini</v>
      </c>
      <c r="D69" s="49" t="s">
        <v>111</v>
      </c>
      <c r="E69" s="48" t="e">
        <f>+VLOOKUP(A69,cennik!A:G,2,FALSE)</f>
        <v>#N/A</v>
      </c>
      <c r="F69" s="48" t="e">
        <f>+VLOOKUP(A69,cennik!A:B,2,FALSE)</f>
        <v>#N/A</v>
      </c>
      <c r="G69" s="1" t="e">
        <f>+VLOOKUP(A69,#REF!,4,FALSE)</f>
        <v>#REF!</v>
      </c>
      <c r="H69" s="1" t="s">
        <v>464</v>
      </c>
      <c r="I69" s="1" t="str">
        <f>CONCATENATE(H69,"-",J7,", ",J21)</f>
        <v>1700-j.brąz szczotkowany, Gemini</v>
      </c>
      <c r="Z69" s="1" t="b">
        <f t="shared" si="4"/>
        <v>1</v>
      </c>
    </row>
    <row r="70" spans="1:26" ht="15" customHeight="1" x14ac:dyDescent="0.3">
      <c r="A70" s="49" t="s">
        <v>111</v>
      </c>
      <c r="B70" s="48"/>
      <c r="C70" s="1" t="str">
        <f>CONCATENATE(H70,"-",J7,", ",J21)</f>
        <v>2350-j.brąz szczotkowany, Gemini</v>
      </c>
      <c r="D70" s="49" t="s">
        <v>111</v>
      </c>
      <c r="E70" s="48" t="e">
        <f>+VLOOKUP(A70,cennik!A:G,2,FALSE)</f>
        <v>#N/A</v>
      </c>
      <c r="F70" s="48" t="e">
        <f>+VLOOKUP(A70,cennik!A:B,2,FALSE)</f>
        <v>#N/A</v>
      </c>
      <c r="H70" s="1" t="s">
        <v>465</v>
      </c>
      <c r="I70" s="1" t="str">
        <f>CONCATENATE(H70,"-",J7,", ",J21)</f>
        <v>2350-j.brąz szczotkowany, Gemini</v>
      </c>
      <c r="Z70" s="1" t="b">
        <f t="shared" si="4"/>
        <v>1</v>
      </c>
    </row>
    <row r="71" spans="1:26" ht="15" customHeight="1" x14ac:dyDescent="0.3">
      <c r="A71" s="49" t="s">
        <v>111</v>
      </c>
      <c r="B71" s="48"/>
      <c r="C71" s="1" t="str">
        <f>CONCATENATE(H71,"-",J7,", ",J21)</f>
        <v>3000-j.brąz szczotkowany, Gemini</v>
      </c>
      <c r="D71" s="49" t="s">
        <v>111</v>
      </c>
      <c r="E71" s="48" t="e">
        <f>+VLOOKUP(A71,cennik!A:G,2,FALSE)</f>
        <v>#N/A</v>
      </c>
      <c r="F71" s="48" t="e">
        <f>+VLOOKUP(A71,cennik!A:B,2,FALSE)</f>
        <v>#N/A</v>
      </c>
      <c r="H71" s="1" t="s">
        <v>466</v>
      </c>
      <c r="I71" s="1" t="str">
        <f>CONCATENATE(H71,"-",J7,", ",J21)</f>
        <v>3000-j.brąz szczotkowany, Gemini</v>
      </c>
      <c r="Z71" s="1" t="b">
        <f t="shared" si="4"/>
        <v>1</v>
      </c>
    </row>
    <row r="72" spans="1:26" ht="15" customHeight="1" x14ac:dyDescent="0.3">
      <c r="A72" s="49" t="s">
        <v>111</v>
      </c>
      <c r="B72" s="48"/>
      <c r="C72" s="1" t="str">
        <f>CONCATENATE(H72,"-",J7,", ",J21)</f>
        <v>4050-j.brąz szczotkowany, Gemini</v>
      </c>
      <c r="D72" s="49" t="s">
        <v>111</v>
      </c>
      <c r="E72" s="48" t="e">
        <f>+VLOOKUP(A72,cennik!A:G,2,FALSE)</f>
        <v>#N/A</v>
      </c>
      <c r="F72" s="48" t="e">
        <f>+VLOOKUP(A72,cennik!A:B,2,FALSE)</f>
        <v>#N/A</v>
      </c>
      <c r="H72" s="1" t="s">
        <v>467</v>
      </c>
      <c r="I72" s="1" t="str">
        <f>CONCATENATE(H72,"-",J7,", ",J21)</f>
        <v>4050-j.brąz szczotkowany, Gemini</v>
      </c>
      <c r="Z72" s="1" t="b">
        <f t="shared" si="4"/>
        <v>1</v>
      </c>
    </row>
    <row r="73" spans="1:26" ht="15" customHeight="1" x14ac:dyDescent="0.3">
      <c r="A73" s="49" t="s">
        <v>111</v>
      </c>
      <c r="B73" s="48"/>
      <c r="C73" s="1" t="str">
        <f>CONCATENATE(H73,"-",J7,", ",J21)</f>
        <v>6000-j.brąz szczotkowany, Gemini</v>
      </c>
      <c r="D73" s="49" t="s">
        <v>111</v>
      </c>
      <c r="E73" s="48" t="e">
        <f>+VLOOKUP(A73,cennik!A:G,2,FALSE)</f>
        <v>#N/A</v>
      </c>
      <c r="F73" s="48" t="e">
        <f>+VLOOKUP(A73,cennik!A:B,2,FALSE)</f>
        <v>#N/A</v>
      </c>
      <c r="H73" s="1">
        <v>6000</v>
      </c>
      <c r="I73" s="1" t="str">
        <f>CONCATENATE(H73,"-",J7,", ",J21)</f>
        <v>6000-j.brąz szczotkowany, Gemini</v>
      </c>
      <c r="Z73" s="1" t="b">
        <f t="shared" si="4"/>
        <v>1</v>
      </c>
    </row>
    <row r="74" spans="1:26" ht="15" customHeight="1" x14ac:dyDescent="0.3">
      <c r="A74" s="49" t="s">
        <v>111</v>
      </c>
      <c r="B74" s="48"/>
      <c r="C74" s="1" t="str">
        <f>CONCATENATE(H74,"-",J8,", ",J21)</f>
        <v>1700-szczot.oliwa ciemna, Gemini</v>
      </c>
      <c r="D74" s="49" t="s">
        <v>111</v>
      </c>
      <c r="E74" s="48" t="e">
        <f>+VLOOKUP(A74,cennik!A:G,2,FALSE)</f>
        <v>#N/A</v>
      </c>
      <c r="F74" s="48" t="e">
        <f>+VLOOKUP(A74,cennik!A:B,2,FALSE)</f>
        <v>#N/A</v>
      </c>
      <c r="G74" s="1" t="e">
        <f>+VLOOKUP(A74,#REF!,4,FALSE)</f>
        <v>#REF!</v>
      </c>
      <c r="H74" s="1" t="s">
        <v>464</v>
      </c>
      <c r="I74" s="1" t="str">
        <f>CONCATENATE(H74,"-",J8,", ",J21)</f>
        <v>1700-szczot.oliwa ciemna, Gemini</v>
      </c>
      <c r="Z74" s="1" t="b">
        <f t="shared" si="4"/>
        <v>1</v>
      </c>
    </row>
    <row r="75" spans="1:26" ht="15" customHeight="1" x14ac:dyDescent="0.3">
      <c r="A75" s="49" t="s">
        <v>111</v>
      </c>
      <c r="B75" s="48"/>
      <c r="C75" s="1" t="str">
        <f>CONCATENATE(H75,"-",J8,", ",J21)</f>
        <v>2350-szczot.oliwa ciemna, Gemini</v>
      </c>
      <c r="D75" s="49" t="s">
        <v>111</v>
      </c>
      <c r="E75" s="48" t="e">
        <f>+VLOOKUP(A75,cennik!A:G,2,FALSE)</f>
        <v>#N/A</v>
      </c>
      <c r="F75" s="48" t="e">
        <f>+VLOOKUP(A75,cennik!A:B,2,FALSE)</f>
        <v>#N/A</v>
      </c>
      <c r="H75" s="1" t="s">
        <v>465</v>
      </c>
      <c r="I75" s="1" t="str">
        <f>CONCATENATE(H75,"-",J8,", ",J21)</f>
        <v>2350-szczot.oliwa ciemna, Gemini</v>
      </c>
      <c r="Z75" s="1" t="b">
        <f t="shared" si="4"/>
        <v>1</v>
      </c>
    </row>
    <row r="76" spans="1:26" ht="15" customHeight="1" x14ac:dyDescent="0.3">
      <c r="A76" s="49" t="s">
        <v>111</v>
      </c>
      <c r="B76" s="48"/>
      <c r="C76" s="1" t="str">
        <f>CONCATENATE(H76,"-",J8,", ",J21)</f>
        <v>3000-szczot.oliwa ciemna, Gemini</v>
      </c>
      <c r="D76" s="49" t="s">
        <v>111</v>
      </c>
      <c r="E76" s="48" t="e">
        <f>+VLOOKUP(A76,cennik!A:G,2,FALSE)</f>
        <v>#N/A</v>
      </c>
      <c r="F76" s="48" t="e">
        <f>+VLOOKUP(A76,cennik!A:B,2,FALSE)</f>
        <v>#N/A</v>
      </c>
      <c r="H76" s="1" t="s">
        <v>466</v>
      </c>
      <c r="I76" s="1" t="str">
        <f>CONCATENATE(H76,"-",J8,", ",J21)</f>
        <v>3000-szczot.oliwa ciemna, Gemini</v>
      </c>
      <c r="Z76" s="1" t="b">
        <f t="shared" si="4"/>
        <v>1</v>
      </c>
    </row>
    <row r="77" spans="1:26" ht="15" customHeight="1" x14ac:dyDescent="0.3">
      <c r="A77" s="49" t="s">
        <v>111</v>
      </c>
      <c r="B77" s="48"/>
      <c r="C77" s="1" t="str">
        <f>CONCATENATE(H77,"-",J8,", ",J21)</f>
        <v>4050-szczot.oliwa ciemna, Gemini</v>
      </c>
      <c r="D77" s="49" t="s">
        <v>111</v>
      </c>
      <c r="E77" s="48" t="e">
        <f>+VLOOKUP(A77,cennik!A:G,2,FALSE)</f>
        <v>#N/A</v>
      </c>
      <c r="F77" s="48" t="e">
        <f>+VLOOKUP(A77,cennik!A:B,2,FALSE)</f>
        <v>#N/A</v>
      </c>
      <c r="H77" s="1" t="s">
        <v>467</v>
      </c>
      <c r="I77" s="1" t="str">
        <f>CONCATENATE(H77,"-",J8,", ",J21)</f>
        <v>4050-szczot.oliwa ciemna, Gemini</v>
      </c>
      <c r="Z77" s="1" t="b">
        <f t="shared" si="4"/>
        <v>1</v>
      </c>
    </row>
    <row r="78" spans="1:26" ht="15" customHeight="1" x14ac:dyDescent="0.3">
      <c r="A78" s="49" t="s">
        <v>111</v>
      </c>
      <c r="B78" s="48"/>
      <c r="C78" s="1" t="str">
        <f>CONCATENATE(H78,"-",J8,", ",J21)</f>
        <v>6000-szczot.oliwa ciemna, Gemini</v>
      </c>
      <c r="D78" s="49" t="s">
        <v>111</v>
      </c>
      <c r="E78" s="48" t="e">
        <f>+VLOOKUP(A78,cennik!A:G,2,FALSE)</f>
        <v>#N/A</v>
      </c>
      <c r="F78" s="48" t="e">
        <f>+VLOOKUP(A78,cennik!A:B,2,FALSE)</f>
        <v>#N/A</v>
      </c>
      <c r="H78" s="1">
        <v>6000</v>
      </c>
      <c r="I78" s="1" t="str">
        <f>CONCATENATE(H78,"-",J8,", ",J21)</f>
        <v>6000-szczot.oliwa ciemna, Gemini</v>
      </c>
      <c r="Z78" s="1" t="b">
        <f t="shared" si="4"/>
        <v>1</v>
      </c>
    </row>
    <row r="79" spans="1:26" ht="15" customHeight="1" x14ac:dyDescent="0.3">
      <c r="A79" s="49" t="s">
        <v>111</v>
      </c>
      <c r="B79" s="48"/>
      <c r="C79" s="1" t="str">
        <f>CONCATENATE(H79,"-",J9,", ",J21)</f>
        <v>1700-szczot.czarna, Gemini</v>
      </c>
      <c r="D79" s="49" t="s">
        <v>111</v>
      </c>
      <c r="E79" s="48" t="e">
        <f>+VLOOKUP(A79,cennik!A:G,2,FALSE)</f>
        <v>#N/A</v>
      </c>
      <c r="F79" s="48" t="e">
        <f>+VLOOKUP(A79,cennik!A:B,2,FALSE)</f>
        <v>#N/A</v>
      </c>
      <c r="G79" s="1" t="e">
        <f>+VLOOKUP(A79,#REF!,4,FALSE)</f>
        <v>#REF!</v>
      </c>
      <c r="H79" s="1" t="s">
        <v>464</v>
      </c>
      <c r="I79" s="1" t="str">
        <f>CONCATENATE(H79,"-",J9,", ",J21)</f>
        <v>1700-szczot.czarna, Gemini</v>
      </c>
      <c r="Z79" s="1" t="b">
        <f t="shared" si="4"/>
        <v>1</v>
      </c>
    </row>
    <row r="80" spans="1:26" ht="15" customHeight="1" x14ac:dyDescent="0.3">
      <c r="A80" s="49" t="s">
        <v>111</v>
      </c>
      <c r="B80" s="48"/>
      <c r="C80" s="1" t="str">
        <f>CONCATENATE(H80,"-",J9,", ",J21)</f>
        <v>2350-szczot.czarna, Gemini</v>
      </c>
      <c r="D80" s="49" t="s">
        <v>111</v>
      </c>
      <c r="E80" s="48" t="e">
        <f>+VLOOKUP(A80,cennik!A:G,2,FALSE)</f>
        <v>#N/A</v>
      </c>
      <c r="F80" s="48" t="e">
        <f>+VLOOKUP(A80,cennik!A:B,2,FALSE)</f>
        <v>#N/A</v>
      </c>
      <c r="H80" s="1" t="s">
        <v>465</v>
      </c>
      <c r="I80" s="1" t="str">
        <f>CONCATENATE(H80,"-",J9,", ",J21)</f>
        <v>2350-szczot.czarna, Gemini</v>
      </c>
      <c r="Z80" s="1" t="b">
        <f t="shared" si="4"/>
        <v>1</v>
      </c>
    </row>
    <row r="81" spans="1:26" ht="15" customHeight="1" x14ac:dyDescent="0.3">
      <c r="A81" s="49" t="s">
        <v>111</v>
      </c>
      <c r="B81" s="48"/>
      <c r="C81" s="1" t="str">
        <f>CONCATENATE(H81,"-",J9,", ",J21)</f>
        <v>3000-szczot.czarna, Gemini</v>
      </c>
      <c r="D81" s="49" t="s">
        <v>111</v>
      </c>
      <c r="E81" s="48" t="e">
        <f>+VLOOKUP(A81,cennik!A:G,2,FALSE)</f>
        <v>#N/A</v>
      </c>
      <c r="F81" s="48" t="e">
        <f>+VLOOKUP(A81,cennik!A:B,2,FALSE)</f>
        <v>#N/A</v>
      </c>
      <c r="H81" s="1" t="s">
        <v>466</v>
      </c>
      <c r="I81" s="1" t="str">
        <f>CONCATENATE(H81,"-",J9,", ",J21)</f>
        <v>3000-szczot.czarna, Gemini</v>
      </c>
      <c r="Z81" s="1" t="b">
        <f t="shared" si="4"/>
        <v>1</v>
      </c>
    </row>
    <row r="82" spans="1:26" ht="15" customHeight="1" x14ac:dyDescent="0.3">
      <c r="A82" s="49" t="s">
        <v>111</v>
      </c>
      <c r="B82" s="48"/>
      <c r="C82" s="1" t="str">
        <f>CONCATENATE(H82,"-",J9,", ",J21)</f>
        <v>4050-szczot.czarna, Gemini</v>
      </c>
      <c r="D82" s="49" t="s">
        <v>111</v>
      </c>
      <c r="E82" s="48" t="e">
        <f>+VLOOKUP(A82,cennik!A:G,2,FALSE)</f>
        <v>#N/A</v>
      </c>
      <c r="F82" s="48" t="e">
        <f>+VLOOKUP(A82,cennik!A:B,2,FALSE)</f>
        <v>#N/A</v>
      </c>
      <c r="H82" s="1" t="s">
        <v>467</v>
      </c>
      <c r="I82" s="1" t="str">
        <f>CONCATENATE(H82,"-",J9,", ",J21)</f>
        <v>4050-szczot.czarna, Gemini</v>
      </c>
      <c r="Z82" s="1" t="b">
        <f t="shared" si="4"/>
        <v>1</v>
      </c>
    </row>
    <row r="83" spans="1:26" ht="15" customHeight="1" x14ac:dyDescent="0.3">
      <c r="A83" s="49" t="s">
        <v>111</v>
      </c>
      <c r="B83" s="48"/>
      <c r="C83" s="1" t="str">
        <f>CONCATENATE(H83,"-",J9,", ",J21)</f>
        <v>6000-szczot.czarna, Gemini</v>
      </c>
      <c r="D83" s="49" t="s">
        <v>111</v>
      </c>
      <c r="E83" s="48" t="e">
        <f>+VLOOKUP(A83,cennik!A:G,2,FALSE)</f>
        <v>#N/A</v>
      </c>
      <c r="F83" s="48" t="e">
        <f>+VLOOKUP(A83,cennik!A:B,2,FALSE)</f>
        <v>#N/A</v>
      </c>
      <c r="H83" s="1">
        <v>6000</v>
      </c>
      <c r="I83" s="1" t="str">
        <f>CONCATENATE(H83,"-",J9,", ",J21)</f>
        <v>6000-szczot.czarna, Gemini</v>
      </c>
      <c r="Z83" s="1" t="b">
        <f t="shared" si="4"/>
        <v>1</v>
      </c>
    </row>
    <row r="84" spans="1:26" ht="15" customHeight="1" x14ac:dyDescent="0.3">
      <c r="A84" s="196">
        <v>526506</v>
      </c>
      <c r="C84" s="1" t="str">
        <f>CONCATENATE(H84,"-",J22,", ",J20)</f>
        <v>1700-czarny lakier strukturalny, Elegant II</v>
      </c>
      <c r="D84" s="196">
        <v>526506</v>
      </c>
      <c r="E84" s="48" t="str">
        <f>+VLOOKUP(A84,cennik!A:G,2,FALSE)</f>
        <v>SEVROLL 06269 Elegant II tor dolny 1,7 m czarny lakier strukturalny</v>
      </c>
      <c r="F84" s="48" t="str">
        <f>+VLOOKUP(A84,cennik!A:B,2,FALSE)</f>
        <v>SEVROLL 06269 Elegant II tor dolny 1,7 m czarny lakier strukturalny</v>
      </c>
      <c r="H84" s="1">
        <v>1700</v>
      </c>
      <c r="I84" s="1" t="str">
        <f>CONCATENATE(H84,"-",J22,", ",J20)</f>
        <v>1700-czarny lakier strukturalny, Elegant II</v>
      </c>
    </row>
    <row r="85" spans="1:26" ht="15" customHeight="1" x14ac:dyDescent="0.3">
      <c r="A85" s="196">
        <v>526509</v>
      </c>
      <c r="C85" s="1" t="str">
        <f>CONCATENATE(H85,"-",J22,", ",J20)</f>
        <v>2350-czarny lakier strukturalny, Elegant II</v>
      </c>
      <c r="D85" s="196">
        <v>526509</v>
      </c>
      <c r="E85" s="48" t="str">
        <f>+VLOOKUP(A85,cennik!A:G,2,FALSE)</f>
        <v>SEVROLL 06270 Elegant II tor dolny 2,35 m czarny lakier strukturalny</v>
      </c>
      <c r="F85" s="48" t="str">
        <f>+VLOOKUP(A85,cennik!A:B,2,FALSE)</f>
        <v>SEVROLL 06270 Elegant II tor dolny 2,35 m czarny lakier strukturalny</v>
      </c>
      <c r="H85" s="1">
        <v>2350</v>
      </c>
      <c r="I85" s="1" t="str">
        <f>CONCATENATE(H85,"-",J22,", ",J20)</f>
        <v>2350-czarny lakier strukturalny, Elegant II</v>
      </c>
    </row>
    <row r="86" spans="1:26" ht="15" customHeight="1" x14ac:dyDescent="0.3">
      <c r="A86" s="196">
        <v>526510</v>
      </c>
      <c r="C86" s="1" t="str">
        <f>CONCATENATE(H86,"-",J22,", ",J20)</f>
        <v>3000-czarny lakier strukturalny, Elegant II</v>
      </c>
      <c r="D86" s="196">
        <v>526510</v>
      </c>
      <c r="E86" s="48" t="str">
        <f>+VLOOKUP(A86,cennik!A:G,2,FALSE)</f>
        <v>SEVROLL 06271 Elegant II tor dolny 3 m czarny lakier strukturalny</v>
      </c>
      <c r="F86" s="48" t="str">
        <f>+VLOOKUP(A86,cennik!A:B,2,FALSE)</f>
        <v>SEVROLL 06271 Elegant II tor dolny 3 m czarny lakier strukturalny</v>
      </c>
      <c r="H86" s="1">
        <v>3000</v>
      </c>
      <c r="I86" s="1" t="str">
        <f>CONCATENATE(H86,"-",J22,", ",J20)</f>
        <v>3000-czarny lakier strukturalny, Elegant II</v>
      </c>
    </row>
    <row r="87" spans="1:26" ht="15" customHeight="1" x14ac:dyDescent="0.3">
      <c r="A87" s="196">
        <v>526511</v>
      </c>
      <c r="C87" s="1" t="str">
        <f>CONCATENATE(H87,"-",J22,", ",J20)</f>
        <v>4050-czarny lakier strukturalny, Elegant II</v>
      </c>
      <c r="D87" s="196">
        <v>526511</v>
      </c>
      <c r="E87" s="48" t="str">
        <f>+VLOOKUP(A87,cennik!A:G,2,FALSE)</f>
        <v>SEVROLL 06272 Elegant II tor dolny 4,05 m czarny lakier strukturalny</v>
      </c>
      <c r="F87" s="48" t="str">
        <f>+VLOOKUP(A87,cennik!A:B,2,FALSE)</f>
        <v>SEVROLL 06272 Elegant II tor dolny 4,05 m czarny lakier strukturalny</v>
      </c>
      <c r="H87" s="1">
        <v>4050</v>
      </c>
      <c r="I87" s="1" t="str">
        <f>CONCATENATE(H87,"-",J22,", ",J20)</f>
        <v>4050-czarny lakier strukturalny, Elegant II</v>
      </c>
    </row>
    <row r="88" spans="1:26" ht="15" customHeight="1" x14ac:dyDescent="0.3">
      <c r="A88" s="196">
        <v>526512</v>
      </c>
      <c r="C88" s="1" t="str">
        <f>CONCATENATE(H88,"-",J22,", ",J20)</f>
        <v>6000-czarny lakier strukturalny, Elegant II</v>
      </c>
      <c r="D88" s="196">
        <v>526512</v>
      </c>
      <c r="E88" s="48" t="str">
        <f>+VLOOKUP(A88,cennik!A:G,2,FALSE)</f>
        <v>SEVROLL 06128 Elegant II tor dolny 6m czarny lakier strukturalny</v>
      </c>
      <c r="F88" s="48" t="str">
        <f>+VLOOKUP(A88,cennik!A:B,2,FALSE)</f>
        <v>SEVROLL 06128 Elegant II tor dolny 6m czarny lakier strukturalny</v>
      </c>
      <c r="H88" s="1">
        <v>6000</v>
      </c>
      <c r="I88" s="1" t="str">
        <f>CONCATENATE(H88,"-",J22,", ",J20)</f>
        <v>6000-czarny lakier strukturalny, Elegant II</v>
      </c>
    </row>
    <row r="89" spans="1:26" ht="15" customHeight="1" x14ac:dyDescent="0.3">
      <c r="A89" s="2">
        <v>394792</v>
      </c>
      <c r="C89" s="1" t="str">
        <f>CONCATENATE(H89,"-",J18,", ",J19)</f>
        <v>1700-biały mat, Elegant II</v>
      </c>
      <c r="D89" s="2">
        <v>394792</v>
      </c>
      <c r="E89" s="48" t="str">
        <f>+VLOOKUP(A89,cennik!A:G,2,FALSE)</f>
        <v>SEVROLL Elegant II tor dolny 1,7 m biały matowy</v>
      </c>
      <c r="F89" s="48" t="str">
        <f>+VLOOKUP(A89,cennik!A:B,2,FALSE)</f>
        <v>SEVROLL Elegant II tor dolny 1,7 m biały matowy</v>
      </c>
      <c r="H89" s="1">
        <v>1700</v>
      </c>
      <c r="I89" s="1" t="str">
        <f>CONCATENATE(H89,"-",J18,", ",J19)</f>
        <v>1700-biały mat, Elegant II</v>
      </c>
    </row>
    <row r="90" spans="1:26" ht="15" customHeight="1" x14ac:dyDescent="0.3">
      <c r="A90" s="2">
        <v>394795</v>
      </c>
      <c r="C90" s="1" t="str">
        <f>CONCATENATE(H90,"-",J18,", ",J19)</f>
        <v>2350-biały mat, Elegant II</v>
      </c>
      <c r="D90" s="2">
        <v>394795</v>
      </c>
      <c r="E90" s="48" t="str">
        <f>+VLOOKUP(A90,cennik!A:G,2,FALSE)</f>
        <v>SEVROLL Elegant II tor dolny 2,35 m biały matowy</v>
      </c>
      <c r="F90" s="48" t="str">
        <f>+VLOOKUP(A90,cennik!A:B,2,FALSE)</f>
        <v>SEVROLL Elegant II tor dolny 2,35 m biały matowy</v>
      </c>
      <c r="H90" s="1">
        <v>2350</v>
      </c>
      <c r="I90" s="1" t="str">
        <f>CONCATENATE(H90,"-",J18,", ",J19)</f>
        <v>2350-biały mat, Elegant II</v>
      </c>
    </row>
    <row r="91" spans="1:26" ht="15" customHeight="1" x14ac:dyDescent="0.3">
      <c r="A91" s="2">
        <v>276743</v>
      </c>
      <c r="C91" s="1" t="str">
        <f>CONCATENATE(H91,"-",J18,", ",J19)</f>
        <v>3000-biały mat, Elegant II</v>
      </c>
      <c r="D91" s="2">
        <v>276743</v>
      </c>
      <c r="E91" s="48" t="str">
        <f>+VLOOKUP(A91,cennik!A:G,2,FALSE)</f>
        <v>SEVROLL Elegant II tor dolny 3 m, biały matowy</v>
      </c>
      <c r="F91" s="48" t="str">
        <f>+VLOOKUP(A91,cennik!A:B,2,FALSE)</f>
        <v>SEVROLL Elegant II tor dolny 3 m, biały matowy</v>
      </c>
      <c r="H91" s="1">
        <v>3000</v>
      </c>
      <c r="I91" s="1" t="str">
        <f>CONCATENATE(H91,"-",J18,", ",J19)</f>
        <v>3000-biały mat, Elegant II</v>
      </c>
    </row>
    <row r="92" spans="1:26" ht="15" customHeight="1" x14ac:dyDescent="0.3">
      <c r="A92" s="2">
        <v>394796</v>
      </c>
      <c r="C92" s="1" t="str">
        <f>CONCATENATE(H92,"-",J18,", ",J19)</f>
        <v>4050-biały mat, Elegant II</v>
      </c>
      <c r="D92" s="2">
        <v>394796</v>
      </c>
      <c r="E92" s="48" t="str">
        <f>+VLOOKUP(A92,cennik!A:G,2,FALSE)</f>
        <v>SEVROLL Elegant II tor dolny 4,05 m biały matowy</v>
      </c>
      <c r="F92" s="48" t="str">
        <f>+VLOOKUP(A92,cennik!A:B,2,FALSE)</f>
        <v>SEVROLL Elegant II tor dolny 4,05 m biały matowy</v>
      </c>
      <c r="H92" s="1">
        <v>4050</v>
      </c>
      <c r="I92" s="1" t="str">
        <f>CONCATENATE(H92,"-",J18,", ",J19)</f>
        <v>4050-biały mat, Elegant II</v>
      </c>
    </row>
    <row r="93" spans="1:26" ht="15" customHeight="1" x14ac:dyDescent="0.3">
      <c r="A93" s="2">
        <v>394800</v>
      </c>
      <c r="C93" s="1" t="str">
        <f>CONCATENATE(H93,"-",J18,", ",J19)</f>
        <v>6000-biały mat, Elegant II</v>
      </c>
      <c r="D93" s="2">
        <v>394800</v>
      </c>
      <c r="E93" s="48" t="str">
        <f>+VLOOKUP(A93,cennik!A:G,2,FALSE)</f>
        <v>SEVROLL Elegant II tor dolny 6m biały mat</v>
      </c>
      <c r="F93" s="48" t="str">
        <f>+VLOOKUP(A93,cennik!A:B,2,FALSE)</f>
        <v>SEVROLL Elegant II tor dolny 6m biały mat</v>
      </c>
      <c r="H93" s="1">
        <v>6000</v>
      </c>
      <c r="I93" s="1" t="str">
        <f>CONCATENATE(H93,"-",J18,", ",J19)</f>
        <v>6000-biały mat, Elegant II</v>
      </c>
    </row>
    <row r="94" spans="1:26" ht="15" customHeight="1" x14ac:dyDescent="0.3">
      <c r="A94" s="418">
        <v>405393</v>
      </c>
      <c r="B94" s="417"/>
      <c r="C94" s="1" t="str">
        <f>CONCATENATE(H94,"-",J16,", ",J19)</f>
        <v>1700-czarny połysk, Elegant II</v>
      </c>
      <c r="D94" s="418">
        <v>405393</v>
      </c>
      <c r="E94" s="419" t="str">
        <f>+VLOOKUP(A94,cennik!A:G,2,FALSE)</f>
        <v>SEVROLL Elegant II tor dolny 1,7 m czarny połysk</v>
      </c>
      <c r="F94" s="419" t="str">
        <f>+VLOOKUP(A94,cennik!A:B,2,FALSE)</f>
        <v>SEVROLL Elegant II tor dolny 1,7 m czarny połysk</v>
      </c>
      <c r="G94" s="417"/>
      <c r="H94" s="417">
        <v>1700</v>
      </c>
      <c r="I94" s="1" t="str">
        <f>CONCATENATE(H94,"-",J16,", ",J19)</f>
        <v>1700-czarny połysk, Elegant II</v>
      </c>
      <c r="Z94" s="1" t="b">
        <f t="shared" si="4"/>
        <v>1</v>
      </c>
    </row>
    <row r="95" spans="1:26" ht="15" customHeight="1" x14ac:dyDescent="0.3">
      <c r="A95" s="418">
        <v>398188</v>
      </c>
      <c r="B95" s="417"/>
      <c r="C95" s="1" t="str">
        <f>CONCATENATE(H95,"-",J16,", ",J19)</f>
        <v>2350-czarny połysk, Elegant II</v>
      </c>
      <c r="D95" s="418">
        <v>398188</v>
      </c>
      <c r="E95" s="419" t="str">
        <f>+VLOOKUP(A95,cennik!A:G,2,FALSE)</f>
        <v>SEVROLL Elegant II tor dolny 2,35 m czarny połysk</v>
      </c>
      <c r="F95" s="419" t="str">
        <f>+VLOOKUP(A95,cennik!A:B,2,FALSE)</f>
        <v>SEVROLL Elegant II tor dolny 2,35 m czarny połysk</v>
      </c>
      <c r="G95" s="417"/>
      <c r="H95" s="417">
        <v>2350</v>
      </c>
      <c r="I95" s="1" t="str">
        <f>CONCATENATE(H95,"-",J16,", ",J19)</f>
        <v>2350-czarny połysk, Elegant II</v>
      </c>
      <c r="Z95" s="1" t="b">
        <f t="shared" si="4"/>
        <v>1</v>
      </c>
    </row>
    <row r="96" spans="1:26" ht="15" customHeight="1" x14ac:dyDescent="0.3">
      <c r="A96" s="418">
        <v>405403</v>
      </c>
      <c r="B96" s="417"/>
      <c r="C96" s="1" t="str">
        <f>CONCATENATE(H96,"-",J16,", ",J19)</f>
        <v>3000-czarny połysk, Elegant II</v>
      </c>
      <c r="D96" s="418">
        <v>405403</v>
      </c>
      <c r="E96" s="419" t="str">
        <f>+VLOOKUP(A96,cennik!A:G,2,FALSE)</f>
        <v>SEVROLL Elegant II tor dolny 3 m czarny połysk</v>
      </c>
      <c r="F96" s="419" t="str">
        <f>+VLOOKUP(A96,cennik!A:B,2,FALSE)</f>
        <v>SEVROLL Elegant II tor dolny 3 m czarny połysk</v>
      </c>
      <c r="G96" s="417"/>
      <c r="H96" s="417">
        <v>3000</v>
      </c>
      <c r="I96" s="1" t="str">
        <f>CONCATENATE(H96,"-",J16,", ",J19)</f>
        <v>3000-czarny połysk, Elegant II</v>
      </c>
      <c r="Z96" s="1" t="b">
        <f t="shared" si="4"/>
        <v>1</v>
      </c>
    </row>
    <row r="97" spans="1:26" ht="15" customHeight="1" x14ac:dyDescent="0.3">
      <c r="A97" s="418">
        <v>405404</v>
      </c>
      <c r="B97" s="417"/>
      <c r="C97" s="1" t="str">
        <f>CONCATENATE(H97,"-",J16,", ",J19)</f>
        <v>4050-czarny połysk, Elegant II</v>
      </c>
      <c r="D97" s="418">
        <v>405404</v>
      </c>
      <c r="E97" s="419" t="str">
        <f>+VLOOKUP(A97,cennik!A:G,2,FALSE)</f>
        <v>SEVROLL Elegant II tor dolny 4,05 m czarny połysk</v>
      </c>
      <c r="F97" s="419" t="str">
        <f>+VLOOKUP(A97,cennik!A:B,2,FALSE)</f>
        <v>SEVROLL Elegant II tor dolny 4,05 m czarny połysk</v>
      </c>
      <c r="G97" s="417"/>
      <c r="H97" s="417">
        <v>4050</v>
      </c>
      <c r="I97" s="1" t="str">
        <f>CONCATENATE(H97,"-",J16,", ",J19)</f>
        <v>4050-czarny połysk, Elegant II</v>
      </c>
      <c r="Z97" s="1" t="b">
        <f t="shared" si="4"/>
        <v>1</v>
      </c>
    </row>
    <row r="98" spans="1:26" ht="15" customHeight="1" x14ac:dyDescent="0.3">
      <c r="A98" s="418">
        <v>405406</v>
      </c>
      <c r="B98" s="417"/>
      <c r="C98" s="1" t="str">
        <f>CONCATENATE(H98,"-",J16,", ",J19)</f>
        <v>6000-czarny połysk, Elegant II</v>
      </c>
      <c r="D98" s="418">
        <v>405406</v>
      </c>
      <c r="E98" s="419" t="str">
        <f>+VLOOKUP(A98,cennik!A:G,2,FALSE)</f>
        <v>SEVROLL Elegant II tor dolny 6m czarny połysk</v>
      </c>
      <c r="F98" s="419" t="str">
        <f>+VLOOKUP(A98,cennik!A:B,2,FALSE)</f>
        <v>SEVROLL Elegant II tor dolny 6m czarny połysk</v>
      </c>
      <c r="G98" s="417"/>
      <c r="H98" s="417">
        <v>6000</v>
      </c>
      <c r="I98" s="1" t="str">
        <f>CONCATENATE(H98,"-",J16,", ",J19)</f>
        <v>6000-czarny połysk, Elegant II</v>
      </c>
      <c r="Z98" s="1" t="b">
        <f t="shared" si="4"/>
        <v>1</v>
      </c>
    </row>
    <row r="99" spans="1:26" ht="15" customHeight="1" x14ac:dyDescent="0.3">
      <c r="A99" s="417">
        <v>422007</v>
      </c>
      <c r="B99" s="417"/>
      <c r="C99" s="1" t="str">
        <f>CONCATENATE(H99,"-",J17,", ",J19)</f>
        <v>1700- czarny mat, Elegant II</v>
      </c>
      <c r="D99" s="417">
        <v>422007</v>
      </c>
      <c r="E99" s="419" t="str">
        <f>+VLOOKUP(A99,cennik!A:G,2,FALSE)</f>
        <v>SEVROLL Elegant II tor dolny 1,7 m czarny mat</v>
      </c>
      <c r="F99" s="419" t="str">
        <f>+VLOOKUP(A99,cennik!A:B,2,FALSE)</f>
        <v>SEVROLL Elegant II tor dolny 1,7 m czarny mat</v>
      </c>
      <c r="G99" s="417"/>
      <c r="H99" s="417">
        <v>1700</v>
      </c>
      <c r="I99" s="1" t="str">
        <f>CONCATENATE(H99,"-",J17,", ",J19)</f>
        <v>1700- czarny mat, Elegant II</v>
      </c>
      <c r="Z99" s="1" t="b">
        <f t="shared" si="4"/>
        <v>1</v>
      </c>
    </row>
    <row r="100" spans="1:26" ht="15" customHeight="1" x14ac:dyDescent="0.3">
      <c r="A100" s="417">
        <v>409678</v>
      </c>
      <c r="B100" s="417"/>
      <c r="C100" s="1" t="str">
        <f>CONCATENATE(H100,"-",J17,", ",J19)</f>
        <v>2350- czarny mat, Elegant II</v>
      </c>
      <c r="D100" s="417">
        <v>409678</v>
      </c>
      <c r="E100" s="419" t="str">
        <f>+VLOOKUP(A100,cennik!A:G,2,FALSE)</f>
        <v>SEVROLL 05309 Elegant II tor dolny 2,35 m czarny mat</v>
      </c>
      <c r="F100" s="419" t="str">
        <f>+VLOOKUP(A100,cennik!A:B,2,FALSE)</f>
        <v>SEVROLL 05309 Elegant II tor dolny 2,35 m czarny mat</v>
      </c>
      <c r="G100" s="417"/>
      <c r="H100" s="417">
        <v>2350</v>
      </c>
      <c r="I100" s="1" t="str">
        <f>CONCATENATE(H100,"-",J17,", ",J19)</f>
        <v>2350- czarny mat, Elegant II</v>
      </c>
      <c r="Z100" s="1" t="b">
        <f t="shared" si="4"/>
        <v>1</v>
      </c>
    </row>
    <row r="101" spans="1:26" ht="15" customHeight="1" x14ac:dyDescent="0.3">
      <c r="A101" s="417">
        <v>412231</v>
      </c>
      <c r="B101" s="417"/>
      <c r="C101" s="1" t="str">
        <f>CONCATENATE(H101,"-",J17,", ",J19)</f>
        <v>3000- czarny mat, Elegant II</v>
      </c>
      <c r="D101" s="417">
        <v>412231</v>
      </c>
      <c r="E101" s="419" t="str">
        <f>+VLOOKUP(A101,cennik!A:G,2,FALSE)</f>
        <v>SEVROLL Elegant II tor dolny 3 m czarny mat</v>
      </c>
      <c r="F101" s="419" t="str">
        <f>+VLOOKUP(A101,cennik!A:B,2,FALSE)</f>
        <v>SEVROLL Elegant II tor dolny 3 m czarny mat</v>
      </c>
      <c r="G101" s="417"/>
      <c r="H101" s="417">
        <v>3000</v>
      </c>
      <c r="I101" s="1" t="str">
        <f>CONCATENATE(H101,"-",J17,", ",J19)</f>
        <v>3000- czarny mat, Elegant II</v>
      </c>
      <c r="Z101" s="1" t="b">
        <f t="shared" si="4"/>
        <v>1</v>
      </c>
    </row>
    <row r="102" spans="1:26" ht="15" customHeight="1" x14ac:dyDescent="0.3">
      <c r="A102" s="417">
        <v>409676</v>
      </c>
      <c r="B102" s="417"/>
      <c r="C102" s="1" t="str">
        <f>CONCATENATE(H102,"-",J17,", ",J19)</f>
        <v>4050- czarny mat, Elegant II</v>
      </c>
      <c r="D102" s="417">
        <v>409676</v>
      </c>
      <c r="E102" s="419" t="str">
        <f>+VLOOKUP(A102,cennik!A:G,2,FALSE)</f>
        <v>SEVROLL 05311 Elegant II tor dolny 4,05 m czarny mat</v>
      </c>
      <c r="F102" s="419" t="str">
        <f>+VLOOKUP(A102,cennik!A:B,2,FALSE)</f>
        <v>SEVROLL 05311 Elegant II tor dolny 4,05 m czarny mat</v>
      </c>
      <c r="G102" s="417"/>
      <c r="H102" s="417">
        <v>4050</v>
      </c>
      <c r="I102" s="1" t="str">
        <f>CONCATENATE(H102,"-",J17,", ",J19)</f>
        <v>4050- czarny mat, Elegant II</v>
      </c>
      <c r="Z102" s="1" t="b">
        <f t="shared" si="4"/>
        <v>1</v>
      </c>
    </row>
    <row r="103" spans="1:26" ht="15" customHeight="1" x14ac:dyDescent="0.3">
      <c r="A103" s="418">
        <v>452743</v>
      </c>
      <c r="B103" s="417"/>
      <c r="C103" s="1" t="str">
        <f>CONCATENATE(H103,"-",J17,", ",J19)</f>
        <v>6000- czarny mat, Elegant II</v>
      </c>
      <c r="D103" s="418">
        <v>452743</v>
      </c>
      <c r="E103" s="419" t="str">
        <f>+VLOOKUP(A103,cennik!A:G,2,FALSE)</f>
        <v>SEVROLL 05312 Elegant II tor dolny 6m czarny mat</v>
      </c>
      <c r="F103" s="419" t="str">
        <f>+VLOOKUP(A103,cennik!A:B,2,FALSE)</f>
        <v>SEVROLL 05312 Elegant II tor dolny 6m czarny mat</v>
      </c>
      <c r="G103" s="417"/>
      <c r="H103" s="417">
        <v>6000</v>
      </c>
      <c r="I103" s="1" t="str">
        <f>CONCATENATE(H103,"-",J17,", ",J19)</f>
        <v>6000- czarny mat, Elegant II</v>
      </c>
      <c r="Z103" s="1" t="b">
        <f t="shared" si="4"/>
        <v>1</v>
      </c>
    </row>
    <row r="104" spans="1:26" ht="15" customHeight="1" x14ac:dyDescent="0.3">
      <c r="A104" s="196">
        <v>526506</v>
      </c>
      <c r="B104" s="417"/>
      <c r="C104" s="1" t="str">
        <f>CONCATENATE(H104,"-",J22,", ",J19)</f>
        <v>1700-czarny lakier strukturalny, Elegant II</v>
      </c>
      <c r="D104" s="196">
        <v>526506</v>
      </c>
      <c r="E104" s="419" t="str">
        <f>+VLOOKUP(A104,cennik!A:G,2,FALSE)</f>
        <v>SEVROLL 06269 Elegant II tor dolny 1,7 m czarny lakier strukturalny</v>
      </c>
      <c r="F104" s="419"/>
      <c r="G104" s="417"/>
      <c r="H104" s="417">
        <v>1700</v>
      </c>
      <c r="I104" s="1" t="str">
        <f>CONCATENATE(H104,"-",J22,", ",J19)</f>
        <v>1700-czarny lakier strukturalny, Elegant II</v>
      </c>
    </row>
    <row r="105" spans="1:26" ht="15" customHeight="1" x14ac:dyDescent="0.3">
      <c r="A105" s="196">
        <v>526509</v>
      </c>
      <c r="B105" s="417"/>
      <c r="C105" s="1" t="str">
        <f>CONCATENATE(H105,"-",J22,", ",J19)</f>
        <v>2350-czarny lakier strukturalny, Elegant II</v>
      </c>
      <c r="D105" s="196">
        <v>526509</v>
      </c>
      <c r="E105" s="419" t="str">
        <f>+VLOOKUP(A105,cennik!A:G,2,FALSE)</f>
        <v>SEVROLL 06270 Elegant II tor dolny 2,35 m czarny lakier strukturalny</v>
      </c>
      <c r="F105" s="419"/>
      <c r="G105" s="417"/>
      <c r="H105" s="417">
        <v>2350</v>
      </c>
      <c r="I105" s="1" t="str">
        <f>CONCATENATE(H105,"-",J22,", ",J19)</f>
        <v>2350-czarny lakier strukturalny, Elegant II</v>
      </c>
    </row>
    <row r="106" spans="1:26" ht="15" customHeight="1" x14ac:dyDescent="0.3">
      <c r="A106" s="196">
        <v>526510</v>
      </c>
      <c r="B106" s="417"/>
      <c r="C106" s="1" t="str">
        <f>CONCATENATE(H106,"-",J22,", ",J19)</f>
        <v>3000-czarny lakier strukturalny, Elegant II</v>
      </c>
      <c r="D106" s="196">
        <v>526510</v>
      </c>
      <c r="E106" s="419" t="str">
        <f>+VLOOKUP(A106,cennik!A:G,2,FALSE)</f>
        <v>SEVROLL 06271 Elegant II tor dolny 3 m czarny lakier strukturalny</v>
      </c>
      <c r="F106" s="419"/>
      <c r="G106" s="417"/>
      <c r="H106" s="417">
        <v>3000</v>
      </c>
      <c r="I106" s="1" t="str">
        <f>CONCATENATE(H106,"-",J22,", ",J19)</f>
        <v>3000-czarny lakier strukturalny, Elegant II</v>
      </c>
    </row>
    <row r="107" spans="1:26" ht="15" customHeight="1" x14ac:dyDescent="0.3">
      <c r="A107" s="196">
        <v>526511</v>
      </c>
      <c r="B107" s="417"/>
      <c r="C107" s="1" t="str">
        <f>CONCATENATE(H107,"-",J22,", ",J19)</f>
        <v>4050-czarny lakier strukturalny, Elegant II</v>
      </c>
      <c r="D107" s="196">
        <v>526511</v>
      </c>
      <c r="E107" s="419" t="str">
        <f>+VLOOKUP(A107,cennik!A:G,2,FALSE)</f>
        <v>SEVROLL 06272 Elegant II tor dolny 4,05 m czarny lakier strukturalny</v>
      </c>
      <c r="F107" s="419"/>
      <c r="G107" s="417"/>
      <c r="H107" s="417">
        <v>4050</v>
      </c>
      <c r="I107" s="1" t="str">
        <f>CONCATENATE(H107,"-",J22,", ",J19)</f>
        <v>4050-czarny lakier strukturalny, Elegant II</v>
      </c>
    </row>
    <row r="108" spans="1:26" ht="15" customHeight="1" x14ac:dyDescent="0.3">
      <c r="A108" s="196">
        <v>526512</v>
      </c>
      <c r="B108" s="417"/>
      <c r="C108" s="1" t="str">
        <f>CONCATENATE(H108,"-",J22,", ",J19)</f>
        <v>6000-czarny lakier strukturalny, Elegant II</v>
      </c>
      <c r="D108" s="196">
        <v>526512</v>
      </c>
      <c r="E108" s="419" t="str">
        <f>+VLOOKUP(A108,cennik!A:G,2,FALSE)</f>
        <v>SEVROLL 06128 Elegant II tor dolny 6m czarny lakier strukturalny</v>
      </c>
      <c r="F108" s="419"/>
      <c r="G108" s="417"/>
      <c r="H108" s="417">
        <v>6000</v>
      </c>
      <c r="I108" s="1" t="str">
        <f>CONCATENATE(H108,"-",J22,", ",J19)</f>
        <v>6000-czarny lakier strukturalny, Elegant II</v>
      </c>
    </row>
    <row r="109" spans="1:26" s="437" customFormat="1" ht="15" customHeight="1" x14ac:dyDescent="0.3">
      <c r="A109" s="436">
        <v>276743</v>
      </c>
      <c r="C109" s="1" t="str">
        <f>CONCATENATE(H109,"-",J18,", ",J19)</f>
        <v>3000-biały mat, Elegant II</v>
      </c>
      <c r="D109" s="436">
        <v>276743</v>
      </c>
      <c r="E109" s="438" t="s">
        <v>1178</v>
      </c>
      <c r="F109" s="438" t="s">
        <v>1178</v>
      </c>
      <c r="H109" s="437">
        <v>3000</v>
      </c>
      <c r="I109" s="1" t="str">
        <f>CONCATENATE(H109,"-",J18,", ",J19)</f>
        <v>3000-biały mat, Elegant II</v>
      </c>
      <c r="Z109" s="1" t="b">
        <f t="shared" si="4"/>
        <v>1</v>
      </c>
    </row>
    <row r="110" spans="1:26" s="437" customFormat="1" ht="15" customHeight="1" x14ac:dyDescent="0.3">
      <c r="A110" s="436">
        <v>394792</v>
      </c>
      <c r="C110" s="1" t="str">
        <f>CONCATENATE(H110,"-",J18,", ",J19)</f>
        <v>1700-biały mat, Elegant II</v>
      </c>
      <c r="D110" s="436">
        <v>394792</v>
      </c>
      <c r="E110" s="438" t="s">
        <v>1496</v>
      </c>
      <c r="F110" s="438" t="s">
        <v>1496</v>
      </c>
      <c r="H110" s="437">
        <v>1700</v>
      </c>
      <c r="I110" s="1" t="str">
        <f>CONCATENATE(H110,"-",J18,", ",J19)</f>
        <v>1700-biały mat, Elegant II</v>
      </c>
      <c r="Z110" s="1" t="b">
        <f t="shared" si="4"/>
        <v>1</v>
      </c>
    </row>
    <row r="111" spans="1:26" s="437" customFormat="1" ht="15" customHeight="1" x14ac:dyDescent="0.3">
      <c r="A111" s="436">
        <v>394795</v>
      </c>
      <c r="C111" s="1" t="str">
        <f>CONCATENATE(H111,"-",J18,", ",J19)</f>
        <v>2350-biały mat, Elegant II</v>
      </c>
      <c r="D111" s="436">
        <v>394795</v>
      </c>
      <c r="E111" s="438" t="s">
        <v>1497</v>
      </c>
      <c r="F111" s="438" t="s">
        <v>1497</v>
      </c>
      <c r="H111" s="437">
        <v>2350</v>
      </c>
      <c r="I111" s="1" t="str">
        <f>CONCATENATE(H111,"-",J18,", ",J19)</f>
        <v>2350-biały mat, Elegant II</v>
      </c>
      <c r="Z111" s="1" t="b">
        <f t="shared" si="4"/>
        <v>1</v>
      </c>
    </row>
    <row r="112" spans="1:26" s="437" customFormat="1" ht="15" customHeight="1" x14ac:dyDescent="0.3">
      <c r="A112" s="436">
        <v>394796</v>
      </c>
      <c r="C112" s="1" t="str">
        <f>CONCATENATE(H112,"-",J18,", ",J19)</f>
        <v>4050-biały mat, Elegant II</v>
      </c>
      <c r="D112" s="436">
        <v>394796</v>
      </c>
      <c r="E112" s="438" t="s">
        <v>1498</v>
      </c>
      <c r="F112" s="438" t="s">
        <v>1498</v>
      </c>
      <c r="H112" s="437">
        <v>4050</v>
      </c>
      <c r="I112" s="1" t="str">
        <f>CONCATENATE(H112,"-",J18,", ",J19)</f>
        <v>4050-biały mat, Elegant II</v>
      </c>
      <c r="Z112" s="1" t="b">
        <f t="shared" si="4"/>
        <v>1</v>
      </c>
    </row>
    <row r="113" spans="1:26" s="437" customFormat="1" ht="15" customHeight="1" x14ac:dyDescent="0.3">
      <c r="A113" s="436">
        <v>394800</v>
      </c>
      <c r="C113" s="1" t="str">
        <f>CONCATENATE(H113,"-",J18,", ",J19)</f>
        <v>6000-biały mat, Elegant II</v>
      </c>
      <c r="D113" s="436">
        <v>394800</v>
      </c>
      <c r="E113" s="438" t="s">
        <v>1499</v>
      </c>
      <c r="F113" s="438" t="s">
        <v>1499</v>
      </c>
      <c r="H113" s="437">
        <v>6000</v>
      </c>
      <c r="I113" s="1" t="str">
        <f>CONCATENATE(H113,"-",J18,", ",J19)</f>
        <v>6000-biały mat, Elegant II</v>
      </c>
      <c r="Z113" s="1" t="b">
        <f t="shared" si="4"/>
        <v>1</v>
      </c>
    </row>
    <row r="114" spans="1:26" ht="15" customHeight="1" x14ac:dyDescent="0.3">
      <c r="A114" s="2"/>
      <c r="B114" s="161" t="s">
        <v>973</v>
      </c>
      <c r="E114" s="48"/>
      <c r="F114" s="48"/>
      <c r="Z114" s="1" t="b">
        <f t="shared" si="4"/>
        <v>1</v>
      </c>
    </row>
    <row r="115" spans="1:26" ht="15" customHeight="1" x14ac:dyDescent="0.3">
      <c r="A115" s="49">
        <v>318657</v>
      </c>
      <c r="B115" s="48"/>
      <c r="C115" s="1" t="str">
        <f>CONCATENATE(H115,"-",J4,", ",J19)</f>
        <v>1700-srebrny, Elegant II</v>
      </c>
      <c r="D115" s="49">
        <v>318657</v>
      </c>
      <c r="E115" s="48" t="str">
        <f>+VLOOKUP(A115,cennik!A:G,2,FALSE)</f>
        <v>SEVROLL zaślepka do toru Elegant II 1,7m srebrny</v>
      </c>
      <c r="F115" s="48" t="str">
        <f>+VLOOKUP(A115,cennik!A:B,2,FALSE)</f>
        <v>SEVROLL zaślepka do toru Elegant II 1,7m srebrny</v>
      </c>
      <c r="G115" s="1" t="e">
        <f>+VLOOKUP(A115,#REF!,4,FALSE)</f>
        <v>#REF!</v>
      </c>
      <c r="H115" s="1" t="s">
        <v>464</v>
      </c>
      <c r="I115" s="1" t="str">
        <f>CONCATENATE(H115,"-",J4,", ",J19)</f>
        <v>1700-srebrny, Elegant II</v>
      </c>
      <c r="Z115" s="1" t="b">
        <f t="shared" si="4"/>
        <v>1</v>
      </c>
    </row>
    <row r="116" spans="1:26" ht="15" customHeight="1" x14ac:dyDescent="0.3">
      <c r="A116" s="49">
        <v>318660</v>
      </c>
      <c r="B116" s="48"/>
      <c r="C116" s="1" t="str">
        <f>CONCATENATE(H116,"-",J4,", ",J19)</f>
        <v>2350-srebrny, Elegant II</v>
      </c>
      <c r="D116" s="49">
        <v>318660</v>
      </c>
      <c r="E116" s="48" t="str">
        <f>+VLOOKUP(A116,cennik!A:G,2,FALSE)</f>
        <v>SEVROLL zaślepka do toru Elegant II 2,35m srebrny</v>
      </c>
      <c r="F116" s="48" t="str">
        <f>+VLOOKUP(A116,cennik!A:B,2,FALSE)</f>
        <v>SEVROLL zaślepka do toru Elegant II 2,35m srebrny</v>
      </c>
      <c r="G116" s="1" t="e">
        <f>+VLOOKUP(A116,#REF!,4,FALSE)</f>
        <v>#REF!</v>
      </c>
      <c r="H116" s="1" t="s">
        <v>465</v>
      </c>
      <c r="I116" s="1" t="str">
        <f>CONCATENATE(H116,"-",J4,", ",J19)</f>
        <v>2350-srebrny, Elegant II</v>
      </c>
      <c r="Z116" s="1" t="b">
        <f t="shared" si="4"/>
        <v>1</v>
      </c>
    </row>
    <row r="117" spans="1:26" ht="15" customHeight="1" x14ac:dyDescent="0.3">
      <c r="A117" s="49">
        <v>345408</v>
      </c>
      <c r="B117" s="48"/>
      <c r="C117" s="1" t="str">
        <f>CONCATENATE(H117,"-",J4,", ",J19)</f>
        <v>3000-srebrny, Elegant II</v>
      </c>
      <c r="D117" s="49">
        <v>345408</v>
      </c>
      <c r="E117" s="48" t="str">
        <f>+VLOOKUP(A117,cennik!A:G,2,FALSE)</f>
        <v>SEVROLL zaślepka do toru Elegant II 3m srebrny</v>
      </c>
      <c r="F117" s="48" t="str">
        <f>+VLOOKUP(A117,cennik!A:B,2,FALSE)</f>
        <v>SEVROLL zaślepka do toru Elegant II 3m srebrny</v>
      </c>
      <c r="G117" s="1" t="e">
        <f>+VLOOKUP(A117,#REF!,4,FALSE)</f>
        <v>#REF!</v>
      </c>
      <c r="H117" s="1" t="s">
        <v>466</v>
      </c>
      <c r="I117" s="1" t="str">
        <f>CONCATENATE(H117,"-",J4,", ",J19)</f>
        <v>3000-srebrny, Elegant II</v>
      </c>
      <c r="Z117" s="1" t="b">
        <f t="shared" si="4"/>
        <v>1</v>
      </c>
    </row>
    <row r="118" spans="1:26" ht="15" customHeight="1" x14ac:dyDescent="0.3">
      <c r="A118" s="49">
        <v>345776</v>
      </c>
      <c r="B118" s="48"/>
      <c r="C118" s="1" t="str">
        <f>CONCATENATE(H118,"-",J4,", ",J19)</f>
        <v>4050-srebrny, Elegant II</v>
      </c>
      <c r="D118" s="49">
        <v>345776</v>
      </c>
      <c r="E118" s="48" t="str">
        <f>+VLOOKUP(A118,cennik!A:G,2,FALSE)</f>
        <v>SEVROLL zaślepka do toru Elegant II 4,05m srebrny</v>
      </c>
      <c r="F118" s="48" t="str">
        <f>+VLOOKUP(A118,cennik!A:B,2,FALSE)</f>
        <v>SEVROLL zaślepka do toru Elegant II 4,05m srebrny</v>
      </c>
      <c r="G118" s="1" t="e">
        <f>+VLOOKUP(A118,#REF!,4,FALSE)</f>
        <v>#REF!</v>
      </c>
      <c r="H118" s="1" t="s">
        <v>467</v>
      </c>
      <c r="I118" s="1" t="str">
        <f>CONCATENATE(H118,"-",J4,", ",J19)</f>
        <v>4050-srebrny, Elegant II</v>
      </c>
      <c r="Z118" s="1" t="b">
        <f t="shared" si="4"/>
        <v>1</v>
      </c>
    </row>
    <row r="119" spans="1:26" ht="15" customHeight="1" x14ac:dyDescent="0.3">
      <c r="A119" s="168">
        <v>346118</v>
      </c>
      <c r="B119" s="48"/>
      <c r="C119" s="1" t="str">
        <f>CONCATENATE(H119,"-",J4,", ",J19)</f>
        <v>6000-srebrny, Elegant II</v>
      </c>
      <c r="D119" s="168">
        <v>346118</v>
      </c>
      <c r="E119" s="48" t="str">
        <f>+VLOOKUP(A119,cennik!A:G,2,FALSE)</f>
        <v>SEVROLL maska do toru Elegant II 6 m srebrny</v>
      </c>
      <c r="F119" s="48" t="str">
        <f>+VLOOKUP(A119,cennik!A:B,2,FALSE)</f>
        <v>SEVROLL maska do toru Elegant II 6 m srebrny</v>
      </c>
      <c r="H119" s="1">
        <v>6000</v>
      </c>
      <c r="I119" s="1" t="str">
        <f>CONCATENATE(H119,"-",J4,", ",J19)</f>
        <v>6000-srebrny, Elegant II</v>
      </c>
      <c r="Z119" s="1" t="b">
        <f t="shared" si="4"/>
        <v>1</v>
      </c>
    </row>
    <row r="120" spans="1:26" ht="15" customHeight="1" x14ac:dyDescent="0.3">
      <c r="A120" s="49">
        <v>318655</v>
      </c>
      <c r="B120" s="48"/>
      <c r="C120" s="1" t="str">
        <f>CONCATENATE(H120,"-",J6,", ",J19)</f>
        <v>1700-j.brąz, Elegant II</v>
      </c>
      <c r="D120" s="49">
        <v>318655</v>
      </c>
      <c r="E120" s="48" t="str">
        <f>+VLOOKUP(A120,cennik!A:G,2,FALSE)</f>
        <v>SEVROLL maska do toru Elegant II 1,7m jasny brąz</v>
      </c>
      <c r="F120" s="48" t="str">
        <f>+VLOOKUP(A120,cennik!A:B,2,FALSE)</f>
        <v>SEVROLL maska do toru Elegant II 1,7m jasny brąz</v>
      </c>
      <c r="G120" s="1" t="e">
        <f>+VLOOKUP(A120,#REF!,4,FALSE)</f>
        <v>#REF!</v>
      </c>
      <c r="H120" s="1" t="s">
        <v>464</v>
      </c>
      <c r="I120" s="1" t="str">
        <f>CONCATENATE(H120,"-",J6,", ",J19)</f>
        <v>1700-j.brąz, Elegant II</v>
      </c>
      <c r="Z120" s="1" t="b">
        <f t="shared" si="4"/>
        <v>1</v>
      </c>
    </row>
    <row r="121" spans="1:26" ht="15" customHeight="1" x14ac:dyDescent="0.3">
      <c r="A121" s="49">
        <v>318658</v>
      </c>
      <c r="B121" s="48"/>
      <c r="C121" s="1" t="str">
        <f>CONCATENATE(H121,"-",J6,", ",J19)</f>
        <v>2350-j.brąz, Elegant II</v>
      </c>
      <c r="D121" s="49">
        <v>318658</v>
      </c>
      <c r="E121" s="48" t="str">
        <f>+VLOOKUP(A121,cennik!A:G,2,FALSE)</f>
        <v>SEVROLL maska do toru Elegant II 2,35m jasny brąz</v>
      </c>
      <c r="F121" s="48" t="str">
        <f>+VLOOKUP(A121,cennik!A:B,2,FALSE)</f>
        <v>SEVROLL maska do toru Elegant II 2,35m jasny brąz</v>
      </c>
      <c r="G121" s="1" t="e">
        <f>+VLOOKUP(A121,#REF!,4,FALSE)</f>
        <v>#REF!</v>
      </c>
      <c r="H121" s="1" t="s">
        <v>465</v>
      </c>
      <c r="I121" s="1" t="str">
        <f>CONCATENATE(H121,"-",J6,", ",J19)</f>
        <v>2350-j.brąz, Elegant II</v>
      </c>
      <c r="Z121" s="1" t="b">
        <f t="shared" si="4"/>
        <v>1</v>
      </c>
    </row>
    <row r="122" spans="1:26" ht="15" customHeight="1" x14ac:dyDescent="0.3">
      <c r="A122" s="49">
        <v>345409</v>
      </c>
      <c r="B122" s="48"/>
      <c r="C122" s="1" t="str">
        <f>CONCATENATE(H122,"-",J6,", ",J19)</f>
        <v>3000-j.brąz, Elegant II</v>
      </c>
      <c r="D122" s="49">
        <v>345409</v>
      </c>
      <c r="E122" s="48" t="str">
        <f>+VLOOKUP(A122,cennik!A:G,2,FALSE)</f>
        <v>SEVROLL maska do toru Elegant II 3 m jasny brąz</v>
      </c>
      <c r="F122" s="48" t="str">
        <f>+VLOOKUP(A122,cennik!A:B,2,FALSE)</f>
        <v>SEVROLL maska do toru Elegant II 3 m jasny brąz</v>
      </c>
      <c r="G122" s="1" t="e">
        <f>+VLOOKUP(A122,#REF!,4,FALSE)</f>
        <v>#REF!</v>
      </c>
      <c r="H122" s="1" t="s">
        <v>466</v>
      </c>
      <c r="I122" s="1" t="str">
        <f>CONCATENATE(H122,"-",J6,", ",J19)</f>
        <v>3000-j.brąz, Elegant II</v>
      </c>
      <c r="Z122" s="1" t="b">
        <f t="shared" si="4"/>
        <v>1</v>
      </c>
    </row>
    <row r="123" spans="1:26" ht="15" customHeight="1" x14ac:dyDescent="0.3">
      <c r="A123" s="49">
        <v>345777</v>
      </c>
      <c r="B123" s="48"/>
      <c r="C123" s="1" t="str">
        <f>CONCATENATE(H123,"-",J6,", ",J19)</f>
        <v>4050-j.brąz, Elegant II</v>
      </c>
      <c r="D123" s="49">
        <v>345777</v>
      </c>
      <c r="E123" s="48" t="str">
        <f>+VLOOKUP(A123,cennik!A:G,2,FALSE)</f>
        <v>SEVROLL maska do toru Elegant II 4,05 m jasny brąz</v>
      </c>
      <c r="F123" s="48" t="str">
        <f>+VLOOKUP(A123,cennik!A:B,2,FALSE)</f>
        <v>SEVROLL maska do toru Elegant II 4,05 m jasny brąz</v>
      </c>
      <c r="G123" s="1" t="e">
        <f>+VLOOKUP(A123,#REF!,4,FALSE)</f>
        <v>#REF!</v>
      </c>
      <c r="H123" s="1" t="s">
        <v>467</v>
      </c>
      <c r="I123" s="1" t="str">
        <f>CONCATENATE(H123,"-",J6,", ",J19)</f>
        <v>4050-j.brąz, Elegant II</v>
      </c>
      <c r="Z123" s="1" t="b">
        <f t="shared" si="4"/>
        <v>1</v>
      </c>
    </row>
    <row r="124" spans="1:26" ht="15" customHeight="1" x14ac:dyDescent="0.3">
      <c r="A124" s="49">
        <v>346119</v>
      </c>
      <c r="B124" s="48"/>
      <c r="C124" s="1" t="str">
        <f>CONCATENATE(H124,"-",J6,", ",J19)</f>
        <v>6000-j.brąz, Elegant II</v>
      </c>
      <c r="D124" s="49">
        <v>346119</v>
      </c>
      <c r="E124" s="48" t="str">
        <f>+VLOOKUP(A124,cennik!A:G,2,FALSE)</f>
        <v>SEVROLL maska do toru Elegant II 6 m jasny brąz</v>
      </c>
      <c r="F124" s="48" t="str">
        <f>+VLOOKUP(A124,cennik!A:B,2,FALSE)</f>
        <v>SEVROLL maska do toru Elegant II 6 m jasny brąz</v>
      </c>
      <c r="H124" s="1">
        <v>6000</v>
      </c>
      <c r="I124" s="1" t="str">
        <f>CONCATENATE(H124,"-",J6,", ",J19)</f>
        <v>6000-j.brąz, Elegant II</v>
      </c>
      <c r="Z124" s="1" t="b">
        <f t="shared" si="4"/>
        <v>1</v>
      </c>
    </row>
    <row r="125" spans="1:26" ht="15" customHeight="1" x14ac:dyDescent="0.3">
      <c r="A125" s="49">
        <v>345401</v>
      </c>
      <c r="B125" s="48"/>
      <c r="C125" s="1" t="str">
        <f>CONCATENATE(H125,"-",J7,", ",J19)</f>
        <v>1700-j.brąz szczotkowany, Elegant II</v>
      </c>
      <c r="D125" s="49">
        <v>345401</v>
      </c>
      <c r="E125" s="48" t="str">
        <f>+VLOOKUP(A125,cennik!A:G,2,FALSE)</f>
        <v>SEVROLL maska do toru Elegant II 1,7m jasny brąz szczotkowany</v>
      </c>
      <c r="F125" s="48" t="str">
        <f>+VLOOKUP(A125,cennik!A:B,2,FALSE)</f>
        <v>SEVROLL maska do toru Elegant II 1,7m jasny brąz szczotkowany</v>
      </c>
      <c r="H125" s="1">
        <v>1700</v>
      </c>
      <c r="I125" s="1" t="str">
        <f>CONCATENATE(H125,"-",J7,", ",J19)</f>
        <v>1700-j.brąz szczotkowany, Elegant II</v>
      </c>
      <c r="Z125" s="1" t="b">
        <f t="shared" si="4"/>
        <v>1</v>
      </c>
    </row>
    <row r="126" spans="1:26" ht="15" customHeight="1" x14ac:dyDescent="0.3">
      <c r="A126" s="49">
        <v>345404</v>
      </c>
      <c r="B126" s="48"/>
      <c r="C126" s="1" t="str">
        <f>CONCATENATE(H126,"-",J7,", ",J19)</f>
        <v>2350-j.brąz szczotkowany, Elegant II</v>
      </c>
      <c r="D126" s="49">
        <v>345404</v>
      </c>
      <c r="E126" s="48" t="str">
        <f>+VLOOKUP(A126,cennik!A:G,2,FALSE)</f>
        <v>SEVROLL maska do toru Elegant II 2,35 m jasny brąz szczotkowany</v>
      </c>
      <c r="F126" s="48" t="str">
        <f>+VLOOKUP(A126,cennik!A:B,2,FALSE)</f>
        <v>SEVROLL maska do toru Elegant II 2,35 m jasny brąz szczotkowany</v>
      </c>
      <c r="H126" s="1">
        <v>2350</v>
      </c>
      <c r="I126" s="1" t="str">
        <f>CONCATENATE(H126,"-",J7,", ",J19)</f>
        <v>2350-j.brąz szczotkowany, Elegant II</v>
      </c>
      <c r="Z126" s="1" t="b">
        <f t="shared" si="4"/>
        <v>1</v>
      </c>
    </row>
    <row r="127" spans="1:26" ht="15" customHeight="1" x14ac:dyDescent="0.3">
      <c r="A127" s="49">
        <v>345410</v>
      </c>
      <c r="B127" s="48"/>
      <c r="C127" s="1" t="str">
        <f>CONCATENATE(H127,"-",J7,", ",J19)</f>
        <v>3000-j.brąz szczotkowany, Elegant II</v>
      </c>
      <c r="D127" s="49">
        <v>345410</v>
      </c>
      <c r="E127" s="48" t="str">
        <f>+VLOOKUP(A127,cennik!A:G,2,FALSE)</f>
        <v>SEVROLL maska do toru Elegant II 3 m jasny brąz szczotkowany</v>
      </c>
      <c r="F127" s="48" t="str">
        <f>+VLOOKUP(A127,cennik!A:B,2,FALSE)</f>
        <v>SEVROLL maska do toru Elegant II 3 m jasny brąz szczotkowany</v>
      </c>
      <c r="H127" s="1">
        <v>3000</v>
      </c>
      <c r="I127" s="1" t="str">
        <f>CONCATENATE(H127,"-",J7,", ",J19)</f>
        <v>3000-j.brąz szczotkowany, Elegant II</v>
      </c>
      <c r="Z127" s="1" t="b">
        <f t="shared" si="4"/>
        <v>1</v>
      </c>
    </row>
    <row r="128" spans="1:26" ht="15" customHeight="1" x14ac:dyDescent="0.3">
      <c r="A128" s="49">
        <v>346114</v>
      </c>
      <c r="B128" s="48"/>
      <c r="C128" s="1" t="str">
        <f>CONCATENATE(H128,"-",J7,", ",J19)</f>
        <v>4050-j.brąz szczotkowany, Elegant II</v>
      </c>
      <c r="D128" s="49">
        <v>346114</v>
      </c>
      <c r="E128" s="48" t="str">
        <f>+VLOOKUP(A128,cennik!A:G,2,FALSE)</f>
        <v>SEVROLL maska do toru Elegant II 4,05 m jasny brąz szczotkowany</v>
      </c>
      <c r="F128" s="48" t="str">
        <f>+VLOOKUP(A128,cennik!A:B,2,FALSE)</f>
        <v>SEVROLL maska do toru Elegant II 4,05 m jasny brąz szczotkowany</v>
      </c>
      <c r="H128" s="1">
        <v>4050</v>
      </c>
      <c r="I128" s="1" t="str">
        <f>CONCATENATE(H128,"-",J7,", ",J19)</f>
        <v>4050-j.brąz szczotkowany, Elegant II</v>
      </c>
      <c r="Z128" s="1" t="b">
        <f t="shared" si="4"/>
        <v>1</v>
      </c>
    </row>
    <row r="129" spans="1:26" ht="15" customHeight="1" x14ac:dyDescent="0.3">
      <c r="A129" s="49">
        <v>346120</v>
      </c>
      <c r="B129" s="48"/>
      <c r="C129" s="1" t="str">
        <f>CONCATENATE(H129,"-",J7,", ",J19)</f>
        <v>6000-j.brąz szczotkowany, Elegant II</v>
      </c>
      <c r="D129" s="49">
        <v>346120</v>
      </c>
      <c r="E129" s="48" t="str">
        <f>+VLOOKUP(A129,cennik!A:G,2,FALSE)</f>
        <v>SEVROLL zaślepka do toru Elegant II 6m jasny brąz szczotkowany</v>
      </c>
      <c r="F129" s="48" t="str">
        <f>+VLOOKUP(A129,cennik!A:B,2,FALSE)</f>
        <v>SEVROLL zaślepka do toru Elegant II 6m jasny brąz szczotkowany</v>
      </c>
      <c r="H129" s="1">
        <v>6000</v>
      </c>
      <c r="I129" s="1" t="str">
        <f>CONCATENATE(H129,"-",J7,", ",J19)</f>
        <v>6000-j.brąz szczotkowany, Elegant II</v>
      </c>
      <c r="Z129" s="1" t="b">
        <f t="shared" si="4"/>
        <v>1</v>
      </c>
    </row>
    <row r="130" spans="1:26" ht="15" customHeight="1" x14ac:dyDescent="0.3">
      <c r="A130" s="49">
        <v>345402</v>
      </c>
      <c r="B130" s="48"/>
      <c r="C130" s="1" t="str">
        <f>CONCATENATE(H130,"-",J8,", ",J19)</f>
        <v>1700-szczot.oliwa ciemna, Elegant II</v>
      </c>
      <c r="D130" s="49">
        <v>345402</v>
      </c>
      <c r="E130" s="48" t="str">
        <f>+VLOOKUP(A130,cennik!A:G,2,FALSE)</f>
        <v>SEVROLL zaślepka do toru Elegant II 1,7m koniak szczotkowany</v>
      </c>
      <c r="F130" s="48" t="str">
        <f>+VLOOKUP(A130,cennik!A:B,2,FALSE)</f>
        <v>SEVROLL zaślepka do toru Elegant II 1,7m koniak szczotkowany</v>
      </c>
      <c r="H130" s="1">
        <v>1700</v>
      </c>
      <c r="I130" s="1" t="str">
        <f>CONCATENATE(H130,"-",J8,", ",J19)</f>
        <v>1700-szczot.oliwa ciemna, Elegant II</v>
      </c>
      <c r="Z130" s="1" t="b">
        <f t="shared" si="4"/>
        <v>1</v>
      </c>
    </row>
    <row r="131" spans="1:26" ht="15" customHeight="1" x14ac:dyDescent="0.3">
      <c r="A131" s="49">
        <v>345405</v>
      </c>
      <c r="B131" s="48"/>
      <c r="C131" s="1" t="str">
        <f>CONCATENATE(H131,"-",J8,", ",J19)</f>
        <v>2350-szczot.oliwa ciemna, Elegant II</v>
      </c>
      <c r="D131" s="49">
        <v>345405</v>
      </c>
      <c r="E131" s="48" t="str">
        <f>+VLOOKUP(A131,cennik!A:G,2,FALSE)</f>
        <v>SEVROLL zaślepka do toru Elegant II 2,35m koniak szczotkowany</v>
      </c>
      <c r="F131" s="48" t="str">
        <f>+VLOOKUP(A131,cennik!A:B,2,FALSE)</f>
        <v>SEVROLL zaślepka do toru Elegant II 2,35m koniak szczotkowany</v>
      </c>
      <c r="H131" s="1">
        <v>2350</v>
      </c>
      <c r="I131" s="1" t="str">
        <f>CONCATENATE(H131,"-",J8,", ",J19)</f>
        <v>2350-szczot.oliwa ciemna, Elegant II</v>
      </c>
      <c r="Z131" s="1" t="b">
        <f t="shared" si="4"/>
        <v>1</v>
      </c>
    </row>
    <row r="132" spans="1:26" ht="15" customHeight="1" x14ac:dyDescent="0.3">
      <c r="A132" s="49">
        <v>345411</v>
      </c>
      <c r="B132" s="48"/>
      <c r="C132" s="1" t="str">
        <f>CONCATENATE(H132,"-",J8,", ",J19)</f>
        <v>3000-szczot.oliwa ciemna, Elegant II</v>
      </c>
      <c r="D132" s="49">
        <v>345411</v>
      </c>
      <c r="E132" s="48" t="str">
        <f>+VLOOKUP(A132,cennik!A:G,2,FALSE)</f>
        <v>SEVROLL zaślepka do toru Elegant II 3m koniak szczotkowany</v>
      </c>
      <c r="F132" s="48" t="str">
        <f>+VLOOKUP(A132,cennik!A:B,2,FALSE)</f>
        <v>SEVROLL zaślepka do toru Elegant II 3m koniak szczotkowany</v>
      </c>
      <c r="H132" s="1">
        <v>3000</v>
      </c>
      <c r="I132" s="1" t="str">
        <f>CONCATENATE(H132,"-",J8,", ",J19)</f>
        <v>3000-szczot.oliwa ciemna, Elegant II</v>
      </c>
      <c r="Z132" s="1" t="b">
        <f t="shared" si="4"/>
        <v>1</v>
      </c>
    </row>
    <row r="133" spans="1:26" ht="15" customHeight="1" x14ac:dyDescent="0.3">
      <c r="A133" s="49">
        <v>346115</v>
      </c>
      <c r="B133" s="48"/>
      <c r="C133" s="1" t="str">
        <f>CONCATENATE(H133,"-",J8,", ",J19)</f>
        <v>4050-szczot.oliwa ciemna, Elegant II</v>
      </c>
      <c r="D133" s="49">
        <v>346115</v>
      </c>
      <c r="E133" s="48" t="str">
        <f>+VLOOKUP(A133,cennik!A:G,2,FALSE)</f>
        <v>SEVROLL zaślepka do toru Elegant II 4,05m koniak szczotkowany</v>
      </c>
      <c r="F133" s="48" t="str">
        <f>+VLOOKUP(A133,cennik!A:B,2,FALSE)</f>
        <v>SEVROLL zaślepka do toru Elegant II 4,05m koniak szczotkowany</v>
      </c>
      <c r="H133" s="1">
        <v>4050</v>
      </c>
      <c r="I133" s="1" t="str">
        <f>CONCATENATE(H133,"-",J8,", ",J19)</f>
        <v>4050-szczot.oliwa ciemna, Elegant II</v>
      </c>
      <c r="Z133" s="1" t="b">
        <f t="shared" si="4"/>
        <v>1</v>
      </c>
    </row>
    <row r="134" spans="1:26" ht="15" customHeight="1" x14ac:dyDescent="0.3">
      <c r="A134" s="49">
        <v>346121</v>
      </c>
      <c r="B134" s="48"/>
      <c r="C134" s="1" t="str">
        <f>CONCATENATE(H134,"-",J8,", ",J19)</f>
        <v>6000-szczot.oliwa ciemna, Elegant II</v>
      </c>
      <c r="D134" s="49">
        <v>346121</v>
      </c>
      <c r="E134" s="48" t="str">
        <f>+VLOOKUP(A134,cennik!A:G,2,FALSE)</f>
        <v>SEVROLL zaślepka do toru Elegant II 6m koniak szczotkowany</v>
      </c>
      <c r="F134" s="48" t="str">
        <f>+VLOOKUP(A134,cennik!A:B,2,FALSE)</f>
        <v>SEVROLL zaślepka do toru Elegant II 6m koniak szczotkowany</v>
      </c>
      <c r="H134" s="1">
        <v>6000</v>
      </c>
      <c r="I134" s="1" t="str">
        <f>CONCATENATE(H134,"-",J8,", ",J19)</f>
        <v>6000-szczot.oliwa ciemna, Elegant II</v>
      </c>
      <c r="Z134" s="1" t="b">
        <f t="shared" si="4"/>
        <v>1</v>
      </c>
    </row>
    <row r="135" spans="1:26" ht="15" customHeight="1" x14ac:dyDescent="0.3">
      <c r="A135" s="49">
        <v>345403</v>
      </c>
      <c r="B135" s="48"/>
      <c r="C135" s="1" t="str">
        <f>CONCATENATE(H135,"-",J9,", ",J19)</f>
        <v>1700-szczot.czarna, Elegant II</v>
      </c>
      <c r="D135" s="49">
        <v>345403</v>
      </c>
      <c r="E135" s="48" t="str">
        <f>+VLOOKUP(A135,cennik!A:G,2,FALSE)</f>
        <v>SEVROLL maska do toru Elegant II 1,7 m czarny szczotkowany</v>
      </c>
      <c r="F135" s="48" t="str">
        <f>+VLOOKUP(A135,cennik!A:B,2,FALSE)</f>
        <v>SEVROLL maska do toru Elegant II 1,7 m czarny szczotkowany</v>
      </c>
      <c r="H135" s="1">
        <v>1700</v>
      </c>
      <c r="I135" s="1" t="str">
        <f>CONCATENATE(H135,"-",J9,", ",J19)</f>
        <v>1700-szczot.czarna, Elegant II</v>
      </c>
      <c r="Z135" s="1" t="b">
        <f t="shared" si="4"/>
        <v>1</v>
      </c>
    </row>
    <row r="136" spans="1:26" ht="15" customHeight="1" x14ac:dyDescent="0.3">
      <c r="A136" s="49">
        <v>345407</v>
      </c>
      <c r="B136" s="48"/>
      <c r="C136" s="1" t="str">
        <f>CONCATENATE(H136,"-",J9,", ",J19)</f>
        <v>2350-szczot.czarna, Elegant II</v>
      </c>
      <c r="D136" s="49">
        <v>345407</v>
      </c>
      <c r="E136" s="48" t="str">
        <f>+VLOOKUP(A136,cennik!A:G,2,FALSE)</f>
        <v>SEVROLL zaślepka do toru Elegant II 2,35 m czarny szczotkowany</v>
      </c>
      <c r="F136" s="48" t="str">
        <f>+VLOOKUP(A136,cennik!A:B,2,FALSE)</f>
        <v>SEVROLL zaślepka do toru Elegant II 2,35 m czarny szczotkowany</v>
      </c>
      <c r="H136" s="1">
        <v>2350</v>
      </c>
      <c r="I136" s="1" t="str">
        <f>CONCATENATE(H136,"-",J9,", ",J19)</f>
        <v>2350-szczot.czarna, Elegant II</v>
      </c>
      <c r="Z136" s="1" t="b">
        <f t="shared" si="4"/>
        <v>1</v>
      </c>
    </row>
    <row r="137" spans="1:26" ht="15" customHeight="1" x14ac:dyDescent="0.3">
      <c r="A137" s="49">
        <v>345412</v>
      </c>
      <c r="B137" s="48"/>
      <c r="C137" s="1" t="str">
        <f>CONCATENATE(H137,"-",J9,", ",J19)</f>
        <v>3000-szczot.czarna, Elegant II</v>
      </c>
      <c r="D137" s="49">
        <v>345412</v>
      </c>
      <c r="E137" s="48" t="str">
        <f>+VLOOKUP(A137,cennik!A:G,2,FALSE)</f>
        <v>SEVROLL maska do toru Elegant II 3 m czarny szczotkowany</v>
      </c>
      <c r="F137" s="48" t="str">
        <f>+VLOOKUP(A137,cennik!A:B,2,FALSE)</f>
        <v>SEVROLL maska do toru Elegant II 3 m czarny szczotkowany</v>
      </c>
      <c r="H137" s="1">
        <v>3000</v>
      </c>
      <c r="I137" s="1" t="str">
        <f>CONCATENATE(H137,"-",J9,", ",J19)</f>
        <v>3000-szczot.czarna, Elegant II</v>
      </c>
      <c r="Z137" s="1" t="b">
        <f t="shared" si="4"/>
        <v>1</v>
      </c>
    </row>
    <row r="138" spans="1:26" ht="15" customHeight="1" x14ac:dyDescent="0.3">
      <c r="A138" s="49">
        <v>346116</v>
      </c>
      <c r="B138" s="48"/>
      <c r="C138" s="1" t="str">
        <f>CONCATENATE(H138,"-",J9,", ",J19)</f>
        <v>4050-szczot.czarna, Elegant II</v>
      </c>
      <c r="D138" s="49">
        <v>346116</v>
      </c>
      <c r="E138" s="48" t="str">
        <f>+VLOOKUP(A138,cennik!A:G,2,FALSE)</f>
        <v>SEVROLL maska do toru Elegant II 4,05 m czarny szczotkowany</v>
      </c>
      <c r="F138" s="48" t="str">
        <f>+VLOOKUP(A138,cennik!A:B,2,FALSE)</f>
        <v>SEVROLL maska do toru Elegant II 4,05 m czarny szczotkowany</v>
      </c>
      <c r="H138" s="1">
        <v>4050</v>
      </c>
      <c r="I138" s="1" t="str">
        <f>CONCATENATE(H138,"-",J9,", ",J19)</f>
        <v>4050-szczot.czarna, Elegant II</v>
      </c>
      <c r="Z138" s="1" t="b">
        <f t="shared" si="4"/>
        <v>1</v>
      </c>
    </row>
    <row r="139" spans="1:26" ht="15" customHeight="1" x14ac:dyDescent="0.3">
      <c r="A139" s="49">
        <v>346122</v>
      </c>
      <c r="B139" s="48"/>
      <c r="C139" s="1" t="str">
        <f>CONCATENATE(H139,"-",J9,", ",J19)</f>
        <v>6000-szczot.czarna, Elegant II</v>
      </c>
      <c r="D139" s="49">
        <v>346122</v>
      </c>
      <c r="E139" s="48" t="str">
        <f>+VLOOKUP(A139,cennik!A:G,2,FALSE)</f>
        <v>SEVROLL zaślepka do toru Elegant II 6m czarny szczotkowany</v>
      </c>
      <c r="F139" s="48" t="str">
        <f>+VLOOKUP(A139,cennik!A:B,2,FALSE)</f>
        <v>SEVROLL zaślepka do toru Elegant II 6m czarny szczotkowany</v>
      </c>
      <c r="H139" s="1">
        <v>6000</v>
      </c>
      <c r="I139" s="1" t="str">
        <f>CONCATENATE(H139,"-",J9,", ",J19)</f>
        <v>6000-szczot.czarna, Elegant II</v>
      </c>
      <c r="Z139" s="1" t="b">
        <f t="shared" si="4"/>
        <v>1</v>
      </c>
    </row>
    <row r="140" spans="1:26" ht="15" customHeight="1" x14ac:dyDescent="0.3">
      <c r="A140" s="49">
        <v>318656</v>
      </c>
      <c r="B140" s="48"/>
      <c r="C140" s="1" t="str">
        <f>CONCATENATE(H140,"-",J15,", ",J19)</f>
        <v>1700- biały połysk, Elegant II</v>
      </c>
      <c r="D140" s="49">
        <v>318656</v>
      </c>
      <c r="E140" s="48" t="str">
        <f>+VLOOKUP(A140,cennik!A:G,2,FALSE)</f>
        <v>SEVROLL maska do toru Elegant II 1,7m biały połysk</v>
      </c>
      <c r="F140" s="48" t="str">
        <f>+VLOOKUP(A140,cennik!A:B,2,FALSE)</f>
        <v>SEVROLL maska do toru Elegant II 1,7m biały połysk</v>
      </c>
      <c r="H140" s="1">
        <v>1700</v>
      </c>
      <c r="I140" s="1" t="str">
        <f>CONCATENATE(H140,"-",J15,", ",J19)</f>
        <v>1700- biały połysk, Elegant II</v>
      </c>
      <c r="Z140" s="1" t="b">
        <f t="shared" si="4"/>
        <v>1</v>
      </c>
    </row>
    <row r="141" spans="1:26" ht="15" customHeight="1" x14ac:dyDescent="0.3">
      <c r="A141" s="49">
        <v>318659</v>
      </c>
      <c r="B141" s="48"/>
      <c r="C141" s="1" t="str">
        <f>CONCATENATE(H141,"-",J15,", ",J19)</f>
        <v>2350- biały połysk, Elegant II</v>
      </c>
      <c r="D141" s="49">
        <v>318659</v>
      </c>
      <c r="E141" s="48" t="str">
        <f>+VLOOKUP(A141,cennik!A:G,2,FALSE)</f>
        <v>SEVROLL maska do toru Elegant II 2,35m biały połysk</v>
      </c>
      <c r="F141" s="48" t="str">
        <f>+VLOOKUP(A141,cennik!A:B,2,FALSE)</f>
        <v>SEVROLL maska do toru Elegant II 2,35m biały połysk</v>
      </c>
      <c r="H141" s="1">
        <v>2350</v>
      </c>
      <c r="I141" s="1" t="str">
        <f>CONCATENATE(H141,"-",J15,", ",J19)</f>
        <v>2350- biały połysk, Elegant II</v>
      </c>
      <c r="Z141" s="1" t="b">
        <f t="shared" si="4"/>
        <v>1</v>
      </c>
    </row>
    <row r="142" spans="1:26" ht="15" customHeight="1" x14ac:dyDescent="0.3">
      <c r="A142" s="49">
        <v>345413</v>
      </c>
      <c r="B142" s="48"/>
      <c r="C142" s="1" t="str">
        <f>CONCATENATE(H142,"-",J15,", ",J19)</f>
        <v>3000- biały połysk, Elegant II</v>
      </c>
      <c r="D142" s="49">
        <v>345413</v>
      </c>
      <c r="E142" s="48" t="str">
        <f>+VLOOKUP(A142,cennik!A:G,2,FALSE)</f>
        <v>SEVROLL maska do toru Elegant II 3 m biały połysk</v>
      </c>
      <c r="F142" s="48" t="str">
        <f>+VLOOKUP(A142,cennik!A:B,2,FALSE)</f>
        <v>SEVROLL maska do toru Elegant II 3 m biały połysk</v>
      </c>
      <c r="H142" s="1">
        <v>3000</v>
      </c>
      <c r="I142" s="1" t="str">
        <f>CONCATENATE(H142,"-",J15,", ",J19)</f>
        <v>3000- biały połysk, Elegant II</v>
      </c>
      <c r="Z142" s="1" t="b">
        <f t="shared" si="4"/>
        <v>1</v>
      </c>
    </row>
    <row r="143" spans="1:26" ht="15" customHeight="1" x14ac:dyDescent="0.3">
      <c r="A143" s="49">
        <v>346117</v>
      </c>
      <c r="B143" s="48"/>
      <c r="C143" s="1" t="str">
        <f>CONCATENATE(H143,"-",J15,", ",J19)</f>
        <v>4050- biały połysk, Elegant II</v>
      </c>
      <c r="D143" s="49">
        <v>346117</v>
      </c>
      <c r="E143" s="48" t="str">
        <f>+VLOOKUP(A143,cennik!A:G,2,FALSE)</f>
        <v>SEVROLL maska do toru Elegant II 4,05 m biały połysk</v>
      </c>
      <c r="F143" s="48" t="str">
        <f>+VLOOKUP(A143,cennik!A:B,2,FALSE)</f>
        <v>SEVROLL maska do toru Elegant II 4,05 m biały połysk</v>
      </c>
      <c r="H143" s="1">
        <v>4050</v>
      </c>
      <c r="I143" s="1" t="str">
        <f>CONCATENATE(H143,"-",J15,", ",J19)</f>
        <v>4050- biały połysk, Elegant II</v>
      </c>
      <c r="Z143" s="1" t="b">
        <f t="shared" si="4"/>
        <v>1</v>
      </c>
    </row>
    <row r="144" spans="1:26" ht="15" customHeight="1" x14ac:dyDescent="0.3">
      <c r="A144" s="49">
        <v>346123</v>
      </c>
      <c r="B144" s="48"/>
      <c r="C144" s="1" t="str">
        <f>CONCATENATE(H144,"-",J15,", ",J19)</f>
        <v>6000- biały połysk, Elegant II</v>
      </c>
      <c r="D144" s="49">
        <v>346123</v>
      </c>
      <c r="E144" s="48" t="str">
        <f>+VLOOKUP(A144,cennik!A:G,2,FALSE)</f>
        <v>SEVROLL zaślepka do toru Elegant II 6m biały połysk</v>
      </c>
      <c r="F144" s="48" t="str">
        <f>+VLOOKUP(A144,cennik!A:B,2,FALSE)</f>
        <v>SEVROLL zaślepka do toru Elegant II 6m biały połysk</v>
      </c>
      <c r="H144" s="1">
        <v>6000</v>
      </c>
      <c r="I144" s="1" t="str">
        <f>CONCATENATE(H144,"-",J15,", ",J19)</f>
        <v>6000- biały połysk, Elegant II</v>
      </c>
      <c r="Z144" s="1" t="b">
        <f t="shared" si="4"/>
        <v>1</v>
      </c>
    </row>
    <row r="145" spans="1:26" ht="15" customHeight="1" x14ac:dyDescent="0.3">
      <c r="A145" s="49">
        <v>542674</v>
      </c>
      <c r="B145" s="48"/>
      <c r="C145" s="1" t="str">
        <f>CONCATENATE(H145,"-",J5,", ",J19)</f>
        <v>1700-złoty/mosiądz, Elegant II</v>
      </c>
      <c r="D145" s="49">
        <v>542674</v>
      </c>
      <c r="E145" s="48" t="str">
        <f>+VLOOKUP(A145,cennik!A:G,2,FALSE)</f>
        <v>SEVROLL 06800 zaślepka do toru Elegant II 1,7m złoty/mosiądz</v>
      </c>
      <c r="F145" s="48" t="str">
        <f>+VLOOKUP(A145,cennik!A:B,2,FALSE)</f>
        <v>SEVROLL 06800 zaślepka do toru Elegant II 1,7m złoty/mosiądz</v>
      </c>
      <c r="H145" s="1" t="s">
        <v>464</v>
      </c>
      <c r="I145" s="1" t="str">
        <f>CONCATENATE(H145,"-",J5,", ",J19)</f>
        <v>1700-złoty/mosiądz, Elegant II</v>
      </c>
      <c r="Z145" s="1" t="b">
        <f t="shared" ref="Z145:Z213" si="5">A145=D145</f>
        <v>1</v>
      </c>
    </row>
    <row r="146" spans="1:26" ht="15" customHeight="1" x14ac:dyDescent="0.3">
      <c r="A146" s="49">
        <v>542675</v>
      </c>
      <c r="B146" s="48"/>
      <c r="C146" s="1" t="str">
        <f>CONCATENATE(H146,"-",J5,", ",J19)</f>
        <v>2350-złoty/mosiądz, Elegant II</v>
      </c>
      <c r="D146" s="49">
        <v>542675</v>
      </c>
      <c r="E146" s="48" t="str">
        <f>+VLOOKUP(A146,cennik!A:G,2,FALSE)</f>
        <v>SEVROLL 06801 zaślepka do toru Elegant II 2,35m złoty/mosiądz</v>
      </c>
      <c r="F146" s="48" t="str">
        <f>+VLOOKUP(A146,cennik!A:B,2,FALSE)</f>
        <v>SEVROLL 06801 zaślepka do toru Elegant II 2,35m złoty/mosiądz</v>
      </c>
      <c r="H146" s="1" t="s">
        <v>465</v>
      </c>
      <c r="I146" s="1" t="str">
        <f>CONCATENATE(H146,"-",J5,", ",J19)</f>
        <v>2350-złoty/mosiądz, Elegant II</v>
      </c>
      <c r="Z146" s="1" t="b">
        <f t="shared" si="5"/>
        <v>1</v>
      </c>
    </row>
    <row r="147" spans="1:26" ht="15" customHeight="1" x14ac:dyDescent="0.3">
      <c r="A147" s="49">
        <v>542584</v>
      </c>
      <c r="B147" s="48"/>
      <c r="C147" s="1" t="str">
        <f>CONCATENATE(H147,"-",J5,", ",J19)</f>
        <v>3000-złoty/mosiądz, Elegant II</v>
      </c>
      <c r="D147" s="49">
        <v>542584</v>
      </c>
      <c r="E147" s="48" t="str">
        <f>+VLOOKUP(A147,cennik!A:G,2,FALSE)</f>
        <v>SEVROLL 06802 profil maskujący do toru Elegant II 3m złoty/mosiądz</v>
      </c>
      <c r="F147" s="48" t="str">
        <f>+VLOOKUP(A147,cennik!A:B,2,FALSE)</f>
        <v>SEVROLL 06802 profil maskujący do toru Elegant II 3m złoty/mosiądz</v>
      </c>
      <c r="H147" s="1" t="s">
        <v>466</v>
      </c>
      <c r="I147" s="1" t="str">
        <f>CONCATENATE(H147,"-",J5,", ",J19)</f>
        <v>3000-złoty/mosiądz, Elegant II</v>
      </c>
      <c r="Z147" s="1" t="b">
        <f t="shared" si="5"/>
        <v>1</v>
      </c>
    </row>
    <row r="148" spans="1:26" ht="15" customHeight="1" x14ac:dyDescent="0.3">
      <c r="A148" s="49">
        <v>542590</v>
      </c>
      <c r="B148" s="48"/>
      <c r="C148" s="1" t="str">
        <f>CONCATENATE(H148,"-",J5,", ",J19)</f>
        <v>4050-złoty/mosiądz, Elegant II</v>
      </c>
      <c r="D148" s="49">
        <v>542590</v>
      </c>
      <c r="E148" s="48" t="str">
        <f>+VLOOKUP(A148,cennik!A:G,2,FALSE)</f>
        <v>SEVROLL 04311 profil maskujący do toru Elegant II 4,05m złoty/mosiądz</v>
      </c>
      <c r="F148" s="48" t="str">
        <f>+VLOOKUP(A148,cennik!A:B,2,FALSE)</f>
        <v>SEVROLL 04311 profil maskujący do toru Elegant II 4,05m złoty/mosiądz</v>
      </c>
      <c r="H148" s="1" t="s">
        <v>467</v>
      </c>
      <c r="I148" s="1" t="str">
        <f>CONCATENATE(H148,"-",J5,", ",J19)</f>
        <v>4050-złoty/mosiądz, Elegant II</v>
      </c>
      <c r="Z148" s="1" t="b">
        <f t="shared" si="5"/>
        <v>1</v>
      </c>
    </row>
    <row r="149" spans="1:26" ht="15" customHeight="1" x14ac:dyDescent="0.3">
      <c r="A149" s="49">
        <v>542676</v>
      </c>
      <c r="B149" s="48"/>
      <c r="C149" s="1" t="str">
        <f>CONCATENATE(H149,"-",J5,", ",J19)</f>
        <v>6000-złoty/mosiądz, Elegant II</v>
      </c>
      <c r="D149" s="49">
        <v>542676</v>
      </c>
      <c r="E149" s="48" t="str">
        <f>+VLOOKUP(A149,cennik!A:G,2,FALSE)</f>
        <v>SEVROLL 06804 zaślepka do toru Elegant II 6m złoty/mosiądz</v>
      </c>
      <c r="F149" s="48" t="str">
        <f>+VLOOKUP(A149,cennik!A:B,2,FALSE)</f>
        <v>SEVROLL 06804 zaślepka do toru Elegant II 6m złoty/mosiądz</v>
      </c>
      <c r="H149" s="1">
        <v>6000</v>
      </c>
      <c r="I149" s="1" t="str">
        <f>CONCATENATE(H149,"-",J5,", ",J19)</f>
        <v>6000-złoty/mosiądz, Elegant II</v>
      </c>
      <c r="Z149" s="1" t="b">
        <f t="shared" si="5"/>
        <v>1</v>
      </c>
    </row>
    <row r="150" spans="1:26" ht="15" customHeight="1" x14ac:dyDescent="0.3">
      <c r="A150" s="49" t="s">
        <v>111</v>
      </c>
      <c r="B150" s="48"/>
      <c r="C150" s="1" t="str">
        <f>CONCATENATE(H150,"-",J4,", ",J21)</f>
        <v>1700-srebrny, Gemini</v>
      </c>
      <c r="D150" s="49" t="s">
        <v>111</v>
      </c>
      <c r="E150" s="48" t="e">
        <f>+VLOOKUP(A150,cennik!A:G,2,FALSE)</f>
        <v>#N/A</v>
      </c>
      <c r="F150" s="48" t="e">
        <f>+VLOOKUP(A150,cennik!A:B,2,FALSE)</f>
        <v>#N/A</v>
      </c>
      <c r="G150" s="1" t="e">
        <f>+VLOOKUP(A150,#REF!,4,FALSE)</f>
        <v>#REF!</v>
      </c>
      <c r="H150" s="1" t="s">
        <v>464</v>
      </c>
      <c r="I150" s="1" t="str">
        <f>CONCATENATE(H150,"-",J4,", ",J21)</f>
        <v>1700-srebrny, Gemini</v>
      </c>
      <c r="Z150" s="1" t="b">
        <f t="shared" si="5"/>
        <v>1</v>
      </c>
    </row>
    <row r="151" spans="1:26" ht="15" customHeight="1" x14ac:dyDescent="0.3">
      <c r="A151" s="49" t="s">
        <v>111</v>
      </c>
      <c r="B151" s="48"/>
      <c r="C151" s="1" t="str">
        <f>CONCATENATE(H151,"-",J4,", ",J21)</f>
        <v>2350-srebrny, Gemini</v>
      </c>
      <c r="D151" s="49" t="s">
        <v>111</v>
      </c>
      <c r="E151" s="48" t="e">
        <f>+VLOOKUP(A151,cennik!A:G,2,FALSE)</f>
        <v>#N/A</v>
      </c>
      <c r="F151" s="48" t="e">
        <f>+VLOOKUP(A151,cennik!A:B,2,FALSE)</f>
        <v>#N/A</v>
      </c>
      <c r="H151" s="1" t="s">
        <v>465</v>
      </c>
      <c r="I151" s="1" t="str">
        <f>CONCATENATE(H151,"-",J4,", ",J21)</f>
        <v>2350-srebrny, Gemini</v>
      </c>
      <c r="Z151" s="1" t="b">
        <f t="shared" si="5"/>
        <v>1</v>
      </c>
    </row>
    <row r="152" spans="1:26" ht="15" customHeight="1" x14ac:dyDescent="0.3">
      <c r="A152" s="49" t="s">
        <v>111</v>
      </c>
      <c r="B152" s="48"/>
      <c r="C152" s="1" t="str">
        <f>CONCATENATE(H152,"-",J4,", ",J21)</f>
        <v>3000-srebrny, Gemini</v>
      </c>
      <c r="D152" s="49" t="s">
        <v>111</v>
      </c>
      <c r="E152" s="48" t="e">
        <f>+VLOOKUP(A152,cennik!A:G,2,FALSE)</f>
        <v>#N/A</v>
      </c>
      <c r="F152" s="48" t="e">
        <f>+VLOOKUP(A152,cennik!A:B,2,FALSE)</f>
        <v>#N/A</v>
      </c>
      <c r="H152" s="1" t="s">
        <v>466</v>
      </c>
      <c r="I152" s="1" t="str">
        <f>CONCATENATE(H152,"-",J4,", ",J21)</f>
        <v>3000-srebrny, Gemini</v>
      </c>
      <c r="Z152" s="1" t="b">
        <f t="shared" si="5"/>
        <v>1</v>
      </c>
    </row>
    <row r="153" spans="1:26" ht="15" customHeight="1" x14ac:dyDescent="0.3">
      <c r="A153" s="49" t="s">
        <v>111</v>
      </c>
      <c r="B153" s="48"/>
      <c r="C153" s="1" t="str">
        <f>CONCATENATE(H153,"-",J4,", ",J21)</f>
        <v>4050-srebrny, Gemini</v>
      </c>
      <c r="D153" s="49" t="s">
        <v>111</v>
      </c>
      <c r="E153" s="48" t="e">
        <f>+VLOOKUP(A153,cennik!A:G,2,FALSE)</f>
        <v>#N/A</v>
      </c>
      <c r="F153" s="48" t="e">
        <f>+VLOOKUP(A153,cennik!A:B,2,FALSE)</f>
        <v>#N/A</v>
      </c>
      <c r="H153" s="1" t="s">
        <v>467</v>
      </c>
      <c r="I153" s="1" t="str">
        <f>CONCATENATE(H153,"-",J4,", ",J21)</f>
        <v>4050-srebrny, Gemini</v>
      </c>
      <c r="Z153" s="1" t="b">
        <f t="shared" si="5"/>
        <v>1</v>
      </c>
    </row>
    <row r="154" spans="1:26" ht="15" customHeight="1" x14ac:dyDescent="0.3">
      <c r="A154" s="49" t="s">
        <v>111</v>
      </c>
      <c r="B154" s="48"/>
      <c r="C154" s="1" t="str">
        <f>CONCATENATE(H154,"-",J4,", ",J21)</f>
        <v>6000-srebrny, Gemini</v>
      </c>
      <c r="D154" s="49" t="s">
        <v>111</v>
      </c>
      <c r="E154" s="48" t="e">
        <f>+VLOOKUP(A154,cennik!A:G,2,FALSE)</f>
        <v>#N/A</v>
      </c>
      <c r="F154" s="48" t="e">
        <f>+VLOOKUP(A154,cennik!A:B,2,FALSE)</f>
        <v>#N/A</v>
      </c>
      <c r="H154" s="1">
        <v>6000</v>
      </c>
      <c r="I154" s="1" t="str">
        <f>CONCATENATE(H154,"-",J4,", ",J21)</f>
        <v>6000-srebrny, Gemini</v>
      </c>
      <c r="Z154" s="1" t="b">
        <f t="shared" si="5"/>
        <v>1</v>
      </c>
    </row>
    <row r="155" spans="1:26" ht="15" customHeight="1" x14ac:dyDescent="0.3">
      <c r="A155" s="49" t="s">
        <v>111</v>
      </c>
      <c r="B155" s="48"/>
      <c r="C155" s="1" t="str">
        <f>CONCATENATE(H155,"-",J5,", ",J21)</f>
        <v>1700-złoty/mosiądz, Gemini</v>
      </c>
      <c r="D155" s="49" t="s">
        <v>111</v>
      </c>
      <c r="E155" s="48" t="e">
        <f>+VLOOKUP(A155,cennik!A:G,2,FALSE)</f>
        <v>#N/A</v>
      </c>
      <c r="F155" s="48" t="e">
        <f>+VLOOKUP(A155,cennik!A:B,2,FALSE)</f>
        <v>#N/A</v>
      </c>
      <c r="G155" s="1" t="e">
        <f>+VLOOKUP(A155,#REF!,4,FALSE)</f>
        <v>#REF!</v>
      </c>
      <c r="H155" s="1" t="s">
        <v>464</v>
      </c>
      <c r="I155" s="1" t="str">
        <f>CONCATENATE(H155,"-",J5,", ",J21)</f>
        <v>1700-złoty/mosiądz, Gemini</v>
      </c>
      <c r="Z155" s="1" t="b">
        <f t="shared" si="5"/>
        <v>1</v>
      </c>
    </row>
    <row r="156" spans="1:26" ht="15" customHeight="1" x14ac:dyDescent="0.3">
      <c r="A156" s="49" t="s">
        <v>111</v>
      </c>
      <c r="B156" s="48"/>
      <c r="C156" s="1" t="str">
        <f>CONCATENATE(H156,"-",J5,", ",J21)</f>
        <v>2350-złoty/mosiądz, Gemini</v>
      </c>
      <c r="D156" s="49" t="s">
        <v>111</v>
      </c>
      <c r="E156" s="48" t="e">
        <f>+VLOOKUP(A156,cennik!A:G,2,FALSE)</f>
        <v>#N/A</v>
      </c>
      <c r="F156" s="48" t="e">
        <f>+VLOOKUP(A156,cennik!A:B,2,FALSE)</f>
        <v>#N/A</v>
      </c>
      <c r="H156" s="1" t="s">
        <v>465</v>
      </c>
      <c r="I156" s="1" t="str">
        <f>CONCATENATE(H156,"-",J5,", ",J21)</f>
        <v>2350-złoty/mosiądz, Gemini</v>
      </c>
      <c r="Z156" s="1" t="b">
        <f t="shared" si="5"/>
        <v>1</v>
      </c>
    </row>
    <row r="157" spans="1:26" ht="15" customHeight="1" x14ac:dyDescent="0.3">
      <c r="A157" s="49" t="s">
        <v>111</v>
      </c>
      <c r="B157" s="48"/>
      <c r="C157" s="1" t="str">
        <f>CONCATENATE(H157,"-",J5,", ",J21)</f>
        <v>3000-złoty/mosiądz, Gemini</v>
      </c>
      <c r="D157" s="49" t="s">
        <v>111</v>
      </c>
      <c r="E157" s="48" t="e">
        <f>+VLOOKUP(A157,cennik!A:G,2,FALSE)</f>
        <v>#N/A</v>
      </c>
      <c r="F157" s="48" t="e">
        <f>+VLOOKUP(A157,cennik!A:B,2,FALSE)</f>
        <v>#N/A</v>
      </c>
      <c r="H157" s="1" t="s">
        <v>466</v>
      </c>
      <c r="I157" s="1" t="str">
        <f>CONCATENATE(H157,"-",J5,", ",J21)</f>
        <v>3000-złoty/mosiądz, Gemini</v>
      </c>
      <c r="Z157" s="1" t="b">
        <f t="shared" si="5"/>
        <v>1</v>
      </c>
    </row>
    <row r="158" spans="1:26" ht="15" customHeight="1" x14ac:dyDescent="0.3">
      <c r="A158" s="49" t="s">
        <v>111</v>
      </c>
      <c r="B158" s="48"/>
      <c r="C158" s="1" t="str">
        <f>CONCATENATE(H158,"-",J5,", ",J21)</f>
        <v>4050-złoty/mosiądz, Gemini</v>
      </c>
      <c r="D158" s="49" t="s">
        <v>111</v>
      </c>
      <c r="E158" s="48" t="e">
        <f>+VLOOKUP(A158,cennik!A:G,2,FALSE)</f>
        <v>#N/A</v>
      </c>
      <c r="F158" s="48" t="e">
        <f>+VLOOKUP(A158,cennik!A:B,2,FALSE)</f>
        <v>#N/A</v>
      </c>
      <c r="H158" s="1" t="s">
        <v>467</v>
      </c>
      <c r="I158" s="1" t="str">
        <f>CONCATENATE(H158,"-",J5,", ",J21)</f>
        <v>4050-złoty/mosiądz, Gemini</v>
      </c>
      <c r="Z158" s="1" t="b">
        <f t="shared" si="5"/>
        <v>1</v>
      </c>
    </row>
    <row r="159" spans="1:26" ht="15" customHeight="1" x14ac:dyDescent="0.3">
      <c r="A159" s="49" t="s">
        <v>111</v>
      </c>
      <c r="B159" s="48"/>
      <c r="C159" s="1" t="str">
        <f>CONCATENATE(H159,"-",J5,", ",J21)</f>
        <v>6000-złoty/mosiądz, Gemini</v>
      </c>
      <c r="D159" s="49" t="s">
        <v>111</v>
      </c>
      <c r="E159" s="48" t="e">
        <f>+VLOOKUP(A159,cennik!A:G,2,FALSE)</f>
        <v>#N/A</v>
      </c>
      <c r="F159" s="48" t="e">
        <f>+VLOOKUP(A159,cennik!A:B,2,FALSE)</f>
        <v>#N/A</v>
      </c>
      <c r="H159" s="1">
        <v>6000</v>
      </c>
      <c r="I159" s="1" t="str">
        <f>CONCATENATE(H159,"-",J5,", ",J21)</f>
        <v>6000-złoty/mosiądz, Gemini</v>
      </c>
      <c r="Z159" s="1" t="b">
        <f t="shared" si="5"/>
        <v>1</v>
      </c>
    </row>
    <row r="160" spans="1:26" ht="15" customHeight="1" x14ac:dyDescent="0.3">
      <c r="A160" s="49" t="s">
        <v>111</v>
      </c>
      <c r="B160" s="48"/>
      <c r="C160" s="1" t="str">
        <f>CONCATENATE(H160,"-",J6,", ",J21)</f>
        <v>1700-j.brąz, Gemini</v>
      </c>
      <c r="D160" s="49" t="s">
        <v>111</v>
      </c>
      <c r="E160" s="48" t="e">
        <f>+VLOOKUP(A160,cennik!A:G,2,FALSE)</f>
        <v>#N/A</v>
      </c>
      <c r="F160" s="48" t="e">
        <f>+VLOOKUP(A160,cennik!A:B,2,FALSE)</f>
        <v>#N/A</v>
      </c>
      <c r="G160" s="1" t="e">
        <f>+VLOOKUP(A160,#REF!,4,FALSE)</f>
        <v>#REF!</v>
      </c>
      <c r="H160" s="1" t="s">
        <v>464</v>
      </c>
      <c r="I160" s="1" t="str">
        <f>CONCATENATE(H160,"-",J6,", ",J21)</f>
        <v>1700-j.brąz, Gemini</v>
      </c>
      <c r="Z160" s="1" t="b">
        <f t="shared" si="5"/>
        <v>1</v>
      </c>
    </row>
    <row r="161" spans="1:26" ht="15" customHeight="1" x14ac:dyDescent="0.3">
      <c r="A161" s="49" t="s">
        <v>111</v>
      </c>
      <c r="B161" s="48"/>
      <c r="C161" s="1" t="str">
        <f>CONCATENATE(H161,"-",J6,", ",J21)</f>
        <v>2350-j.brąz, Gemini</v>
      </c>
      <c r="D161" s="49" t="s">
        <v>111</v>
      </c>
      <c r="E161" s="48" t="e">
        <f>+VLOOKUP(A161,cennik!A:G,2,FALSE)</f>
        <v>#N/A</v>
      </c>
      <c r="F161" s="48" t="e">
        <f>+VLOOKUP(A161,cennik!A:B,2,FALSE)</f>
        <v>#N/A</v>
      </c>
      <c r="H161" s="1" t="s">
        <v>465</v>
      </c>
      <c r="I161" s="1" t="str">
        <f>CONCATENATE(H161,"-",J6,", ",J21)</f>
        <v>2350-j.brąz, Gemini</v>
      </c>
      <c r="Z161" s="1" t="b">
        <f t="shared" si="5"/>
        <v>1</v>
      </c>
    </row>
    <row r="162" spans="1:26" ht="15" customHeight="1" x14ac:dyDescent="0.3">
      <c r="A162" s="49" t="s">
        <v>111</v>
      </c>
      <c r="B162" s="48"/>
      <c r="C162" s="1" t="str">
        <f>CONCATENATE(H162,"-",J6,", ",J21)</f>
        <v>3000-j.brąz, Gemini</v>
      </c>
      <c r="D162" s="49" t="s">
        <v>111</v>
      </c>
      <c r="E162" s="48" t="e">
        <f>+VLOOKUP(A162,cennik!A:G,2,FALSE)</f>
        <v>#N/A</v>
      </c>
      <c r="F162" s="48" t="e">
        <f>+VLOOKUP(A162,cennik!A:B,2,FALSE)</f>
        <v>#N/A</v>
      </c>
      <c r="H162" s="1" t="s">
        <v>466</v>
      </c>
      <c r="I162" s="1" t="str">
        <f>CONCATENATE(H162,"-",J6,", ",J21)</f>
        <v>3000-j.brąz, Gemini</v>
      </c>
      <c r="Z162" s="1" t="b">
        <f t="shared" si="5"/>
        <v>1</v>
      </c>
    </row>
    <row r="163" spans="1:26" ht="15" customHeight="1" x14ac:dyDescent="0.3">
      <c r="A163" s="49" t="s">
        <v>111</v>
      </c>
      <c r="B163" s="48"/>
      <c r="C163" s="1" t="str">
        <f>CONCATENATE(H163,"-",J6,", ",J21)</f>
        <v>4050-j.brąz, Gemini</v>
      </c>
      <c r="D163" s="49" t="s">
        <v>111</v>
      </c>
      <c r="E163" s="48" t="e">
        <f>+VLOOKUP(A163,cennik!A:G,2,FALSE)</f>
        <v>#N/A</v>
      </c>
      <c r="F163" s="48" t="e">
        <f>+VLOOKUP(A163,cennik!A:B,2,FALSE)</f>
        <v>#N/A</v>
      </c>
      <c r="H163" s="1" t="s">
        <v>467</v>
      </c>
      <c r="I163" s="1" t="str">
        <f>CONCATENATE(H163,"-",J6,", ",J21)</f>
        <v>4050-j.brąz, Gemini</v>
      </c>
      <c r="Z163" s="1" t="b">
        <f t="shared" si="5"/>
        <v>1</v>
      </c>
    </row>
    <row r="164" spans="1:26" ht="15" customHeight="1" x14ac:dyDescent="0.3">
      <c r="A164" s="49" t="s">
        <v>111</v>
      </c>
      <c r="B164" s="48"/>
      <c r="C164" s="1" t="str">
        <f>CONCATENATE(H164,"-",J6,", ",J21)</f>
        <v>6000-j.brąz, Gemini</v>
      </c>
      <c r="D164" s="49" t="s">
        <v>111</v>
      </c>
      <c r="E164" s="48" t="e">
        <f>+VLOOKUP(A164,cennik!A:G,2,FALSE)</f>
        <v>#N/A</v>
      </c>
      <c r="F164" s="48" t="e">
        <f>+VLOOKUP(A164,cennik!A:B,2,FALSE)</f>
        <v>#N/A</v>
      </c>
      <c r="H164" s="1">
        <v>6000</v>
      </c>
      <c r="I164" s="1" t="str">
        <f>CONCATENATE(H164,"-",J6,", ",J21)</f>
        <v>6000-j.brąz, Gemini</v>
      </c>
      <c r="Z164" s="1" t="b">
        <f t="shared" si="5"/>
        <v>1</v>
      </c>
    </row>
    <row r="165" spans="1:26" ht="15" customHeight="1" x14ac:dyDescent="0.3">
      <c r="A165" s="49" t="s">
        <v>111</v>
      </c>
      <c r="B165" s="48"/>
      <c r="C165" s="1" t="str">
        <f>CONCATENATE(H165,"-",J7,", ",J21)</f>
        <v>1700-j.brąz szczotkowany, Gemini</v>
      </c>
      <c r="D165" s="49" t="s">
        <v>111</v>
      </c>
      <c r="E165" s="48" t="e">
        <f>+VLOOKUP(A165,cennik!A:G,2,FALSE)</f>
        <v>#N/A</v>
      </c>
      <c r="F165" s="48" t="e">
        <f>+VLOOKUP(A165,cennik!A:B,2,FALSE)</f>
        <v>#N/A</v>
      </c>
      <c r="G165" s="1" t="e">
        <f>+VLOOKUP(A165,#REF!,4,FALSE)</f>
        <v>#REF!</v>
      </c>
      <c r="H165" s="1" t="s">
        <v>464</v>
      </c>
      <c r="I165" s="1" t="str">
        <f>CONCATENATE(H165,"-",J7,", ",J21)</f>
        <v>1700-j.brąz szczotkowany, Gemini</v>
      </c>
      <c r="Z165" s="1" t="b">
        <f t="shared" si="5"/>
        <v>1</v>
      </c>
    </row>
    <row r="166" spans="1:26" ht="15" customHeight="1" x14ac:dyDescent="0.3">
      <c r="A166" s="49" t="s">
        <v>111</v>
      </c>
      <c r="B166" s="48"/>
      <c r="C166" s="1" t="str">
        <f>CONCATENATE(H166,"-",J7,", ",J21)</f>
        <v>2350-j.brąz szczotkowany, Gemini</v>
      </c>
      <c r="D166" s="49" t="s">
        <v>111</v>
      </c>
      <c r="E166" s="48" t="e">
        <f>+VLOOKUP(A166,cennik!A:G,2,FALSE)</f>
        <v>#N/A</v>
      </c>
      <c r="F166" s="48" t="e">
        <f>+VLOOKUP(A166,cennik!A:B,2,FALSE)</f>
        <v>#N/A</v>
      </c>
      <c r="H166" s="1" t="s">
        <v>465</v>
      </c>
      <c r="I166" s="1" t="str">
        <f>CONCATENATE(H166,"-",J7,", ",J21)</f>
        <v>2350-j.brąz szczotkowany, Gemini</v>
      </c>
      <c r="Z166" s="1" t="b">
        <f t="shared" si="5"/>
        <v>1</v>
      </c>
    </row>
    <row r="167" spans="1:26" ht="15" customHeight="1" x14ac:dyDescent="0.3">
      <c r="A167" s="49" t="s">
        <v>111</v>
      </c>
      <c r="B167" s="48"/>
      <c r="C167" s="1" t="str">
        <f>CONCATENATE(H167,"-",J7,", ",J21)</f>
        <v>3000-j.brąz szczotkowany, Gemini</v>
      </c>
      <c r="D167" s="49" t="s">
        <v>111</v>
      </c>
      <c r="E167" s="48" t="e">
        <f>+VLOOKUP(A167,cennik!A:G,2,FALSE)</f>
        <v>#N/A</v>
      </c>
      <c r="F167" s="48" t="e">
        <f>+VLOOKUP(A167,cennik!A:B,2,FALSE)</f>
        <v>#N/A</v>
      </c>
      <c r="H167" s="1" t="s">
        <v>466</v>
      </c>
      <c r="I167" s="1" t="str">
        <f>CONCATENATE(H167,"-",J7,", ",J21)</f>
        <v>3000-j.brąz szczotkowany, Gemini</v>
      </c>
      <c r="Z167" s="1" t="b">
        <f t="shared" si="5"/>
        <v>1</v>
      </c>
    </row>
    <row r="168" spans="1:26" ht="15" customHeight="1" x14ac:dyDescent="0.3">
      <c r="A168" s="49" t="s">
        <v>111</v>
      </c>
      <c r="B168" s="48"/>
      <c r="C168" s="1" t="str">
        <f>CONCATENATE(H168,"-",J7,", ",J21)</f>
        <v>4050-j.brąz szczotkowany, Gemini</v>
      </c>
      <c r="D168" s="49" t="s">
        <v>111</v>
      </c>
      <c r="E168" s="48" t="e">
        <f>+VLOOKUP(A168,cennik!A:G,2,FALSE)</f>
        <v>#N/A</v>
      </c>
      <c r="F168" s="48" t="e">
        <f>+VLOOKUP(A168,cennik!A:B,2,FALSE)</f>
        <v>#N/A</v>
      </c>
      <c r="H168" s="1" t="s">
        <v>467</v>
      </c>
      <c r="I168" s="1" t="str">
        <f>CONCATENATE(H168,"-",J7,", ",J21)</f>
        <v>4050-j.brąz szczotkowany, Gemini</v>
      </c>
      <c r="Z168" s="1" t="b">
        <f t="shared" si="5"/>
        <v>1</v>
      </c>
    </row>
    <row r="169" spans="1:26" ht="15" customHeight="1" x14ac:dyDescent="0.3">
      <c r="A169" s="49" t="s">
        <v>111</v>
      </c>
      <c r="B169" s="48"/>
      <c r="C169" s="1" t="str">
        <f>CONCATENATE(H169,"-",J7,", ",J21)</f>
        <v>6000-j.brąz szczotkowany, Gemini</v>
      </c>
      <c r="D169" s="49" t="s">
        <v>111</v>
      </c>
      <c r="E169" s="48" t="e">
        <f>+VLOOKUP(A169,cennik!A:G,2,FALSE)</f>
        <v>#N/A</v>
      </c>
      <c r="F169" s="48" t="e">
        <f>+VLOOKUP(A169,cennik!A:B,2,FALSE)</f>
        <v>#N/A</v>
      </c>
      <c r="H169" s="1">
        <v>6000</v>
      </c>
      <c r="I169" s="1" t="str">
        <f>CONCATENATE(H169,"-",J7,", ",J21)</f>
        <v>6000-j.brąz szczotkowany, Gemini</v>
      </c>
      <c r="Z169" s="1" t="b">
        <f t="shared" si="5"/>
        <v>1</v>
      </c>
    </row>
    <row r="170" spans="1:26" ht="15" customHeight="1" x14ac:dyDescent="0.3">
      <c r="A170" s="49" t="s">
        <v>111</v>
      </c>
      <c r="B170" s="48"/>
      <c r="C170" s="1" t="str">
        <f>CONCATENATE(H170,"-",J8,", ",J21)</f>
        <v>1700-szczot.oliwa ciemna, Gemini</v>
      </c>
      <c r="D170" s="49" t="s">
        <v>111</v>
      </c>
      <c r="E170" s="48" t="e">
        <f>+VLOOKUP(A170,cennik!A:G,2,FALSE)</f>
        <v>#N/A</v>
      </c>
      <c r="F170" s="48" t="e">
        <f>+VLOOKUP(A170,cennik!A:B,2,FALSE)</f>
        <v>#N/A</v>
      </c>
      <c r="G170" s="1" t="e">
        <f>+VLOOKUP(A170,#REF!,4,FALSE)</f>
        <v>#REF!</v>
      </c>
      <c r="H170" s="1" t="s">
        <v>464</v>
      </c>
      <c r="I170" s="1" t="str">
        <f>CONCATENATE(H170,"-",J8,", ",J21)</f>
        <v>1700-szczot.oliwa ciemna, Gemini</v>
      </c>
      <c r="Z170" s="1" t="b">
        <f t="shared" si="5"/>
        <v>1</v>
      </c>
    </row>
    <row r="171" spans="1:26" ht="15" customHeight="1" x14ac:dyDescent="0.3">
      <c r="A171" s="49" t="s">
        <v>111</v>
      </c>
      <c r="B171" s="48"/>
      <c r="C171" s="1" t="str">
        <f>CONCATENATE(H171,"-",J8,", ",J21)</f>
        <v>2350-szczot.oliwa ciemna, Gemini</v>
      </c>
      <c r="D171" s="49" t="s">
        <v>111</v>
      </c>
      <c r="E171" s="48" t="e">
        <f>+VLOOKUP(A171,cennik!A:G,2,FALSE)</f>
        <v>#N/A</v>
      </c>
      <c r="F171" s="48" t="e">
        <f>+VLOOKUP(A171,cennik!A:B,2,FALSE)</f>
        <v>#N/A</v>
      </c>
      <c r="H171" s="1" t="s">
        <v>465</v>
      </c>
      <c r="I171" s="1" t="str">
        <f>CONCATENATE(H171,"-",J8,", ",J21)</f>
        <v>2350-szczot.oliwa ciemna, Gemini</v>
      </c>
      <c r="Z171" s="1" t="b">
        <f t="shared" si="5"/>
        <v>1</v>
      </c>
    </row>
    <row r="172" spans="1:26" ht="15" customHeight="1" x14ac:dyDescent="0.3">
      <c r="A172" s="49" t="s">
        <v>111</v>
      </c>
      <c r="B172" s="48"/>
      <c r="C172" s="1" t="str">
        <f>CONCATENATE(H172,"-",J8,", ",J21)</f>
        <v>3000-szczot.oliwa ciemna, Gemini</v>
      </c>
      <c r="D172" s="49" t="s">
        <v>111</v>
      </c>
      <c r="E172" s="48" t="e">
        <f>+VLOOKUP(A172,cennik!A:G,2,FALSE)</f>
        <v>#N/A</v>
      </c>
      <c r="F172" s="48" t="e">
        <f>+VLOOKUP(A172,cennik!A:B,2,FALSE)</f>
        <v>#N/A</v>
      </c>
      <c r="H172" s="1" t="s">
        <v>466</v>
      </c>
      <c r="I172" s="1" t="str">
        <f>CONCATENATE(H172,"-",J8,", ",J21)</f>
        <v>3000-szczot.oliwa ciemna, Gemini</v>
      </c>
      <c r="Z172" s="1" t="b">
        <f t="shared" si="5"/>
        <v>1</v>
      </c>
    </row>
    <row r="173" spans="1:26" ht="15" customHeight="1" x14ac:dyDescent="0.3">
      <c r="A173" s="49" t="s">
        <v>111</v>
      </c>
      <c r="B173" s="48"/>
      <c r="C173" s="1" t="str">
        <f>CONCATENATE(H173,"-",J8,", ",J21)</f>
        <v>4050-szczot.oliwa ciemna, Gemini</v>
      </c>
      <c r="D173" s="49" t="s">
        <v>111</v>
      </c>
      <c r="E173" s="48" t="e">
        <f>+VLOOKUP(A173,cennik!A:G,2,FALSE)</f>
        <v>#N/A</v>
      </c>
      <c r="F173" s="48" t="e">
        <f>+VLOOKUP(A173,cennik!A:B,2,FALSE)</f>
        <v>#N/A</v>
      </c>
      <c r="H173" s="1" t="s">
        <v>467</v>
      </c>
      <c r="I173" s="1" t="str">
        <f>CONCATENATE(H173,"-",J8,", ",J21)</f>
        <v>4050-szczot.oliwa ciemna, Gemini</v>
      </c>
      <c r="Z173" s="1" t="b">
        <f t="shared" si="5"/>
        <v>1</v>
      </c>
    </row>
    <row r="174" spans="1:26" ht="15" customHeight="1" x14ac:dyDescent="0.3">
      <c r="A174" s="49" t="s">
        <v>111</v>
      </c>
      <c r="B174" s="48"/>
      <c r="C174" s="1" t="str">
        <f>CONCATENATE(H174,"-",J8,", ",J21)</f>
        <v>6000-szczot.oliwa ciemna, Gemini</v>
      </c>
      <c r="D174" s="49" t="s">
        <v>111</v>
      </c>
      <c r="E174" s="48" t="e">
        <f>+VLOOKUP(A174,cennik!A:G,2,FALSE)</f>
        <v>#N/A</v>
      </c>
      <c r="F174" s="48" t="e">
        <f>+VLOOKUP(A174,cennik!A:B,2,FALSE)</f>
        <v>#N/A</v>
      </c>
      <c r="H174" s="1">
        <v>6000</v>
      </c>
      <c r="I174" s="1" t="str">
        <f>CONCATENATE(H174,"-",J8,", ",J21)</f>
        <v>6000-szczot.oliwa ciemna, Gemini</v>
      </c>
      <c r="Z174" s="1" t="b">
        <f t="shared" si="5"/>
        <v>1</v>
      </c>
    </row>
    <row r="175" spans="1:26" ht="15" customHeight="1" x14ac:dyDescent="0.3">
      <c r="A175" s="49" t="s">
        <v>111</v>
      </c>
      <c r="B175" s="48"/>
      <c r="C175" s="1" t="str">
        <f>CONCATENATE(H175,"-",J9,", ",J21)</f>
        <v>1700-szczot.czarna, Gemini</v>
      </c>
      <c r="D175" s="49" t="s">
        <v>111</v>
      </c>
      <c r="E175" s="48" t="e">
        <f>+VLOOKUP(A175,cennik!A:G,2,FALSE)</f>
        <v>#N/A</v>
      </c>
      <c r="F175" s="48" t="e">
        <f>+VLOOKUP(A175,cennik!A:B,2,FALSE)</f>
        <v>#N/A</v>
      </c>
      <c r="G175" s="1" t="e">
        <f>+VLOOKUP(A175,#REF!,4,FALSE)</f>
        <v>#REF!</v>
      </c>
      <c r="H175" s="1" t="s">
        <v>464</v>
      </c>
      <c r="I175" s="1" t="str">
        <f>CONCATENATE(H175,"-",J9,", ",J21)</f>
        <v>1700-szczot.czarna, Gemini</v>
      </c>
      <c r="Z175" s="1" t="b">
        <f t="shared" si="5"/>
        <v>1</v>
      </c>
    </row>
    <row r="176" spans="1:26" ht="15" customHeight="1" x14ac:dyDescent="0.3">
      <c r="A176" s="49" t="s">
        <v>111</v>
      </c>
      <c r="B176" s="48"/>
      <c r="C176" s="1" t="str">
        <f>CONCATENATE(H176,"-",J9,", ",J21)</f>
        <v>2350-szczot.czarna, Gemini</v>
      </c>
      <c r="D176" s="49" t="s">
        <v>111</v>
      </c>
      <c r="E176" s="48" t="e">
        <f>+VLOOKUP(A176,cennik!A:G,2,FALSE)</f>
        <v>#N/A</v>
      </c>
      <c r="F176" s="48" t="e">
        <f>+VLOOKUP(A176,cennik!A:B,2,FALSE)</f>
        <v>#N/A</v>
      </c>
      <c r="H176" s="1" t="s">
        <v>465</v>
      </c>
      <c r="I176" s="1" t="str">
        <f>CONCATENATE(H176,"-",J9,", ",J21)</f>
        <v>2350-szczot.czarna, Gemini</v>
      </c>
      <c r="Z176" s="1" t="b">
        <f t="shared" si="5"/>
        <v>1</v>
      </c>
    </row>
    <row r="177" spans="1:26" ht="15" customHeight="1" x14ac:dyDescent="0.3">
      <c r="A177" s="49" t="s">
        <v>111</v>
      </c>
      <c r="B177" s="48"/>
      <c r="C177" s="1" t="str">
        <f>CONCATENATE(H177,"-",J9,", ",J21)</f>
        <v>3000-szczot.czarna, Gemini</v>
      </c>
      <c r="D177" s="49" t="s">
        <v>111</v>
      </c>
      <c r="E177" s="48" t="e">
        <f>+VLOOKUP(A177,cennik!A:G,2,FALSE)</f>
        <v>#N/A</v>
      </c>
      <c r="F177" s="48" t="e">
        <f>+VLOOKUP(A177,cennik!A:B,2,FALSE)</f>
        <v>#N/A</v>
      </c>
      <c r="H177" s="1" t="s">
        <v>466</v>
      </c>
      <c r="I177" s="1" t="str">
        <f>CONCATENATE(H177,"-",J9,", ",J21)</f>
        <v>3000-szczot.czarna, Gemini</v>
      </c>
      <c r="Z177" s="1" t="b">
        <f t="shared" si="5"/>
        <v>1</v>
      </c>
    </row>
    <row r="178" spans="1:26" ht="15" customHeight="1" x14ac:dyDescent="0.3">
      <c r="A178" s="49" t="s">
        <v>111</v>
      </c>
      <c r="B178" s="48"/>
      <c r="C178" s="1" t="str">
        <f>CONCATENATE(H178,"-",J9,", ",J21)</f>
        <v>4050-szczot.czarna, Gemini</v>
      </c>
      <c r="D178" s="49" t="s">
        <v>111</v>
      </c>
      <c r="E178" s="48" t="e">
        <f>+VLOOKUP(A178,cennik!A:G,2,FALSE)</f>
        <v>#N/A</v>
      </c>
      <c r="F178" s="48" t="e">
        <f>+VLOOKUP(A178,cennik!A:B,2,FALSE)</f>
        <v>#N/A</v>
      </c>
      <c r="H178" s="1" t="s">
        <v>467</v>
      </c>
      <c r="I178" s="1" t="str">
        <f>CONCATENATE(H178,"-",J9,", ",J21)</f>
        <v>4050-szczot.czarna, Gemini</v>
      </c>
      <c r="Z178" s="1" t="b">
        <f t="shared" si="5"/>
        <v>1</v>
      </c>
    </row>
    <row r="179" spans="1:26" ht="15" customHeight="1" x14ac:dyDescent="0.3">
      <c r="A179" s="49" t="s">
        <v>111</v>
      </c>
      <c r="B179" s="48"/>
      <c r="C179" s="1" t="str">
        <f>CONCATENATE(H179,"-",J9,", ",J21)</f>
        <v>6000-szczot.czarna, Gemini</v>
      </c>
      <c r="D179" s="49" t="s">
        <v>111</v>
      </c>
      <c r="E179" s="48" t="e">
        <f>+VLOOKUP(A179,cennik!A:G,2,FALSE)</f>
        <v>#N/A</v>
      </c>
      <c r="F179" s="48" t="e">
        <f>+VLOOKUP(A179,cennik!A:B,2,FALSE)</f>
        <v>#N/A</v>
      </c>
      <c r="H179" s="1">
        <v>6000</v>
      </c>
      <c r="I179" s="1" t="str">
        <f>CONCATENATE(H179,"-",J9,", ",J21)</f>
        <v>6000-szczot.czarna, Gemini</v>
      </c>
      <c r="Z179" s="1" t="b">
        <f t="shared" si="5"/>
        <v>1</v>
      </c>
    </row>
    <row r="180" spans="1:26" ht="15" customHeight="1" x14ac:dyDescent="0.3">
      <c r="A180" s="49" t="s">
        <v>111</v>
      </c>
      <c r="B180" s="48"/>
      <c r="C180" s="1" t="str">
        <f>CONCATENATE(H180,"-",J15,", ",J21)</f>
        <v>1700- biały połysk, Gemini</v>
      </c>
      <c r="D180" s="49" t="s">
        <v>111</v>
      </c>
      <c r="E180" s="48" t="e">
        <f>+VLOOKUP(A180,cennik!A:G,2,FALSE)</f>
        <v>#N/A</v>
      </c>
      <c r="F180" s="48" t="e">
        <f>+VLOOKUP(A180,cennik!A:B,2,FALSE)</f>
        <v>#N/A</v>
      </c>
      <c r="G180" s="1" t="e">
        <f>+VLOOKUP(A180,#REF!,4,FALSE)</f>
        <v>#REF!</v>
      </c>
      <c r="H180" s="1" t="s">
        <v>464</v>
      </c>
      <c r="I180" s="1" t="str">
        <f>CONCATENATE(H180,"-",J15,", ",J21)</f>
        <v>1700- biały połysk, Gemini</v>
      </c>
      <c r="Z180" s="1" t="b">
        <f t="shared" si="5"/>
        <v>1</v>
      </c>
    </row>
    <row r="181" spans="1:26" ht="15" customHeight="1" x14ac:dyDescent="0.3">
      <c r="A181" s="49" t="s">
        <v>111</v>
      </c>
      <c r="B181" s="48"/>
      <c r="C181" s="1" t="str">
        <f>CONCATENATE(H181,"-",J15,", ",J21)</f>
        <v>2350- biały połysk, Gemini</v>
      </c>
      <c r="D181" s="49" t="s">
        <v>111</v>
      </c>
      <c r="E181" s="48" t="e">
        <f>+VLOOKUP(A181,cennik!A:G,2,FALSE)</f>
        <v>#N/A</v>
      </c>
      <c r="F181" s="48" t="e">
        <f>+VLOOKUP(A181,cennik!A:B,2,FALSE)</f>
        <v>#N/A</v>
      </c>
      <c r="H181" s="1" t="s">
        <v>465</v>
      </c>
      <c r="I181" s="1" t="str">
        <f>CONCATENATE(H181,"-",J15,", ",J21)</f>
        <v>2350- biały połysk, Gemini</v>
      </c>
      <c r="Z181" s="1" t="b">
        <f t="shared" si="5"/>
        <v>1</v>
      </c>
    </row>
    <row r="182" spans="1:26" ht="15" customHeight="1" x14ac:dyDescent="0.3">
      <c r="A182" s="49" t="s">
        <v>111</v>
      </c>
      <c r="B182" s="48"/>
      <c r="C182" s="1" t="str">
        <f>CONCATENATE(H182,"-",J15,", ",J21)</f>
        <v>3000- biały połysk, Gemini</v>
      </c>
      <c r="D182" s="49" t="s">
        <v>111</v>
      </c>
      <c r="E182" s="48" t="e">
        <f>+VLOOKUP(A182,cennik!A:G,2,FALSE)</f>
        <v>#N/A</v>
      </c>
      <c r="F182" s="48" t="e">
        <f>+VLOOKUP(A182,cennik!A:B,2,FALSE)</f>
        <v>#N/A</v>
      </c>
      <c r="H182" s="1" t="s">
        <v>466</v>
      </c>
      <c r="I182" s="1" t="str">
        <f>CONCATENATE(H182,"-",J15,", ",J21)</f>
        <v>3000- biały połysk, Gemini</v>
      </c>
      <c r="Z182" s="1" t="b">
        <f t="shared" si="5"/>
        <v>1</v>
      </c>
    </row>
    <row r="183" spans="1:26" ht="15" customHeight="1" x14ac:dyDescent="0.3">
      <c r="A183" s="49" t="s">
        <v>111</v>
      </c>
      <c r="B183" s="48"/>
      <c r="C183" s="1" t="str">
        <f>CONCATENATE(H183,"-",J15,", ",J21)</f>
        <v>4050- biały połysk, Gemini</v>
      </c>
      <c r="D183" s="49" t="s">
        <v>111</v>
      </c>
      <c r="E183" s="48" t="e">
        <f>+VLOOKUP(A183,cennik!A:G,2,FALSE)</f>
        <v>#N/A</v>
      </c>
      <c r="F183" s="48" t="e">
        <f>+VLOOKUP(A183,cennik!A:B,2,FALSE)</f>
        <v>#N/A</v>
      </c>
      <c r="H183" s="1" t="s">
        <v>467</v>
      </c>
      <c r="I183" s="1" t="str">
        <f>CONCATENATE(H183,"-",J15,", ",J21)</f>
        <v>4050- biały połysk, Gemini</v>
      </c>
      <c r="Z183" s="1" t="b">
        <f t="shared" si="5"/>
        <v>1</v>
      </c>
    </row>
    <row r="184" spans="1:26" ht="15" customHeight="1" x14ac:dyDescent="0.3">
      <c r="A184" s="49" t="s">
        <v>111</v>
      </c>
      <c r="B184" s="48"/>
      <c r="C184" s="1" t="str">
        <f>CONCATENATE(H184,"-",J15,", ",J21)</f>
        <v>6000- biały połysk, Gemini</v>
      </c>
      <c r="D184" s="49" t="s">
        <v>111</v>
      </c>
      <c r="E184" s="48" t="e">
        <f>+VLOOKUP(A184,cennik!A:G,2,FALSE)</f>
        <v>#N/A</v>
      </c>
      <c r="F184" s="48" t="e">
        <f>+VLOOKUP(A184,cennik!A:B,2,FALSE)</f>
        <v>#N/A</v>
      </c>
      <c r="H184" s="1">
        <v>6000</v>
      </c>
      <c r="I184" s="1" t="str">
        <f>CONCATENATE(H184,"-",J15,", ",J21)</f>
        <v>6000- biały połysk, Gemini</v>
      </c>
      <c r="Z184" s="1" t="b">
        <f t="shared" si="5"/>
        <v>1</v>
      </c>
    </row>
    <row r="185" spans="1:26" ht="15" customHeight="1" x14ac:dyDescent="0.3">
      <c r="A185" s="418">
        <v>405427</v>
      </c>
      <c r="B185" s="417"/>
      <c r="C185" s="1" t="str">
        <f>CONCATENATE(H185,"-",J16,", ",J19)</f>
        <v>1700-czarny połysk, Elegant II</v>
      </c>
      <c r="D185" s="418">
        <v>405427</v>
      </c>
      <c r="E185" s="419" t="str">
        <f>+VLOOKUP(A185,cennik!A:G,2,FALSE)</f>
        <v>SEVROLL zaślepka do toru Elegant II 1,7m czarny połysk</v>
      </c>
      <c r="F185" s="419" t="str">
        <f>+VLOOKUP(A185,cennik!A:B,2,FALSE)</f>
        <v>SEVROLL zaślepka do toru Elegant II 1,7m czarny połysk</v>
      </c>
      <c r="G185" s="417"/>
      <c r="H185" s="417">
        <v>1700</v>
      </c>
      <c r="I185" s="1" t="str">
        <f>CONCATENATE(H185,"-",J16,", ",J19)</f>
        <v>1700-czarny połysk, Elegant II</v>
      </c>
      <c r="Z185" s="1" t="b">
        <f t="shared" si="5"/>
        <v>1</v>
      </c>
    </row>
    <row r="186" spans="1:26" ht="15" customHeight="1" x14ac:dyDescent="0.3">
      <c r="A186" s="418">
        <v>398553</v>
      </c>
      <c r="B186" s="417"/>
      <c r="C186" s="1" t="str">
        <f>CONCATENATE(H186,"-",J16,", ",J19)</f>
        <v>2350-czarny połysk, Elegant II</v>
      </c>
      <c r="D186" s="418">
        <v>398553</v>
      </c>
      <c r="E186" s="419" t="str">
        <f>+VLOOKUP(A186,cennik!A:G,2,FALSE)</f>
        <v>SEVROLL zaślepka do toru Elegant II 2,35m czarny połysk</v>
      </c>
      <c r="F186" s="419" t="str">
        <f>+VLOOKUP(A186,cennik!A:B,2,FALSE)</f>
        <v>SEVROLL zaślepka do toru Elegant II 2,35m czarny połysk</v>
      </c>
      <c r="G186" s="417"/>
      <c r="H186" s="417">
        <v>2350</v>
      </c>
      <c r="I186" s="1" t="str">
        <f>CONCATENATE(H186,"-",J16,", ",J19)</f>
        <v>2350-czarny połysk, Elegant II</v>
      </c>
      <c r="Z186" s="1" t="b">
        <f t="shared" si="5"/>
        <v>1</v>
      </c>
    </row>
    <row r="187" spans="1:26" ht="15" customHeight="1" x14ac:dyDescent="0.3">
      <c r="A187" s="418">
        <v>405428</v>
      </c>
      <c r="B187" s="417"/>
      <c r="C187" s="1" t="str">
        <f>CONCATENATE(H187,"-",J16,", ",J19)</f>
        <v>3000-czarny połysk, Elegant II</v>
      </c>
      <c r="D187" s="418">
        <v>405428</v>
      </c>
      <c r="E187" s="419" t="str">
        <f>+VLOOKUP(A187,cennik!A:G,2,FALSE)</f>
        <v>SEVROLL zaślepka do toru Elegant II 3m czarny połysk</v>
      </c>
      <c r="F187" s="419" t="str">
        <f>+VLOOKUP(A187,cennik!A:B,2,FALSE)</f>
        <v>SEVROLL zaślepka do toru Elegant II 3m czarny połysk</v>
      </c>
      <c r="G187" s="417"/>
      <c r="H187" s="417">
        <v>3000</v>
      </c>
      <c r="I187" s="1" t="str">
        <f>CONCATENATE(H187,"-",J16,", ",J19)</f>
        <v>3000-czarny połysk, Elegant II</v>
      </c>
      <c r="Z187" s="1" t="b">
        <f t="shared" si="5"/>
        <v>1</v>
      </c>
    </row>
    <row r="188" spans="1:26" ht="15" customHeight="1" x14ac:dyDescent="0.3">
      <c r="A188" s="418">
        <v>405429</v>
      </c>
      <c r="B188" s="417"/>
      <c r="C188" s="1" t="str">
        <f>CONCATENATE(H188,"-",J16,", ",J19)</f>
        <v>4050-czarny połysk, Elegant II</v>
      </c>
      <c r="D188" s="418">
        <v>405429</v>
      </c>
      <c r="E188" s="419" t="str">
        <f>+VLOOKUP(A188,cennik!A:G,2,FALSE)</f>
        <v>SEVROLL zaślepka do toru Elegant II 4,05m czarny połysk</v>
      </c>
      <c r="F188" s="419" t="str">
        <f>+VLOOKUP(A188,cennik!A:B,2,FALSE)</f>
        <v>SEVROLL zaślepka do toru Elegant II 4,05m czarny połysk</v>
      </c>
      <c r="G188" s="417"/>
      <c r="H188" s="417">
        <v>4050</v>
      </c>
      <c r="I188" s="1" t="str">
        <f>CONCATENATE(H188,"-",J16,", ",J19)</f>
        <v>4050-czarny połysk, Elegant II</v>
      </c>
      <c r="Z188" s="1" t="b">
        <f t="shared" si="5"/>
        <v>1</v>
      </c>
    </row>
    <row r="189" spans="1:26" ht="15" customHeight="1" x14ac:dyDescent="0.3">
      <c r="A189" s="418">
        <v>405430</v>
      </c>
      <c r="B189" s="417"/>
      <c r="C189" s="1" t="str">
        <f>CONCATENATE(H189,"-",J16,", ",J19)</f>
        <v>6000-czarny połysk, Elegant II</v>
      </c>
      <c r="D189" s="418">
        <v>405430</v>
      </c>
      <c r="E189" s="419" t="str">
        <f>+VLOOKUP(A189,cennik!A:G,2,FALSE)</f>
        <v>SEVROLL zaślepka do toru Elegant II 6m czarny połysk</v>
      </c>
      <c r="F189" s="419" t="str">
        <f>+VLOOKUP(A189,cennik!A:B,2,FALSE)</f>
        <v>SEVROLL zaślepka do toru Elegant II 6m czarny połysk</v>
      </c>
      <c r="G189" s="417"/>
      <c r="H189" s="417">
        <v>6000</v>
      </c>
      <c r="I189" s="1" t="str">
        <f>CONCATENATE(H189,"-",J16,", ",J19)</f>
        <v>6000-czarny połysk, Elegant II</v>
      </c>
      <c r="Z189" s="1" t="b">
        <f t="shared" si="5"/>
        <v>1</v>
      </c>
    </row>
    <row r="190" spans="1:26" ht="15" customHeight="1" x14ac:dyDescent="0.3">
      <c r="A190" s="418">
        <v>496356</v>
      </c>
      <c r="B190" s="417"/>
      <c r="C190" s="1" t="str">
        <f>CONCATENATE(H190,"-",J12,", ",J19)</f>
        <v>1700-grafit, Elegant II</v>
      </c>
      <c r="D190" s="418">
        <v>496356</v>
      </c>
      <c r="E190" s="419" t="str">
        <f>+VLOOKUP(A190,cennik!A:G,2,FALSE)</f>
        <v>SEVROLL 06048 zaślepka do toru Elegant II 1,7m grafit</v>
      </c>
      <c r="F190" s="419" t="str">
        <f>+VLOOKUP(A190,cennik!A:B,2,FALSE)</f>
        <v>SEVROLL 06048 zaślepka do toru Elegant II 1,7m grafit</v>
      </c>
      <c r="G190" s="417"/>
      <c r="H190" s="417">
        <v>1700</v>
      </c>
      <c r="I190" s="1" t="str">
        <f>CONCATENATE(H190,"-",J12,", ",J19)</f>
        <v>1700-grafit, Elegant II</v>
      </c>
      <c r="Z190" s="1" t="b">
        <f t="shared" si="5"/>
        <v>1</v>
      </c>
    </row>
    <row r="191" spans="1:26" ht="15" customHeight="1" x14ac:dyDescent="0.3">
      <c r="A191" s="418">
        <v>494693</v>
      </c>
      <c r="B191" s="417"/>
      <c r="C191" s="1" t="str">
        <f>CONCATENATE(H191,"-",J12,", ",J19)</f>
        <v>2350-grafit, Elegant II</v>
      </c>
      <c r="D191" s="418">
        <v>494693</v>
      </c>
      <c r="E191" s="419" t="str">
        <f>+VLOOKUP(A191,cennik!A:G,2,FALSE)</f>
        <v>SEVROLL 06049 zaślepka do toru Elegant II 2,35m grafit</v>
      </c>
      <c r="F191" s="419" t="str">
        <f>+VLOOKUP(A191,cennik!A:B,2,FALSE)</f>
        <v>SEVROLL 06049 zaślepka do toru Elegant II 2,35m grafit</v>
      </c>
      <c r="G191" s="417"/>
      <c r="H191" s="417">
        <v>2350</v>
      </c>
      <c r="I191" s="1" t="str">
        <f>CONCATENATE(H191,"-",J12,", ",J19)</f>
        <v>2350-grafit, Elegant II</v>
      </c>
      <c r="Z191" s="1" t="b">
        <f t="shared" si="5"/>
        <v>1</v>
      </c>
    </row>
    <row r="192" spans="1:26" ht="15" customHeight="1" x14ac:dyDescent="0.3">
      <c r="A192" s="418">
        <v>494740</v>
      </c>
      <c r="B192" s="417"/>
      <c r="C192" s="1" t="str">
        <f>CONCATENATE(H192,"-",J12,", ",J19)</f>
        <v>3000-grafit, Elegant II</v>
      </c>
      <c r="D192" s="418">
        <v>494740</v>
      </c>
      <c r="E192" s="419" t="str">
        <f>+VLOOKUP(A192,cennik!A:G,2,FALSE)</f>
        <v>SEVROLL 06050 maskownica do toru Elegant II 3m grafit</v>
      </c>
      <c r="F192" s="419" t="str">
        <f>+VLOOKUP(A192,cennik!A:B,2,FALSE)</f>
        <v>SEVROLL 06050 maskownica do toru Elegant II 3m grafit</v>
      </c>
      <c r="G192" s="417"/>
      <c r="H192" s="417">
        <v>3000</v>
      </c>
      <c r="I192" s="1" t="str">
        <f>CONCATENATE(H192,"-",J12,", ",J19)</f>
        <v>3000-grafit, Elegant II</v>
      </c>
      <c r="Z192" s="1" t="b">
        <f t="shared" si="5"/>
        <v>1</v>
      </c>
    </row>
    <row r="193" spans="1:26" ht="15" customHeight="1" x14ac:dyDescent="0.3">
      <c r="A193" s="418">
        <v>494703</v>
      </c>
      <c r="B193" s="417"/>
      <c r="C193" s="1" t="str">
        <f>CONCATENATE(H193,"-",J12,", ",J19)</f>
        <v>4050-grafit, Elegant II</v>
      </c>
      <c r="D193" s="418">
        <v>494703</v>
      </c>
      <c r="E193" s="419" t="str">
        <f>+VLOOKUP(A193,cennik!A:G,2,FALSE)</f>
        <v>SEVROLL 06051 zaślepka do toru Elegant II 4,05m grafit</v>
      </c>
      <c r="F193" s="419" t="str">
        <f>+VLOOKUP(A193,cennik!A:B,2,FALSE)</f>
        <v>SEVROLL 06051 zaślepka do toru Elegant II 4,05m grafit</v>
      </c>
      <c r="G193" s="417"/>
      <c r="H193" s="417">
        <v>4050</v>
      </c>
      <c r="I193" s="1" t="str">
        <f>CONCATENATE(H193,"-",J12,", ",J19)</f>
        <v>4050-grafit, Elegant II</v>
      </c>
      <c r="Z193" s="1" t="b">
        <f t="shared" si="5"/>
        <v>1</v>
      </c>
    </row>
    <row r="194" spans="1:26" ht="15" customHeight="1" x14ac:dyDescent="0.3">
      <c r="A194" s="418">
        <v>496357</v>
      </c>
      <c r="B194" s="417"/>
      <c r="C194" s="1" t="str">
        <f>CONCATENATE(H194,"-",J12,", ",J19)</f>
        <v>6000-grafit, Elegant II</v>
      </c>
      <c r="D194" s="418">
        <v>496357</v>
      </c>
      <c r="E194" s="419" t="str">
        <f>+VLOOKUP(A194,cennik!A:G,2,FALSE)</f>
        <v>SEVROLL 06052 maskownica do toru Elegant II 6m grafit</v>
      </c>
      <c r="F194" s="419" t="str">
        <f>+VLOOKUP(A194,cennik!A:B,2,FALSE)</f>
        <v>SEVROLL 06052 maskownica do toru Elegant II 6m grafit</v>
      </c>
      <c r="G194" s="417"/>
      <c r="H194" s="417">
        <v>6000</v>
      </c>
      <c r="I194" s="1" t="str">
        <f>CONCATENATE(H194,"-",J12,", ",J19)</f>
        <v>6000-grafit, Elegant II</v>
      </c>
      <c r="Z194" s="1" t="b">
        <f t="shared" si="5"/>
        <v>1</v>
      </c>
    </row>
    <row r="195" spans="1:26" ht="15" customHeight="1" x14ac:dyDescent="0.3">
      <c r="A195" s="418">
        <v>452751</v>
      </c>
      <c r="B195" s="417"/>
      <c r="C195" s="1" t="str">
        <f>CONCATENATE(H195,"-",J17,", ",J19)</f>
        <v>1700- czarny mat, Elegant II</v>
      </c>
      <c r="D195" s="418">
        <v>452751</v>
      </c>
      <c r="E195" s="419" t="str">
        <f>+VLOOKUP(A195,cennik!A:G,2,FALSE)</f>
        <v>SEVROLL zaślepka do toru Elegant II 1,7m czarny mat</v>
      </c>
      <c r="F195" s="419" t="str">
        <f>+VLOOKUP(A195,cennik!A:B,2,FALSE)</f>
        <v>SEVROLL zaślepka do toru Elegant II 1,7m czarny mat</v>
      </c>
      <c r="G195" s="417"/>
      <c r="H195" s="417">
        <v>1700</v>
      </c>
      <c r="I195" s="1" t="str">
        <f>CONCATENATE(H195,"-",J17,", ",J19)</f>
        <v>1700- czarny mat, Elegant II</v>
      </c>
      <c r="Z195" s="1" t="b">
        <f t="shared" si="5"/>
        <v>1</v>
      </c>
    </row>
    <row r="196" spans="1:26" ht="15" customHeight="1" x14ac:dyDescent="0.3">
      <c r="A196" s="417">
        <v>409679</v>
      </c>
      <c r="B196" s="417"/>
      <c r="C196" s="1" t="str">
        <f>CONCATENATE(H196,"-",J17,", ",J19)</f>
        <v>2350- czarny mat, Elegant II</v>
      </c>
      <c r="D196" s="417">
        <v>409679</v>
      </c>
      <c r="E196" s="419" t="str">
        <f>+VLOOKUP(A196,cennik!A:G,2,FALSE)</f>
        <v>SEVROLL 05318 zaślepka do toru Elegant II 2,35m czarny mat</v>
      </c>
      <c r="F196" s="419" t="str">
        <f>+VLOOKUP(A196,cennik!A:B,2,FALSE)</f>
        <v>SEVROLL 05318 zaślepka do toru Elegant II 2,35m czarny mat</v>
      </c>
      <c r="G196" s="417"/>
      <c r="H196" s="417">
        <v>2350</v>
      </c>
      <c r="I196" s="1" t="str">
        <f>CONCATENATE(H196,"-",J17,", ",J19)</f>
        <v>2350- czarny mat, Elegant II</v>
      </c>
      <c r="Z196" s="1" t="b">
        <f t="shared" si="5"/>
        <v>1</v>
      </c>
    </row>
    <row r="197" spans="1:26" ht="15" customHeight="1" x14ac:dyDescent="0.3">
      <c r="A197" s="417">
        <v>414086</v>
      </c>
      <c r="B197" s="417"/>
      <c r="C197" s="1" t="str">
        <f>CONCATENATE(H197,"-",J17,", ",J19)</f>
        <v>3000- czarny mat, Elegant II</v>
      </c>
      <c r="D197" s="417">
        <v>414086</v>
      </c>
      <c r="E197" s="419" t="str">
        <f>+VLOOKUP(A197,cennik!A:G,2,FALSE)</f>
        <v>SEVROLL maskownica do toru Elegant II 3m czarny mat</v>
      </c>
      <c r="F197" s="419" t="str">
        <f>+VLOOKUP(A197,cennik!A:B,2,FALSE)</f>
        <v>SEVROLL maskownica do toru Elegant II 3m czarny mat</v>
      </c>
      <c r="G197" s="417"/>
      <c r="H197" s="417">
        <v>3000</v>
      </c>
      <c r="I197" s="1" t="str">
        <f>CONCATENATE(H197,"-",J17,", ",J19)</f>
        <v>3000- czarny mat, Elegant II</v>
      </c>
      <c r="Z197" s="1" t="b">
        <f t="shared" si="5"/>
        <v>1</v>
      </c>
    </row>
    <row r="198" spans="1:26" ht="15" customHeight="1" x14ac:dyDescent="0.3">
      <c r="A198" s="417">
        <v>409680</v>
      </c>
      <c r="B198" s="417"/>
      <c r="C198" s="1" t="str">
        <f>CONCATENATE(H198,"-",J17,", ",J19)</f>
        <v>4050- czarny mat, Elegant II</v>
      </c>
      <c r="D198" s="417">
        <v>409680</v>
      </c>
      <c r="E198" s="419" t="str">
        <f>+VLOOKUP(A198,cennik!A:G,2,FALSE)</f>
        <v>SEVROLL 05320 zaślepka do toru Elegant II 4,05m czarny mat</v>
      </c>
      <c r="F198" s="419" t="str">
        <f>+VLOOKUP(A198,cennik!A:B,2,FALSE)</f>
        <v>SEVROLL 05320 zaślepka do toru Elegant II 4,05m czarny mat</v>
      </c>
      <c r="G198" s="417"/>
      <c r="H198" s="417">
        <v>4050</v>
      </c>
      <c r="I198" s="1" t="str">
        <f>CONCATENATE(H198,"-",J17,", ",J19)</f>
        <v>4050- czarny mat, Elegant II</v>
      </c>
      <c r="Z198" s="1" t="b">
        <f t="shared" si="5"/>
        <v>1</v>
      </c>
    </row>
    <row r="199" spans="1:26" ht="15" customHeight="1" x14ac:dyDescent="0.3">
      <c r="A199" s="418">
        <v>452757</v>
      </c>
      <c r="B199" s="417"/>
      <c r="C199" s="1" t="str">
        <f>CONCATENATE(H199,"-",J17,", ",J19)</f>
        <v>6000- czarny mat, Elegant II</v>
      </c>
      <c r="D199" s="418">
        <v>452757</v>
      </c>
      <c r="E199" s="419" t="str">
        <f>+VLOOKUP(A199,cennik!A:G,2,FALSE)</f>
        <v>SEVROLL maskownica do toru Elegant II 6m czarny mat</v>
      </c>
      <c r="F199" s="419" t="str">
        <f>+VLOOKUP(A199,cennik!A:B,2,FALSE)</f>
        <v>SEVROLL maskownica do toru Elegant II 6m czarny mat</v>
      </c>
      <c r="G199" s="417"/>
      <c r="H199" s="417">
        <v>6000</v>
      </c>
      <c r="I199" s="1" t="str">
        <f>CONCATENATE(H199,"-",J17,", ",J19)</f>
        <v>6000- czarny mat, Elegant II</v>
      </c>
      <c r="Z199" s="1" t="b">
        <f t="shared" si="5"/>
        <v>1</v>
      </c>
    </row>
    <row r="200" spans="1:26" s="437" customFormat="1" ht="15" customHeight="1" x14ac:dyDescent="0.3">
      <c r="A200" s="436">
        <v>394831</v>
      </c>
      <c r="C200" s="1" t="str">
        <f>CONCATENATE(H200,"-",J18,", ",J19)</f>
        <v>6000-biały mat, Elegant II</v>
      </c>
      <c r="D200" s="436">
        <v>394831</v>
      </c>
      <c r="E200" s="419" t="str">
        <f>+VLOOKUP(A200,cennik!A:G,2,FALSE)</f>
        <v>SEVROLL zaślepka do toru Elegant II 6m biały mat</v>
      </c>
      <c r="F200" s="419" t="str">
        <f>+VLOOKUP(A200,cennik!A:B,2,FALSE)</f>
        <v>SEVROLL zaślepka do toru Elegant II 6m biały mat</v>
      </c>
      <c r="H200" s="437">
        <v>6000</v>
      </c>
      <c r="I200" s="1" t="str">
        <f>CONCATENATE(H200,"-",J18,", ",J19)</f>
        <v>6000-biały mat, Elegant II</v>
      </c>
      <c r="Z200" s="1" t="b">
        <f t="shared" si="5"/>
        <v>1</v>
      </c>
    </row>
    <row r="201" spans="1:26" s="437" customFormat="1" ht="15" customHeight="1" x14ac:dyDescent="0.3">
      <c r="A201" s="436">
        <v>394848</v>
      </c>
      <c r="C201" s="1" t="str">
        <f>CONCATENATE(H201,"-",J18,", ",J19)</f>
        <v>1700-biały mat, Elegant II</v>
      </c>
      <c r="D201" s="436">
        <v>394848</v>
      </c>
      <c r="E201" s="419" t="str">
        <f>+VLOOKUP(A201,cennik!A:G,2,FALSE)</f>
        <v>SEVROLL zaślepka do toru Elegant II 1,7m biały matowy</v>
      </c>
      <c r="F201" s="419" t="str">
        <f>+VLOOKUP(A201,cennik!A:B,2,FALSE)</f>
        <v>SEVROLL zaślepka do toru Elegant II 1,7m biały matowy</v>
      </c>
      <c r="H201" s="437">
        <v>1700</v>
      </c>
      <c r="I201" s="1" t="str">
        <f>CONCATENATE(H201,"-",J18,", ",J19)</f>
        <v>1700-biały mat, Elegant II</v>
      </c>
      <c r="Z201" s="1" t="b">
        <f t="shared" si="5"/>
        <v>1</v>
      </c>
    </row>
    <row r="202" spans="1:26" s="437" customFormat="1" ht="15" customHeight="1" x14ac:dyDescent="0.3">
      <c r="A202" s="436">
        <v>395039</v>
      </c>
      <c r="C202" s="1" t="str">
        <f>CONCATENATE(H202,"-",J18,", ",J19)</f>
        <v>2350-biały mat, Elegant II</v>
      </c>
      <c r="D202" s="436">
        <v>395039</v>
      </c>
      <c r="E202" s="419" t="str">
        <f>+VLOOKUP(A202,cennik!A:G,2,FALSE)</f>
        <v>SEVROLL zaślepka do toru Elegant II 2,35m biały matowy</v>
      </c>
      <c r="F202" s="419" t="str">
        <f>+VLOOKUP(A202,cennik!A:B,2,FALSE)</f>
        <v>SEVROLL zaślepka do toru Elegant II 2,35m biały matowy</v>
      </c>
      <c r="H202" s="437">
        <v>2350</v>
      </c>
      <c r="I202" s="1" t="str">
        <f>CONCATENATE(H202,"-",J18,", ",J19)</f>
        <v>2350-biały mat, Elegant II</v>
      </c>
      <c r="Z202" s="1" t="b">
        <f t="shared" si="5"/>
        <v>1</v>
      </c>
    </row>
    <row r="203" spans="1:26" s="437" customFormat="1" ht="15" customHeight="1" x14ac:dyDescent="0.3">
      <c r="A203" s="436">
        <v>395041</v>
      </c>
      <c r="C203" s="1" t="str">
        <f>CONCATENATE(H203,"-",J18,", ",J19)</f>
        <v>3000-biały mat, Elegant II</v>
      </c>
      <c r="D203" s="436">
        <v>395041</v>
      </c>
      <c r="E203" s="419" t="str">
        <f>+VLOOKUP(A203,cennik!A:G,2,FALSE)</f>
        <v>SEVROLL zaślepka do toru Elegant II 3m biały matowy</v>
      </c>
      <c r="F203" s="419" t="str">
        <f>+VLOOKUP(A203,cennik!A:B,2,FALSE)</f>
        <v>SEVROLL zaślepka do toru Elegant II 3m biały matowy</v>
      </c>
      <c r="H203" s="437">
        <v>3000</v>
      </c>
      <c r="I203" s="1" t="str">
        <f>CONCATENATE(H203,"-",J18,", ",J19)</f>
        <v>3000-biały mat, Elegant II</v>
      </c>
      <c r="Z203" s="1" t="b">
        <f t="shared" si="5"/>
        <v>1</v>
      </c>
    </row>
    <row r="204" spans="1:26" s="437" customFormat="1" ht="15" customHeight="1" x14ac:dyDescent="0.3">
      <c r="A204" s="436">
        <v>395042</v>
      </c>
      <c r="C204" s="1" t="str">
        <f>CONCATENATE(H204,"-",J18,", ",J19)</f>
        <v>4050-biały mat, Elegant II</v>
      </c>
      <c r="D204" s="436">
        <v>395042</v>
      </c>
      <c r="E204" s="419" t="str">
        <f>+VLOOKUP(A204,cennik!A:G,2,FALSE)</f>
        <v>SEVROLL zaślepka do toru Elegant II 4,05m biały matowy</v>
      </c>
      <c r="F204" s="419" t="str">
        <f>+VLOOKUP(A204,cennik!A:B,2,FALSE)</f>
        <v>SEVROLL zaślepka do toru Elegant II 4,05m biały matowy</v>
      </c>
      <c r="H204" s="437">
        <v>4050</v>
      </c>
      <c r="I204" s="1" t="str">
        <f>CONCATENATE(H204,"-",J18,", ",J19)</f>
        <v>4050-biały mat, Elegant II</v>
      </c>
      <c r="Z204" s="1" t="b">
        <f t="shared" si="5"/>
        <v>1</v>
      </c>
    </row>
    <row r="205" spans="1:26" s="437" customFormat="1" ht="15" customHeight="1" x14ac:dyDescent="0.3">
      <c r="A205" s="196">
        <v>526524</v>
      </c>
      <c r="C205" s="1" t="str">
        <f>CONCATENATE(H205,"-",J22,", ",J19)</f>
        <v>1700-czarny lakier strukturalny, Elegant II</v>
      </c>
      <c r="D205" s="196">
        <v>526524</v>
      </c>
      <c r="E205" s="419" t="str">
        <f>+VLOOKUP(A205,cennik!A:G,2,FALSE)</f>
        <v>SEVROLL 06301 zaślepka do toru Elegant II 1,7m czarny lakier strukturalny</v>
      </c>
      <c r="F205" s="419" t="str">
        <f>+VLOOKUP(A205,cennik!A:B,2,FALSE)</f>
        <v>SEVROLL 06301 zaślepka do toru Elegant II 1,7m czarny lakier strukturalny</v>
      </c>
      <c r="H205" s="437">
        <v>1700</v>
      </c>
      <c r="I205" s="1" t="str">
        <f>CONCATENATE(H205,"-",J22,", ",J19)</f>
        <v>1700-czarny lakier strukturalny, Elegant II</v>
      </c>
      <c r="Z205" s="1"/>
    </row>
    <row r="206" spans="1:26" s="437" customFormat="1" ht="15" customHeight="1" x14ac:dyDescent="0.3">
      <c r="A206" s="196">
        <v>526525</v>
      </c>
      <c r="C206" s="1" t="str">
        <f>CONCATENATE(H206,"-",J22,", ",J19)</f>
        <v>2350-czarny lakier strukturalny, Elegant II</v>
      </c>
      <c r="D206" s="196">
        <v>526525</v>
      </c>
      <c r="E206" s="419" t="str">
        <f>+VLOOKUP(A206,cennik!A:G,2,FALSE)</f>
        <v>SEVROLL 06302 zaślepka do toru Elegant II 2,35m czarny lakier strukturalny</v>
      </c>
      <c r="F206" s="419" t="str">
        <f>+VLOOKUP(A206,cennik!A:B,2,FALSE)</f>
        <v>SEVROLL 06302 zaślepka do toru Elegant II 2,35m czarny lakier strukturalny</v>
      </c>
      <c r="H206" s="437">
        <v>2350</v>
      </c>
      <c r="I206" s="1" t="str">
        <f>CONCATENATE(H206,"-",J22,", ",J19)</f>
        <v>2350-czarny lakier strukturalny, Elegant II</v>
      </c>
      <c r="Z206" s="1"/>
    </row>
    <row r="207" spans="1:26" s="437" customFormat="1" ht="15" customHeight="1" x14ac:dyDescent="0.3">
      <c r="A207" s="196">
        <v>526526</v>
      </c>
      <c r="C207" s="1" t="str">
        <f>CONCATENATE(H207,"-",J22,", ",J19)</f>
        <v>3000-czarny lakier strukturalny, Elegant II</v>
      </c>
      <c r="D207" s="196">
        <v>526526</v>
      </c>
      <c r="E207" s="419" t="str">
        <f>+VLOOKUP(A207,cennik!A:G,2,FALSE)</f>
        <v>SEVROLL 06303 maskownica do toru Elegant II 3m czarny lakier strukturalny</v>
      </c>
      <c r="F207" s="419" t="str">
        <f>+VLOOKUP(A207,cennik!A:B,2,FALSE)</f>
        <v>SEVROLL 06303 maskownica do toru Elegant II 3m czarny lakier strukturalny</v>
      </c>
      <c r="H207" s="437">
        <v>3000</v>
      </c>
      <c r="I207" s="1" t="str">
        <f>CONCATENATE(H207,"-",J22,", ",J19)</f>
        <v>3000-czarny lakier strukturalny, Elegant II</v>
      </c>
      <c r="Z207" s="1"/>
    </row>
    <row r="208" spans="1:26" s="437" customFormat="1" ht="15" customHeight="1" x14ac:dyDescent="0.3">
      <c r="A208" s="196">
        <v>526527</v>
      </c>
      <c r="C208" s="1" t="str">
        <f>CONCATENATE(H208,"-",J22,", ",J19)</f>
        <v>4050-czarny lakier strukturalny, Elegant II</v>
      </c>
      <c r="D208" s="196">
        <v>526527</v>
      </c>
      <c r="E208" s="419" t="str">
        <f>+VLOOKUP(A208,cennik!A:G,2,FALSE)</f>
        <v>SEVROLL 06304 zaślepka do toru Elegant II 4,05m czarny lakier strukturalny</v>
      </c>
      <c r="F208" s="419" t="str">
        <f>+VLOOKUP(A208,cennik!A:B,2,FALSE)</f>
        <v>SEVROLL 06304 zaślepka do toru Elegant II 4,05m czarny lakier strukturalny</v>
      </c>
      <c r="H208" s="437">
        <v>4050</v>
      </c>
      <c r="I208" s="1" t="str">
        <f>CONCATENATE(H208,"-",J22,", ",J19)</f>
        <v>4050-czarny lakier strukturalny, Elegant II</v>
      </c>
      <c r="Z208" s="1"/>
    </row>
    <row r="209" spans="1:26" s="437" customFormat="1" ht="15" customHeight="1" x14ac:dyDescent="0.3">
      <c r="A209" s="196">
        <v>526528</v>
      </c>
      <c r="C209" s="1" t="str">
        <f>CONCATENATE(H209,"-",J22,", ",J19)</f>
        <v>6000-czarny lakier strukturalny, Elegant II</v>
      </c>
      <c r="D209" s="196">
        <v>526528</v>
      </c>
      <c r="E209" s="419" t="str">
        <f>+VLOOKUP(A209,cennik!A:G,2,FALSE)</f>
        <v>SEVROLL 06157 maskownica do toru Elegant II 6m czarny lakier strukturalny</v>
      </c>
      <c r="F209" s="419" t="str">
        <f>+VLOOKUP(A209,cennik!A:B,2,FALSE)</f>
        <v>SEVROLL 06157 maskownica do toru Elegant II 6m czarny lakier strukturalny</v>
      </c>
      <c r="H209" s="437">
        <v>6000</v>
      </c>
      <c r="I209" s="1" t="str">
        <f>CONCATENATE(H209,"-",J22,", ",J19)</f>
        <v>6000-czarny lakier strukturalny, Elegant II</v>
      </c>
      <c r="Z209" s="1"/>
    </row>
    <row r="210" spans="1:26" ht="15" customHeight="1" x14ac:dyDescent="0.3">
      <c r="A210" s="49"/>
      <c r="B210" s="48" t="s">
        <v>20</v>
      </c>
      <c r="D210" s="49"/>
      <c r="E210" s="48"/>
      <c r="F210" s="48"/>
      <c r="G210" s="1" t="e">
        <f>+VLOOKUP(A210,#REF!,4,FALSE)</f>
        <v>#REF!</v>
      </c>
      <c r="H210" s="1" t="s">
        <v>68</v>
      </c>
      <c r="Z210" s="1" t="b">
        <f t="shared" si="5"/>
        <v>1</v>
      </c>
    </row>
    <row r="211" spans="1:26" ht="15" customHeight="1" x14ac:dyDescent="0.3">
      <c r="A211" s="49">
        <v>89106</v>
      </c>
      <c r="B211" s="48"/>
      <c r="C211" s="1" t="str">
        <f>CONCATENATE(H211,"-",J4)</f>
        <v>1700-srebrny</v>
      </c>
      <c r="D211" s="49">
        <v>89106</v>
      </c>
      <c r="E211" s="48" t="str">
        <f>+VLOOKUP(A211,cennik!A:G,2,FALSE)</f>
        <v>SEVROLL 01023 Gemini horní vedení 1,7m stříbrná</v>
      </c>
      <c r="F211" s="48" t="str">
        <f>+VLOOKUP(A211,cennik!A:B,2,FALSE)</f>
        <v>SEVROLL 01023 Gemini horní vedení 1,7m stříbrná</v>
      </c>
      <c r="G211" s="1" t="e">
        <f>+VLOOKUP(A211,#REF!,4,FALSE)</f>
        <v>#REF!</v>
      </c>
      <c r="H211" s="1">
        <v>1700</v>
      </c>
      <c r="I211" s="1" t="str">
        <f>CONCATENATE(H211,"-",J4)</f>
        <v>1700-srebrny</v>
      </c>
      <c r="Z211" s="1" t="b">
        <f t="shared" si="5"/>
        <v>1</v>
      </c>
    </row>
    <row r="212" spans="1:26" ht="15" customHeight="1" x14ac:dyDescent="0.3">
      <c r="A212" s="49">
        <v>89109</v>
      </c>
      <c r="B212" s="48"/>
      <c r="C212" s="1" t="str">
        <f>CONCATENATE(H212,"-",J4)</f>
        <v>2350-srebrny</v>
      </c>
      <c r="D212" s="49">
        <v>89109</v>
      </c>
      <c r="E212" s="48" t="str">
        <f>+VLOOKUP(A212,cennik!A:G,2,FALSE)</f>
        <v>SEVROLL 01025 Gemini horní vedení 2,35m stříbrná</v>
      </c>
      <c r="F212" s="48" t="str">
        <f>+VLOOKUP(A212,cennik!A:B,2,FALSE)</f>
        <v>SEVROLL 01025 Gemini horní vedení 2,35m stříbrná</v>
      </c>
      <c r="G212" s="1" t="e">
        <f>+VLOOKUP(A212,#REF!,4,FALSE)</f>
        <v>#REF!</v>
      </c>
      <c r="H212" s="1">
        <v>2350</v>
      </c>
      <c r="I212" s="1" t="str">
        <f>CONCATENATE(H212,"-",J4)</f>
        <v>2350-srebrny</v>
      </c>
      <c r="Z212" s="1" t="b">
        <f t="shared" si="5"/>
        <v>1</v>
      </c>
    </row>
    <row r="213" spans="1:26" ht="15" customHeight="1" x14ac:dyDescent="0.3">
      <c r="A213" s="49">
        <v>89112</v>
      </c>
      <c r="B213" s="48"/>
      <c r="C213" s="1" t="str">
        <f>CONCATENATE(H213,"-",J4)</f>
        <v>3000-srebrny</v>
      </c>
      <c r="D213" s="49">
        <v>89112</v>
      </c>
      <c r="E213" s="48" t="str">
        <f>+VLOOKUP(A213,cennik!A:G,2,FALSE)</f>
        <v>SEVROLL 01026 Gemini horní vedení 3m stříbrná</v>
      </c>
      <c r="F213" s="48" t="str">
        <f>+VLOOKUP(A213,cennik!A:B,2,FALSE)</f>
        <v>SEVROLL 01026 Gemini horní vedení 3m stříbrná</v>
      </c>
      <c r="G213" s="1" t="e">
        <f>+VLOOKUP(A213,#REF!,4,FALSE)</f>
        <v>#REF!</v>
      </c>
      <c r="H213" s="1">
        <v>3000</v>
      </c>
      <c r="I213" s="1" t="str">
        <f>CONCATENATE(H213,"-",J4)</f>
        <v>3000-srebrny</v>
      </c>
      <c r="Z213" s="1" t="b">
        <f t="shared" si="5"/>
        <v>1</v>
      </c>
    </row>
    <row r="214" spans="1:26" ht="15" customHeight="1" x14ac:dyDescent="0.3">
      <c r="A214" s="49">
        <v>89115</v>
      </c>
      <c r="B214" s="48"/>
      <c r="C214" s="1" t="str">
        <f>CONCATENATE(H214,"-",J4)</f>
        <v>4050-srebrny</v>
      </c>
      <c r="D214" s="49">
        <v>89115</v>
      </c>
      <c r="E214" s="48" t="str">
        <f>+VLOOKUP(A214,cennik!A:G,2,FALSE)</f>
        <v>SEVROLL 01469 Gemini horní vedení 4,05m stříbrná</v>
      </c>
      <c r="F214" s="48" t="str">
        <f>+VLOOKUP(A214,cennik!A:B,2,FALSE)</f>
        <v>SEVROLL 01469 Gemini horní vedení 4,05m stříbrná</v>
      </c>
      <c r="G214" s="1" t="e">
        <f>+VLOOKUP(A214,#REF!,4,FALSE)</f>
        <v>#REF!</v>
      </c>
      <c r="H214" s="1">
        <v>4050</v>
      </c>
      <c r="I214" s="1" t="str">
        <f>CONCATENATE(H214,"-",J4)</f>
        <v>4050-srebrny</v>
      </c>
      <c r="Z214" s="1" t="b">
        <f t="shared" ref="Z214:Z297" si="6">A214=D214</f>
        <v>1</v>
      </c>
    </row>
    <row r="215" spans="1:26" ht="15" customHeight="1" x14ac:dyDescent="0.3">
      <c r="A215" s="49">
        <v>134933</v>
      </c>
      <c r="B215" s="48"/>
      <c r="C215" s="1" t="str">
        <f>CONCATENATE(H215,"-",J4)</f>
        <v>6000-srebrny</v>
      </c>
      <c r="D215" s="49">
        <v>134933</v>
      </c>
      <c r="E215" s="48" t="str">
        <f>+VLOOKUP(A215,cennik!A:G,2,FALSE)</f>
        <v>SEVROLL Gemini tor górny 6m, srebrny</v>
      </c>
      <c r="F215" s="48" t="str">
        <f>+VLOOKUP(A215,cennik!A:B,2,FALSE)</f>
        <v>SEVROLL Gemini tor górny 6m, srebrny</v>
      </c>
      <c r="H215" s="1">
        <v>6000</v>
      </c>
      <c r="I215" s="1" t="str">
        <f>CONCATENATE(H215,"-",J4)</f>
        <v>6000-srebrny</v>
      </c>
      <c r="Z215" s="1" t="b">
        <f t="shared" si="6"/>
        <v>1</v>
      </c>
    </row>
    <row r="216" spans="1:26" ht="15" customHeight="1" x14ac:dyDescent="0.3">
      <c r="A216" s="49">
        <v>542704</v>
      </c>
      <c r="B216" s="48"/>
      <c r="C216" s="1" t="str">
        <f>CONCATENATE(H216,"-",J5)</f>
        <v>1700-złoty/mosiądz</v>
      </c>
      <c r="D216" s="49">
        <v>542704</v>
      </c>
      <c r="E216" s="48" t="str">
        <f>+VLOOKUP(A216,cennik!A:G,2,FALSE)</f>
        <v>SEVROLL 06805 Gemini tor górny 1,7m złoty/mosiądz</v>
      </c>
      <c r="F216" s="48" t="str">
        <f>+VLOOKUP(A216,cennik!A:B,2,FALSE)</f>
        <v>SEVROLL 06805 Gemini tor górny 1,7m złoty/mosiądz</v>
      </c>
      <c r="G216" s="1" t="e">
        <f>+VLOOKUP(A216,#REF!,4,FALSE)</f>
        <v>#REF!</v>
      </c>
      <c r="H216" s="1">
        <v>1700</v>
      </c>
      <c r="I216" s="1" t="str">
        <f>CONCATENATE(H216,"-",J5)</f>
        <v>1700-złoty/mosiądz</v>
      </c>
      <c r="Z216" s="1" t="b">
        <f t="shared" si="6"/>
        <v>1</v>
      </c>
    </row>
    <row r="217" spans="1:26" ht="15" customHeight="1" x14ac:dyDescent="0.3">
      <c r="A217" s="49">
        <v>542705</v>
      </c>
      <c r="B217" s="48"/>
      <c r="C217" s="1" t="str">
        <f>CONCATENATE(H217,"-",J5)</f>
        <v>2350-złoty/mosiądz</v>
      </c>
      <c r="D217" s="49">
        <v>542705</v>
      </c>
      <c r="E217" s="48" t="str">
        <f>+VLOOKUP(A217,cennik!A:G,2,FALSE)</f>
        <v>SEVROLL 06806 Gemini horní vedení 2,35m zlatá/mosiądz</v>
      </c>
      <c r="F217" s="48" t="str">
        <f>+VLOOKUP(A217,cennik!A:B,2,FALSE)</f>
        <v>SEVROLL 06806 Gemini horní vedení 2,35m zlatá/mosiądz</v>
      </c>
      <c r="G217" s="1" t="e">
        <f>+VLOOKUP(A217,#REF!,4,FALSE)</f>
        <v>#REF!</v>
      </c>
      <c r="H217" s="1">
        <v>2350</v>
      </c>
      <c r="I217" s="1" t="str">
        <f>CONCATENATE(H217,"-",J5)</f>
        <v>2350-złoty/mosiądz</v>
      </c>
      <c r="Z217" s="1" t="b">
        <f t="shared" si="6"/>
        <v>1</v>
      </c>
    </row>
    <row r="218" spans="1:26" ht="15" customHeight="1" x14ac:dyDescent="0.3">
      <c r="A218" s="49">
        <v>542583</v>
      </c>
      <c r="B218" s="48"/>
      <c r="C218" s="1" t="str">
        <f>CONCATENATE(H218,"-",J5)</f>
        <v>3000-złoty/mosiądz</v>
      </c>
      <c r="D218" s="49">
        <v>542583</v>
      </c>
      <c r="E218" s="48" t="str">
        <f>+VLOOKUP(A218,cennik!A:G,2,FALSE)</f>
        <v>SEVROLL 06807 Gemini horní vedení 3m złoty/mosiądz</v>
      </c>
      <c r="F218" s="48" t="str">
        <f>+VLOOKUP(A218,cennik!A:B,2,FALSE)</f>
        <v>SEVROLL 06807 Gemini horní vedení 3m złoty/mosiądz</v>
      </c>
      <c r="G218" s="1" t="e">
        <f>+VLOOKUP(A218,#REF!,4,FALSE)</f>
        <v>#REF!</v>
      </c>
      <c r="H218" s="1">
        <v>3000</v>
      </c>
      <c r="I218" s="1" t="str">
        <f>CONCATENATE(H218,"-",J5)</f>
        <v>3000-złoty/mosiądz</v>
      </c>
      <c r="Z218" s="1" t="b">
        <f t="shared" si="6"/>
        <v>1</v>
      </c>
    </row>
    <row r="219" spans="1:26" ht="15" customHeight="1" x14ac:dyDescent="0.3">
      <c r="A219" s="49">
        <v>542592</v>
      </c>
      <c r="B219" s="48"/>
      <c r="C219" s="1" t="str">
        <f>CONCATENATE(H219,"-",J5)</f>
        <v>4050-złoty/mosiądz</v>
      </c>
      <c r="D219" s="49">
        <v>542592</v>
      </c>
      <c r="E219" s="48" t="str">
        <f>+VLOOKUP(A219,cennik!A:G,2,FALSE)</f>
        <v>SEVROLL 06808 Gemini horní vedení 4,05m zlatá/mosiądz</v>
      </c>
      <c r="F219" s="48" t="str">
        <f>+VLOOKUP(A219,cennik!A:B,2,FALSE)</f>
        <v>SEVROLL 06808 Gemini horní vedení 4,05m zlatá/mosiądz</v>
      </c>
      <c r="G219" s="1" t="e">
        <f>+VLOOKUP(A219,#REF!,4,FALSE)</f>
        <v>#REF!</v>
      </c>
      <c r="H219" s="1">
        <v>4050</v>
      </c>
      <c r="I219" s="1" t="str">
        <f>CONCATENATE(H219,"-",J5)</f>
        <v>4050-złoty/mosiądz</v>
      </c>
      <c r="Z219" s="1" t="b">
        <f t="shared" si="6"/>
        <v>1</v>
      </c>
    </row>
    <row r="220" spans="1:26" ht="15" customHeight="1" x14ac:dyDescent="0.3">
      <c r="A220" s="49">
        <v>542633</v>
      </c>
      <c r="B220" s="48"/>
      <c r="C220" s="1" t="str">
        <f>CONCATENATE(H220,"-",J5)</f>
        <v>6000-złoty/mosiądz</v>
      </c>
      <c r="D220" s="49">
        <v>542633</v>
      </c>
      <c r="E220" s="48" t="str">
        <f>+VLOOKUP(A220,cennik!A:G,2,FALSE)</f>
        <v>SEVROLL 06809 Gemini tor górny 6m złoty/mosiądz</v>
      </c>
      <c r="F220" s="48" t="str">
        <f>+VLOOKUP(A220,cennik!A:B,2,FALSE)</f>
        <v>SEVROLL 06809 Gemini tor górny 6m złoty/mosiądz</v>
      </c>
      <c r="H220" s="1">
        <v>6000</v>
      </c>
      <c r="I220" s="1" t="str">
        <f>CONCATENATE(H220,"-",J5)</f>
        <v>6000-złoty/mosiądz</v>
      </c>
      <c r="Z220" s="1" t="b">
        <f t="shared" si="6"/>
        <v>1</v>
      </c>
    </row>
    <row r="221" spans="1:26" ht="15" customHeight="1" x14ac:dyDescent="0.3">
      <c r="A221" s="49">
        <v>409670</v>
      </c>
      <c r="B221" s="48"/>
      <c r="C221" s="1" t="str">
        <f>CONCATENATE(H221,"-",J17)</f>
        <v>2350- czarny mat</v>
      </c>
      <c r="D221" s="49">
        <v>409670</v>
      </c>
      <c r="E221" s="48" t="str">
        <f>+VLOOKUP(A221,cennik!A:G,2,FALSE)</f>
        <v>SEVROLL 05314 Gemini tor górny 2,35 m czarny mat</v>
      </c>
      <c r="F221" s="48" t="str">
        <f>+VLOOKUP(A221,cennik!A:B,2,FALSE)</f>
        <v>SEVROLL 05314 Gemini tor górny 2,35 m czarny mat</v>
      </c>
      <c r="H221" s="1">
        <v>2350</v>
      </c>
      <c r="I221" s="1" t="str">
        <f>CONCATENATE(H221,"-",J17)</f>
        <v>2350- czarny mat</v>
      </c>
      <c r="Z221" s="1" t="b">
        <f t="shared" si="6"/>
        <v>1</v>
      </c>
    </row>
    <row r="222" spans="1:26" ht="15" customHeight="1" x14ac:dyDescent="0.3">
      <c r="A222" s="49">
        <v>409674</v>
      </c>
      <c r="B222" s="48"/>
      <c r="C222" s="1" t="str">
        <f>CONCATENATE(H222,"-",J17)</f>
        <v>4050- czarny mat</v>
      </c>
      <c r="D222" s="49">
        <v>409674</v>
      </c>
      <c r="E222" s="48" t="str">
        <f>+VLOOKUP(A222,cennik!A:G,2,FALSE)</f>
        <v>SEVROLL 04835 Gemini tor górny 4,05 m czarny mat</v>
      </c>
      <c r="F222" s="48" t="str">
        <f>+VLOOKUP(A222,cennik!A:B,2,FALSE)</f>
        <v>SEVROLL 04835 Gemini tor górny 4,05 m czarny mat</v>
      </c>
      <c r="G222" s="48" t="e">
        <f>+VLOOKUP(C222,cennik!A:G,2,FALSE)</f>
        <v>#N/A</v>
      </c>
      <c r="H222" s="1">
        <v>4050</v>
      </c>
      <c r="I222" s="1" t="str">
        <f>CONCATENATE(H222,"-",J17)</f>
        <v>4050- czarny mat</v>
      </c>
      <c r="Z222" s="1" t="b">
        <f t="shared" si="6"/>
        <v>1</v>
      </c>
    </row>
    <row r="223" spans="1:26" ht="15" customHeight="1" x14ac:dyDescent="0.3">
      <c r="A223" s="49">
        <v>412229</v>
      </c>
      <c r="B223" s="48"/>
      <c r="C223" s="1" t="str">
        <f>CONCATENATE(H223,"-",J17)</f>
        <v>3000- czarny mat</v>
      </c>
      <c r="D223" s="49">
        <v>412229</v>
      </c>
      <c r="E223" s="48" t="str">
        <f>+VLOOKUP(A223,cennik!A:G,2,FALSE)</f>
        <v>SEVROLL Gemini tor górny 3 m czarny mat</v>
      </c>
      <c r="F223" s="48" t="str">
        <f>+VLOOKUP(A223,cennik!A:B,2,FALSE)</f>
        <v>SEVROLL Gemini tor górny 3 m czarny mat</v>
      </c>
      <c r="H223" s="1">
        <v>3000</v>
      </c>
      <c r="I223" s="1" t="str">
        <f>CONCATENATE(H223,"-",J17)</f>
        <v>3000- czarny mat</v>
      </c>
      <c r="Z223" s="1" t="b">
        <f t="shared" si="6"/>
        <v>1</v>
      </c>
    </row>
    <row r="224" spans="1:26" ht="15" customHeight="1" x14ac:dyDescent="0.3">
      <c r="A224" s="49">
        <v>422008</v>
      </c>
      <c r="B224" s="48"/>
      <c r="C224" s="1" t="str">
        <f>CONCATENATE(H224,"-",J17)</f>
        <v>1700- czarny mat</v>
      </c>
      <c r="D224" s="49">
        <v>422008</v>
      </c>
      <c r="E224" s="48" t="str">
        <f>+VLOOKUP(A224,cennik!A:G,2,FALSE)</f>
        <v>SEVROLL Gemini tor górny 1,7 m czarny mat</v>
      </c>
      <c r="F224" s="48" t="str">
        <f>+VLOOKUP(A224,cennik!A:B,2,FALSE)</f>
        <v>SEVROLL Gemini tor górny 1,7 m czarny mat</v>
      </c>
      <c r="H224" s="1">
        <v>1700</v>
      </c>
      <c r="I224" s="1" t="str">
        <f>CONCATENATE(H224,"-",J17)</f>
        <v>1700- czarny mat</v>
      </c>
      <c r="Z224" s="1" t="b">
        <f t="shared" si="6"/>
        <v>1</v>
      </c>
    </row>
    <row r="225" spans="1:26" ht="15" customHeight="1" x14ac:dyDescent="0.3">
      <c r="A225" s="49">
        <v>452736</v>
      </c>
      <c r="B225" s="48"/>
      <c r="C225" s="1" t="str">
        <f>CONCATENATE(H225,"-",J17)</f>
        <v>6000- czarny mat</v>
      </c>
      <c r="D225" s="49">
        <v>452736</v>
      </c>
      <c r="E225" s="48" t="str">
        <f>+VLOOKUP(A225,cennik!A:G,2,FALSE)</f>
        <v>SEVROLL 05316 Gemini tor górny 6m czarny mat</v>
      </c>
      <c r="F225" s="48" t="str">
        <f>+VLOOKUP(A225,cennik!A:B,2,FALSE)</f>
        <v>SEVROLL 05316 Gemini tor górny 6m czarny mat</v>
      </c>
      <c r="H225" s="1">
        <v>6000</v>
      </c>
      <c r="I225" s="1" t="str">
        <f>CONCATENATE(H225,"-",J17)</f>
        <v>6000- czarny mat</v>
      </c>
      <c r="Z225" s="1" t="b">
        <f t="shared" si="6"/>
        <v>1</v>
      </c>
    </row>
    <row r="226" spans="1:26" ht="15" customHeight="1" x14ac:dyDescent="0.3">
      <c r="A226" s="49">
        <v>89105</v>
      </c>
      <c r="B226" s="48"/>
      <c r="C226" s="1" t="str">
        <f>CONCATENATE(H226,"-",J6)</f>
        <v>1700-j.brąz</v>
      </c>
      <c r="D226" s="49">
        <v>89105</v>
      </c>
      <c r="E226" s="48" t="str">
        <f>+VLOOKUP(A226,cennik!A:G,2,FALSE)</f>
        <v>SEVROLL 01008 Gemini horní vedení 1,7m oliva</v>
      </c>
      <c r="F226" s="48" t="str">
        <f>+VLOOKUP(A226,cennik!A:B,2,FALSE)</f>
        <v>SEVROLL 01008 Gemini horní vedení 1,7m oliva</v>
      </c>
      <c r="G226" s="1" t="e">
        <f>+VLOOKUP(A226,#REF!,4,FALSE)</f>
        <v>#REF!</v>
      </c>
      <c r="H226" s="1">
        <v>1700</v>
      </c>
      <c r="I226" s="1" t="str">
        <f>CONCATENATE(H226,"-",J6)</f>
        <v>1700-j.brąz</v>
      </c>
      <c r="Z226" s="1" t="b">
        <f t="shared" si="6"/>
        <v>1</v>
      </c>
    </row>
    <row r="227" spans="1:26" ht="15" customHeight="1" x14ac:dyDescent="0.3">
      <c r="A227" s="49">
        <v>89108</v>
      </c>
      <c r="B227" s="48"/>
      <c r="C227" s="1" t="str">
        <f>CONCATENATE(H227,"-",J6)</f>
        <v>2350-j.brąz</v>
      </c>
      <c r="D227" s="49">
        <v>89108</v>
      </c>
      <c r="E227" s="48" t="str">
        <f>+VLOOKUP(A227,cennik!A:G,2,FALSE)</f>
        <v>SEVROLL 01010 Gemini horní vedení 2,35m oliva</v>
      </c>
      <c r="F227" s="48" t="str">
        <f>+VLOOKUP(A227,cennik!A:B,2,FALSE)</f>
        <v>SEVROLL 01010 Gemini horní vedení 2,35m oliva</v>
      </c>
      <c r="G227" s="1" t="e">
        <f>+VLOOKUP(A227,#REF!,4,FALSE)</f>
        <v>#REF!</v>
      </c>
      <c r="H227" s="1">
        <v>2350</v>
      </c>
      <c r="I227" s="1" t="str">
        <f>CONCATENATE(H227,"-",J6)</f>
        <v>2350-j.brąz</v>
      </c>
      <c r="Z227" s="1" t="b">
        <f t="shared" si="6"/>
        <v>1</v>
      </c>
    </row>
    <row r="228" spans="1:26" ht="15" customHeight="1" x14ac:dyDescent="0.3">
      <c r="A228" s="49">
        <v>89111</v>
      </c>
      <c r="B228" s="48"/>
      <c r="C228" s="1" t="str">
        <f>CONCATENATE(H228,"-",J6)</f>
        <v>3000-j.brąz</v>
      </c>
      <c r="D228" s="49">
        <v>89111</v>
      </c>
      <c r="E228" s="48" t="str">
        <f>+VLOOKUP(A228,cennik!A:G,2,FALSE)</f>
        <v>SEVROLL 01011 Gemini horní vedení 3m oliva</v>
      </c>
      <c r="F228" s="48" t="str">
        <f>+VLOOKUP(A228,cennik!A:B,2,FALSE)</f>
        <v>SEVROLL 01011 Gemini horní vedení 3m oliva</v>
      </c>
      <c r="G228" s="1" t="e">
        <f>+VLOOKUP(A228,#REF!,4,FALSE)</f>
        <v>#REF!</v>
      </c>
      <c r="H228" s="1">
        <v>3000</v>
      </c>
      <c r="I228" s="1" t="str">
        <f>CONCATENATE(H228,"-",J6)</f>
        <v>3000-j.brąz</v>
      </c>
      <c r="Z228" s="1" t="b">
        <f t="shared" si="6"/>
        <v>1</v>
      </c>
    </row>
    <row r="229" spans="1:26" ht="15" customHeight="1" x14ac:dyDescent="0.3">
      <c r="A229" s="49">
        <v>89114</v>
      </c>
      <c r="B229" s="48"/>
      <c r="C229" s="1" t="str">
        <f>CONCATENATE(H229,"-",J6)</f>
        <v>4050-j.brąz</v>
      </c>
      <c r="D229" s="49">
        <v>89114</v>
      </c>
      <c r="E229" s="48" t="str">
        <f>+VLOOKUP(A229,cennik!A:G,2,FALSE)</f>
        <v>SEVROLL 01439 Gemini horní vedení 4,05m oliva</v>
      </c>
      <c r="F229" s="48" t="str">
        <f>+VLOOKUP(A229,cennik!A:B,2,FALSE)</f>
        <v>SEVROLL 01439 Gemini horní vedení 4,05m oliva</v>
      </c>
      <c r="G229" s="1" t="e">
        <f>+VLOOKUP(A229,#REF!,4,FALSE)</f>
        <v>#REF!</v>
      </c>
      <c r="H229" s="1">
        <v>4050</v>
      </c>
      <c r="I229" s="1" t="str">
        <f>CONCATENATE(H229,"-",J6)</f>
        <v>4050-j.brąz</v>
      </c>
      <c r="Z229" s="1" t="b">
        <f t="shared" si="6"/>
        <v>1</v>
      </c>
    </row>
    <row r="230" spans="1:26" ht="15" customHeight="1" x14ac:dyDescent="0.3">
      <c r="A230" s="49">
        <v>134934</v>
      </c>
      <c r="B230" s="48"/>
      <c r="C230" s="1" t="str">
        <f>CONCATENATE(H230,"-",J6)</f>
        <v>6000-j.brąz</v>
      </c>
      <c r="D230" s="49">
        <v>134934</v>
      </c>
      <c r="E230" s="48" t="str">
        <f>+VLOOKUP(A230,cennik!A:G,2,FALSE)</f>
        <v>SEVROLL Gemini tor górny 6m, jasny brąz</v>
      </c>
      <c r="F230" s="48" t="str">
        <f>+VLOOKUP(A230,cennik!A:B,2,FALSE)</f>
        <v>SEVROLL Gemini tor górny 6m, jasny brąz</v>
      </c>
      <c r="H230" s="1">
        <v>6000</v>
      </c>
      <c r="I230" s="1" t="str">
        <f>CONCATENATE(H230,"-",J6)</f>
        <v>6000-j.brąz</v>
      </c>
      <c r="Z230" s="1" t="b">
        <f t="shared" si="6"/>
        <v>1</v>
      </c>
    </row>
    <row r="231" spans="1:26" ht="15" customHeight="1" x14ac:dyDescent="0.3">
      <c r="A231" s="196">
        <v>526516</v>
      </c>
      <c r="B231" s="48"/>
      <c r="C231" s="1" t="str">
        <f>CONCATENATE(H231,"-",J22)</f>
        <v>1700-czarny lakier strukturalny</v>
      </c>
      <c r="D231" s="196">
        <v>526516</v>
      </c>
      <c r="E231" s="48" t="str">
        <f>+VLOOKUP(A231,cennik!A:G,2,FALSE)</f>
        <v>SEVROLL 06285 Gemini tor górny 1,7 m czarny lakier strukturalny</v>
      </c>
      <c r="F231" s="48" t="str">
        <f>+VLOOKUP(A231,cennik!A:B,2,FALSE)</f>
        <v>SEVROLL 06285 Gemini tor górny 1,7 m czarny lakier strukturalny</v>
      </c>
      <c r="H231" s="1">
        <v>1700</v>
      </c>
      <c r="I231" s="1" t="str">
        <f>CONCATENATE(H231,"-",J22)</f>
        <v>1700-czarny lakier strukturalny</v>
      </c>
    </row>
    <row r="232" spans="1:26" ht="15" customHeight="1" x14ac:dyDescent="0.3">
      <c r="A232" s="196">
        <v>526519</v>
      </c>
      <c r="B232" s="48"/>
      <c r="C232" s="1" t="str">
        <f>CONCATENATE(H232,"-",J22)</f>
        <v>2350-czarny lakier strukturalny</v>
      </c>
      <c r="D232" s="196">
        <v>526519</v>
      </c>
      <c r="E232" s="48" t="str">
        <f>+VLOOKUP(A232,cennik!A:G,2,FALSE)</f>
        <v>SEVROLL 06286 Gemini tor górny 2,35 m czarny lakier strukturalny</v>
      </c>
      <c r="F232" s="48" t="str">
        <f>+VLOOKUP(A232,cennik!A:B,2,FALSE)</f>
        <v>SEVROLL 06286 Gemini tor górny 2,35 m czarny lakier strukturalny</v>
      </c>
      <c r="H232" s="1">
        <v>2350</v>
      </c>
      <c r="I232" s="1" t="str">
        <f>CONCATENATE(H232,"-",J22)</f>
        <v>2350-czarny lakier strukturalny</v>
      </c>
    </row>
    <row r="233" spans="1:26" ht="15" customHeight="1" x14ac:dyDescent="0.3">
      <c r="A233" s="196">
        <v>526520</v>
      </c>
      <c r="B233" s="48"/>
      <c r="C233" s="1" t="str">
        <f>CONCATENATE(H233,"-",J22)</f>
        <v>3000-czarny lakier strukturalny</v>
      </c>
      <c r="D233" s="196">
        <v>526520</v>
      </c>
      <c r="E233" s="48" t="str">
        <f>+VLOOKUP(A233,cennik!A:G,2,FALSE)</f>
        <v>SEVROLL 06287 Gemini tor górny 3 m czarny lakier strukturalny</v>
      </c>
      <c r="F233" s="48" t="str">
        <f>+VLOOKUP(A233,cennik!A:B,2,FALSE)</f>
        <v>SEVROLL 06287 Gemini tor górny 3 m czarny lakier strukturalny</v>
      </c>
      <c r="H233" s="1">
        <v>3000</v>
      </c>
      <c r="I233" s="1" t="str">
        <f>CONCATENATE(H233,"-",J22)</f>
        <v>3000-czarny lakier strukturalny</v>
      </c>
    </row>
    <row r="234" spans="1:26" ht="15" customHeight="1" x14ac:dyDescent="0.3">
      <c r="A234" s="196">
        <v>526521</v>
      </c>
      <c r="B234" s="48"/>
      <c r="C234" s="1" t="str">
        <f>CONCATENATE(H234,"-",J22)</f>
        <v>4050-czarny lakier strukturalny</v>
      </c>
      <c r="D234" s="196">
        <v>526521</v>
      </c>
      <c r="E234" s="48" t="str">
        <f>+VLOOKUP(A234,cennik!A:G,2,FALSE)</f>
        <v>SEVROLL 06288 Gemini tor górny 4,05 m czarny lakier strukturalny</v>
      </c>
      <c r="F234" s="48" t="str">
        <f>+VLOOKUP(A234,cennik!A:B,2,FALSE)</f>
        <v>SEVROLL 06288 Gemini tor górny 4,05 m czarny lakier strukturalny</v>
      </c>
      <c r="H234" s="1">
        <v>4050</v>
      </c>
      <c r="I234" s="1" t="str">
        <f>CONCATENATE(H234,"-",J22)</f>
        <v>4050-czarny lakier strukturalny</v>
      </c>
    </row>
    <row r="235" spans="1:26" ht="15" customHeight="1" x14ac:dyDescent="0.3">
      <c r="A235" s="196">
        <v>526522</v>
      </c>
      <c r="B235" s="48"/>
      <c r="C235" s="1" t="str">
        <f>CONCATENATE(H235,"-",J22)</f>
        <v>6000-czarny lakier strukturalny</v>
      </c>
      <c r="D235" s="196">
        <v>526522</v>
      </c>
      <c r="E235" s="48" t="str">
        <f>+VLOOKUP(A235,cennik!A:G,2,FALSE)</f>
        <v>SEVROLL 06154 Gemini tor górny 6m czarny lakier strukturalny</v>
      </c>
      <c r="F235" s="48" t="str">
        <f>+VLOOKUP(A235,cennik!A:B,2,FALSE)</f>
        <v>SEVROLL 06154 Gemini tor górny 6m czarny lakier strukturalny</v>
      </c>
      <c r="H235" s="1">
        <v>6000</v>
      </c>
      <c r="I235" s="1" t="str">
        <f>CONCATENATE(H235,"-",J22)</f>
        <v>6000-czarny lakier strukturalny</v>
      </c>
    </row>
    <row r="236" spans="1:26" ht="15" customHeight="1" x14ac:dyDescent="0.3">
      <c r="A236" s="49">
        <v>119459</v>
      </c>
      <c r="B236" s="48"/>
      <c r="C236" s="1" t="str">
        <f>CONCATENATE(H236,"-",J7)</f>
        <v>1700-j.brąz szczotkowany</v>
      </c>
      <c r="D236" s="49">
        <v>119459</v>
      </c>
      <c r="E236" s="48" t="str">
        <f>+VLOOKUP(A236,cennik!A:G,2,FALSE)</f>
        <v>SEVROLL 02501-Y Gemini tor górny 1,7 m, jasny brąz szczotkowany</v>
      </c>
      <c r="F236" s="48" t="str">
        <f>+VLOOKUP(A236,cennik!A:B,2,FALSE)</f>
        <v>SEVROLL 02501-Y Gemini tor górny 1,7 m, jasny brąz szczotkowany</v>
      </c>
      <c r="H236" s="1">
        <v>1700</v>
      </c>
      <c r="I236" s="1" t="str">
        <f>CONCATENATE(H236,"-",J7)</f>
        <v>1700-j.brąz szczotkowany</v>
      </c>
      <c r="Z236" s="1" t="b">
        <f t="shared" si="6"/>
        <v>1</v>
      </c>
    </row>
    <row r="237" spans="1:26" ht="15" customHeight="1" x14ac:dyDescent="0.3">
      <c r="A237" s="49">
        <v>120864</v>
      </c>
      <c r="B237" s="48"/>
      <c r="C237" s="1" t="str">
        <f>CONCATENATE(H237,"-",J7)</f>
        <v>2350-j.brąz szczotkowany</v>
      </c>
      <c r="D237" s="49">
        <v>120864</v>
      </c>
      <c r="E237" s="48" t="str">
        <f>+VLOOKUP(A237,cennik!A:G,2,FALSE)</f>
        <v>SEVROLL 02498-Y Gemini tor górny 2,35 m, jasny brąz szczotkowany</v>
      </c>
      <c r="F237" s="48" t="str">
        <f>+VLOOKUP(A237,cennik!A:B,2,FALSE)</f>
        <v>SEVROLL 02498-Y Gemini tor górny 2,35 m, jasny brąz szczotkowany</v>
      </c>
      <c r="H237" s="1">
        <v>2350</v>
      </c>
      <c r="I237" s="1" t="str">
        <f>CONCATENATE(H237,"-",J7)</f>
        <v>2350-j.brąz szczotkowany</v>
      </c>
      <c r="Z237" s="1" t="b">
        <f t="shared" si="6"/>
        <v>1</v>
      </c>
    </row>
    <row r="238" spans="1:26" ht="15" customHeight="1" x14ac:dyDescent="0.3">
      <c r="A238" s="49">
        <v>120865</v>
      </c>
      <c r="B238" s="48"/>
      <c r="C238" s="1" t="str">
        <f>CONCATENATE(H238,"-",J7)</f>
        <v>3000-j.brąz szczotkowany</v>
      </c>
      <c r="D238" s="49">
        <v>120865</v>
      </c>
      <c r="E238" s="48" t="str">
        <f>+VLOOKUP(A238,cennik!A:G,2,FALSE)</f>
        <v>SEVROLL 02499-Y Gemini tor górny 3 m, jasny brąz szczotkowany</v>
      </c>
      <c r="F238" s="48" t="str">
        <f>+VLOOKUP(A238,cennik!A:B,2,FALSE)</f>
        <v>SEVROLL 02499-Y Gemini tor górny 3 m, jasny brąz szczotkowany</v>
      </c>
      <c r="H238" s="1">
        <v>3000</v>
      </c>
      <c r="I238" s="1" t="str">
        <f>CONCATENATE(H238,"-",J7)</f>
        <v>3000-j.brąz szczotkowany</v>
      </c>
      <c r="Z238" s="1" t="b">
        <f t="shared" si="6"/>
        <v>1</v>
      </c>
    </row>
    <row r="239" spans="1:26" ht="15" customHeight="1" x14ac:dyDescent="0.3">
      <c r="A239" s="49">
        <v>120867</v>
      </c>
      <c r="B239" s="48"/>
      <c r="C239" s="1" t="str">
        <f>CONCATENATE(H239,"-",J7)</f>
        <v>4050-j.brąz szczotkowany</v>
      </c>
      <c r="D239" s="49">
        <v>120867</v>
      </c>
      <c r="E239" s="48" t="str">
        <f>+VLOOKUP(A239,cennik!A:G,2,FALSE)</f>
        <v>SEVROLL 02500-Y Gemini tor górny 4,05 m, jasny brąz szczotkowany</v>
      </c>
      <c r="F239" s="48" t="str">
        <f>+VLOOKUP(A239,cennik!A:B,2,FALSE)</f>
        <v>SEVROLL 02500-Y Gemini tor górny 4,05 m, jasny brąz szczotkowany</v>
      </c>
      <c r="H239" s="1">
        <v>4050</v>
      </c>
      <c r="I239" s="1" t="str">
        <f>CONCATENATE(H239,"-",J7)</f>
        <v>4050-j.brąz szczotkowany</v>
      </c>
      <c r="Z239" s="1" t="b">
        <f t="shared" si="6"/>
        <v>1</v>
      </c>
    </row>
    <row r="240" spans="1:26" ht="15" customHeight="1" x14ac:dyDescent="0.3">
      <c r="A240" s="49">
        <v>225370</v>
      </c>
      <c r="B240" s="48"/>
      <c r="C240" s="1" t="str">
        <f>CONCATENATE(H240,"-",J7)</f>
        <v>6000-j.brąz szczotkowany</v>
      </c>
      <c r="D240" s="49">
        <v>225370</v>
      </c>
      <c r="E240" s="48" t="str">
        <f>+VLOOKUP(A240,cennik!A:G,2,FALSE)</f>
        <v>SEVROLL Gemini tor górny 6m jasny brąz szczotkowany</v>
      </c>
      <c r="F240" s="48" t="str">
        <f>+VLOOKUP(A240,cennik!A:B,2,FALSE)</f>
        <v>SEVROLL Gemini tor górny 6m jasny brąz szczotkowany</v>
      </c>
      <c r="H240" s="1">
        <v>6000</v>
      </c>
      <c r="I240" s="1" t="str">
        <f>CONCATENATE(H240,"-",J7)</f>
        <v>6000-j.brąz szczotkowany</v>
      </c>
      <c r="Z240" s="1" t="b">
        <f t="shared" si="6"/>
        <v>1</v>
      </c>
    </row>
    <row r="241" spans="1:26" ht="15" customHeight="1" x14ac:dyDescent="0.3">
      <c r="A241" s="49">
        <v>205162</v>
      </c>
      <c r="B241" s="48"/>
      <c r="C241" s="1" t="str">
        <f>CONCATENATE(H241,"-",J8)</f>
        <v>1700-szczot.oliwa ciemna</v>
      </c>
      <c r="D241" s="49">
        <v>205162</v>
      </c>
      <c r="E241" s="48" t="str">
        <f>+VLOOKUP(A241,cennik!A:G,2,FALSE)</f>
        <v>SEVROLL Gemini tor górny 1,7m koniak szczotkowany</v>
      </c>
      <c r="F241" s="48" t="str">
        <f>+VLOOKUP(A241,cennik!A:B,2,FALSE)</f>
        <v>SEVROLL Gemini tor górny 1,7m koniak szczotkowany</v>
      </c>
      <c r="H241" s="1">
        <v>1700</v>
      </c>
      <c r="I241" s="1" t="str">
        <f>CONCATENATE(H241,"-",J8)</f>
        <v>1700-szczot.oliwa ciemna</v>
      </c>
      <c r="Z241" s="1" t="b">
        <f t="shared" si="6"/>
        <v>1</v>
      </c>
    </row>
    <row r="242" spans="1:26" ht="15" customHeight="1" x14ac:dyDescent="0.3">
      <c r="A242" s="49">
        <v>205164</v>
      </c>
      <c r="B242" s="48"/>
      <c r="C242" s="1" t="str">
        <f>CONCATENATE(H242,"-",J8)</f>
        <v>2350-szczot.oliwa ciemna</v>
      </c>
      <c r="D242" s="49">
        <v>205164</v>
      </c>
      <c r="E242" s="48" t="str">
        <f>+VLOOKUP(A242,cennik!A:G,2,FALSE)</f>
        <v>SEVROLL Gemini tor górny 2,35m koniak szczotkowany</v>
      </c>
      <c r="F242" s="48" t="str">
        <f>+VLOOKUP(A242,cennik!A:B,2,FALSE)</f>
        <v>SEVROLL Gemini tor górny 2,35m koniak szczotkowany</v>
      </c>
      <c r="H242" s="1">
        <v>2350</v>
      </c>
      <c r="I242" s="1" t="str">
        <f>CONCATENATE(H242,"-",J8)</f>
        <v>2350-szczot.oliwa ciemna</v>
      </c>
      <c r="Z242" s="1" t="b">
        <f t="shared" si="6"/>
        <v>1</v>
      </c>
    </row>
    <row r="243" spans="1:26" ht="15" customHeight="1" x14ac:dyDescent="0.3">
      <c r="A243" s="49">
        <v>205166</v>
      </c>
      <c r="B243" s="48"/>
      <c r="C243" s="1" t="str">
        <f>CONCATENATE(H243,"-",J8)</f>
        <v>3000-szczot.oliwa ciemna</v>
      </c>
      <c r="D243" s="49">
        <v>205166</v>
      </c>
      <c r="E243" s="48" t="str">
        <f>+VLOOKUP(A243,cennik!A:G,2,FALSE)</f>
        <v>SEVROLL Gemini tor górny 3m koniak szczotkowany</v>
      </c>
      <c r="F243" s="48" t="str">
        <f>+VLOOKUP(A243,cennik!A:B,2,FALSE)</f>
        <v>SEVROLL Gemini tor górny 3m koniak szczotkowany</v>
      </c>
      <c r="H243" s="1">
        <v>3000</v>
      </c>
      <c r="I243" s="1" t="str">
        <f>CONCATENATE(H243,"-",J8)</f>
        <v>3000-szczot.oliwa ciemna</v>
      </c>
      <c r="Z243" s="1" t="b">
        <f t="shared" si="6"/>
        <v>1</v>
      </c>
    </row>
    <row r="244" spans="1:26" ht="15" customHeight="1" x14ac:dyDescent="0.3">
      <c r="A244" s="49">
        <v>205168</v>
      </c>
      <c r="B244" s="48"/>
      <c r="C244" s="1" t="str">
        <f>CONCATENATE(H244,"-",J8)</f>
        <v>4050-szczot.oliwa ciemna</v>
      </c>
      <c r="D244" s="49">
        <v>205168</v>
      </c>
      <c r="E244" s="48" t="str">
        <f>+VLOOKUP(A244,cennik!A:G,2,FALSE)</f>
        <v>SEVROLL Gemini tor górny 4,05m koniak szczotkowany</v>
      </c>
      <c r="F244" s="48" t="str">
        <f>+VLOOKUP(A244,cennik!A:B,2,FALSE)</f>
        <v>SEVROLL Gemini tor górny 4,05m koniak szczotkowany</v>
      </c>
      <c r="H244" s="1">
        <v>4050</v>
      </c>
      <c r="I244" s="1" t="str">
        <f>CONCATENATE(H244,"-",J8)</f>
        <v>4050-szczot.oliwa ciemna</v>
      </c>
      <c r="Z244" s="1" t="b">
        <f t="shared" si="6"/>
        <v>1</v>
      </c>
    </row>
    <row r="245" spans="1:26" ht="15" customHeight="1" x14ac:dyDescent="0.3">
      <c r="A245" s="49">
        <v>225371</v>
      </c>
      <c r="B245" s="48"/>
      <c r="C245" s="1" t="str">
        <f>CONCATENATE(H245,"-",J8)</f>
        <v>6000-szczot.oliwa ciemna</v>
      </c>
      <c r="D245" s="49">
        <v>225371</v>
      </c>
      <c r="E245" s="48" t="str">
        <f>+VLOOKUP(A245,cennik!A:G,2,FALSE)</f>
        <v>SEVROLL Gemini tor górny 6m koniak szczotkowany</v>
      </c>
      <c r="F245" s="48" t="str">
        <f>+VLOOKUP(A245,cennik!A:B,2,FALSE)</f>
        <v>SEVROLL Gemini tor górny 6m koniak szczotkowany</v>
      </c>
      <c r="H245" s="1">
        <v>6000</v>
      </c>
      <c r="I245" s="1" t="str">
        <f>CONCATENATE(H245,"-",J8)</f>
        <v>6000-szczot.oliwa ciemna</v>
      </c>
      <c r="Z245" s="1" t="b">
        <f t="shared" si="6"/>
        <v>1</v>
      </c>
    </row>
    <row r="246" spans="1:26" ht="15" customHeight="1" x14ac:dyDescent="0.3">
      <c r="A246" s="49">
        <v>205163</v>
      </c>
      <c r="B246" s="48"/>
      <c r="C246" s="1" t="str">
        <f>CONCATENATE(H246,"-",J9)</f>
        <v>1700-szczot.czarna</v>
      </c>
      <c r="D246" s="49">
        <v>205163</v>
      </c>
      <c r="E246" s="48" t="str">
        <f>+VLOOKUP(A246,cennik!A:G,2,FALSE)</f>
        <v>SEVROLL Gemini tor górny 1,7 m czarny szczotkowany</v>
      </c>
      <c r="F246" s="48" t="str">
        <f>+VLOOKUP(A246,cennik!A:B,2,FALSE)</f>
        <v>SEVROLL Gemini tor górny 1,7 m czarny szczotkowany</v>
      </c>
      <c r="H246" s="1">
        <v>1700</v>
      </c>
      <c r="I246" s="1" t="str">
        <f>CONCATENATE(H246,"-",J9)</f>
        <v>1700-szczot.czarna</v>
      </c>
      <c r="Z246" s="1" t="b">
        <f t="shared" si="6"/>
        <v>1</v>
      </c>
    </row>
    <row r="247" spans="1:26" ht="15" customHeight="1" x14ac:dyDescent="0.3">
      <c r="A247" s="49">
        <v>205165</v>
      </c>
      <c r="B247" s="48"/>
      <c r="C247" s="1" t="str">
        <f>CONCATENATE(H247,"-",J9)</f>
        <v>2350-szczot.czarna</v>
      </c>
      <c r="D247" s="49">
        <v>205165</v>
      </c>
      <c r="E247" s="48" t="str">
        <f>+VLOOKUP(A247,cennik!A:G,2,FALSE)</f>
        <v>SEVROLL Gemini tor górny 2,35 m czarny szczotkowany</v>
      </c>
      <c r="F247" s="48" t="str">
        <f>+VLOOKUP(A247,cennik!A:B,2,FALSE)</f>
        <v>SEVROLL Gemini tor górny 2,35 m czarny szczotkowany</v>
      </c>
      <c r="H247" s="1">
        <v>2350</v>
      </c>
      <c r="I247" s="1" t="str">
        <f>CONCATENATE(H247,"-",J9)</f>
        <v>2350-szczot.czarna</v>
      </c>
      <c r="Z247" s="1" t="b">
        <f t="shared" si="6"/>
        <v>1</v>
      </c>
    </row>
    <row r="248" spans="1:26" ht="15" customHeight="1" x14ac:dyDescent="0.3">
      <c r="A248" s="49">
        <v>205167</v>
      </c>
      <c r="B248" s="48"/>
      <c r="C248" s="1" t="str">
        <f>CONCATENATE(H248,"-",J9)</f>
        <v>3000-szczot.czarna</v>
      </c>
      <c r="D248" s="49">
        <v>205167</v>
      </c>
      <c r="E248" s="48" t="str">
        <f>+VLOOKUP(A248,cennik!A:G,2,FALSE)</f>
        <v>SEVROLL Gemini tor górny 3 m czarny szczotkowany</v>
      </c>
      <c r="F248" s="48" t="str">
        <f>+VLOOKUP(A248,cennik!A:B,2,FALSE)</f>
        <v>SEVROLL Gemini tor górny 3 m czarny szczotkowany</v>
      </c>
      <c r="H248" s="1">
        <v>3000</v>
      </c>
      <c r="I248" s="1" t="str">
        <f>CONCATENATE(H248,"-",J9)</f>
        <v>3000-szczot.czarna</v>
      </c>
      <c r="Z248" s="1" t="b">
        <f t="shared" si="6"/>
        <v>1</v>
      </c>
    </row>
    <row r="249" spans="1:26" ht="15" customHeight="1" x14ac:dyDescent="0.3">
      <c r="A249" s="49">
        <v>205169</v>
      </c>
      <c r="B249" s="48"/>
      <c r="C249" s="1" t="str">
        <f>CONCATENATE(H249,"-",J9)</f>
        <v>4050-szczot.czarna</v>
      </c>
      <c r="D249" s="49">
        <v>205169</v>
      </c>
      <c r="E249" s="48" t="str">
        <f>+VLOOKUP(A249,cennik!A:G,2,FALSE)</f>
        <v>SEVROLL Gemini tor górny 4,05 m czarny szczotkowany</v>
      </c>
      <c r="F249" s="48" t="str">
        <f>+VLOOKUP(A249,cennik!A:B,2,FALSE)</f>
        <v>SEVROLL Gemini tor górny 4,05 m czarny szczotkowany</v>
      </c>
      <c r="H249" s="1">
        <v>4050</v>
      </c>
      <c r="I249" s="1" t="str">
        <f>CONCATENATE(H249,"-",J9)</f>
        <v>4050-szczot.czarna</v>
      </c>
      <c r="Z249" s="1" t="b">
        <f t="shared" si="6"/>
        <v>1</v>
      </c>
    </row>
    <row r="250" spans="1:26" ht="15" customHeight="1" x14ac:dyDescent="0.3">
      <c r="A250" s="48">
        <v>225372</v>
      </c>
      <c r="B250" s="48"/>
      <c r="C250" s="1" t="str">
        <f>CONCATENATE(H250,"-",J9)</f>
        <v>6000-szczot.czarna</v>
      </c>
      <c r="D250" s="48">
        <v>225372</v>
      </c>
      <c r="E250" s="48" t="str">
        <f>+VLOOKUP(A250,cennik!A:G,2,FALSE)</f>
        <v>SEVROLL Gemini tor górny 6m czarny szczotkowany</v>
      </c>
      <c r="F250" s="48" t="str">
        <f>+VLOOKUP(A250,cennik!A:B,2,FALSE)</f>
        <v>SEVROLL Gemini tor górny 6m czarny szczotkowany</v>
      </c>
      <c r="H250" s="1">
        <v>6000</v>
      </c>
      <c r="I250" s="1" t="str">
        <f>CONCATENATE(H250,"-",J9)</f>
        <v>6000-szczot.czarna</v>
      </c>
      <c r="Z250" s="1" t="b">
        <f t="shared" si="6"/>
        <v>1</v>
      </c>
    </row>
    <row r="251" spans="1:26" ht="15" customHeight="1" x14ac:dyDescent="0.3">
      <c r="A251" s="49">
        <v>276751</v>
      </c>
      <c r="B251" s="48"/>
      <c r="C251" s="1" t="str">
        <f>CONCATENATE(H251,"-",J15)</f>
        <v>1700- biały połysk</v>
      </c>
      <c r="D251" s="49">
        <v>276751</v>
      </c>
      <c r="E251" s="48" t="str">
        <f>+VLOOKUP(A251,cennik!A:G,2,FALSE)</f>
        <v>SEVROLL Gemini tor górny 1,7 m, biały połysk</v>
      </c>
      <c r="F251" s="48" t="str">
        <f>+VLOOKUP(A251,cennik!A:B,2,FALSE)</f>
        <v>SEVROLL Gemini tor górny 1,7 m, biały połysk</v>
      </c>
      <c r="H251" s="1">
        <v>1700</v>
      </c>
      <c r="I251" s="1" t="str">
        <f>CONCATENATE(H251,"-",J15)</f>
        <v>1700- biały połysk</v>
      </c>
      <c r="Z251" s="1" t="b">
        <f t="shared" si="6"/>
        <v>1</v>
      </c>
    </row>
    <row r="252" spans="1:26" ht="15" customHeight="1" x14ac:dyDescent="0.3">
      <c r="A252" s="49">
        <v>267882</v>
      </c>
      <c r="B252" s="48"/>
      <c r="C252" s="1" t="str">
        <f>CONCATENATE(H252,"-",J15)</f>
        <v>2350- biały połysk</v>
      </c>
      <c r="D252" s="49">
        <v>267882</v>
      </c>
      <c r="E252" s="48" t="str">
        <f>+VLOOKUP(A252,cennik!A:G,2,FALSE)</f>
        <v>SEVROLL 04060 Gemini tor górny 2,35 m, biały połysk</v>
      </c>
      <c r="F252" s="48" t="str">
        <f>+VLOOKUP(A252,cennik!A:B,2,FALSE)</f>
        <v>SEVROLL 04060 Gemini tor górny 2,35 m, biały połysk</v>
      </c>
      <c r="H252" s="1">
        <v>2350</v>
      </c>
      <c r="I252" s="1" t="str">
        <f>CONCATENATE(H252,"-",J15)</f>
        <v>2350- biały połysk</v>
      </c>
      <c r="Z252" s="1" t="b">
        <f t="shared" si="6"/>
        <v>1</v>
      </c>
    </row>
    <row r="253" spans="1:26" ht="15" customHeight="1" x14ac:dyDescent="0.3">
      <c r="A253" s="49">
        <v>252566</v>
      </c>
      <c r="B253" s="48"/>
      <c r="C253" s="1" t="str">
        <f>CONCATENATE(H253,"-",J15)</f>
        <v>3000- biały połysk</v>
      </c>
      <c r="D253" s="49">
        <v>252566</v>
      </c>
      <c r="E253" s="48" t="str">
        <f>+VLOOKUP(A253,cennik!A:G,2,FALSE)</f>
        <v>SEVROLL Gemini tor górny 3 m, biały połysk</v>
      </c>
      <c r="F253" s="48" t="str">
        <f>+VLOOKUP(A253,cennik!A:B,2,FALSE)</f>
        <v>SEVROLL Gemini tor górny 3 m, biały połysk</v>
      </c>
      <c r="H253" s="1">
        <v>3000</v>
      </c>
      <c r="I253" s="1" t="str">
        <f>CONCATENATE(H253,"-",J15)</f>
        <v>3000- biały połysk</v>
      </c>
      <c r="Z253" s="1" t="b">
        <f t="shared" si="6"/>
        <v>1</v>
      </c>
    </row>
    <row r="254" spans="1:26" ht="15" customHeight="1" x14ac:dyDescent="0.3">
      <c r="A254" s="49">
        <v>276749</v>
      </c>
      <c r="B254" s="48"/>
      <c r="C254" s="1" t="str">
        <f>CONCATENATE(H254,"-",J15)</f>
        <v>4050- biały połysk</v>
      </c>
      <c r="D254" s="49">
        <v>276749</v>
      </c>
      <c r="E254" s="48" t="str">
        <f>+VLOOKUP(A254,cennik!A:G,2,FALSE)</f>
        <v>SEVROLL Gemini tor górny 4,05 m, biały połysk</v>
      </c>
      <c r="F254" s="48" t="str">
        <f>+VLOOKUP(A254,cennik!A:B,2,FALSE)</f>
        <v>SEVROLL Gemini tor górny 4,05 m, biały połysk</v>
      </c>
      <c r="H254" s="1">
        <v>4050</v>
      </c>
      <c r="I254" s="1" t="str">
        <f>CONCATENATE(H254,"-",J15)</f>
        <v>4050- biały połysk</v>
      </c>
      <c r="Z254" s="1" t="b">
        <f t="shared" si="6"/>
        <v>1</v>
      </c>
    </row>
    <row r="255" spans="1:26" ht="15" customHeight="1" x14ac:dyDescent="0.3">
      <c r="A255" s="49">
        <v>311586</v>
      </c>
      <c r="B255" s="48"/>
      <c r="C255" s="1" t="str">
        <f>CONCATENATE(H255,"-",J15)</f>
        <v>6000- biały połysk</v>
      </c>
      <c r="D255" s="49">
        <v>311586</v>
      </c>
      <c r="E255" s="48" t="str">
        <f>+VLOOKUP(A255,cennik!A:G,2,FALSE)</f>
        <v>SEVROLL Gemini tor górny 6m biały połysk</v>
      </c>
      <c r="F255" s="48" t="str">
        <f>+VLOOKUP(A255,cennik!A:B,2,FALSE)</f>
        <v>SEVROLL Gemini tor górny 6m biały połysk</v>
      </c>
      <c r="H255" s="1">
        <v>6000</v>
      </c>
      <c r="I255" s="1" t="str">
        <f>CONCATENATE(H255,"-",J15)</f>
        <v>6000- biały połysk</v>
      </c>
      <c r="Z255" s="1" t="b">
        <f t="shared" si="6"/>
        <v>1</v>
      </c>
    </row>
    <row r="256" spans="1:26" ht="15" customHeight="1" x14ac:dyDescent="0.3">
      <c r="A256" s="2">
        <v>405407</v>
      </c>
      <c r="C256" s="1" t="str">
        <f>CONCATENATE(H256,"-",J16)</f>
        <v>1700-czarny połysk</v>
      </c>
      <c r="D256" s="2">
        <v>405407</v>
      </c>
      <c r="E256" s="48" t="str">
        <f>+VLOOKUP(A256,cennik!A:G,2,FALSE)</f>
        <v>SEVROLL Gemini tor górny 1,7 m czarny połysk</v>
      </c>
      <c r="F256" s="48" t="str">
        <f>+VLOOKUP(A256,cennik!A:B,2,FALSE)</f>
        <v>SEVROLL Gemini tor górny 1,7 m czarny połysk</v>
      </c>
      <c r="H256" s="1">
        <v>1700</v>
      </c>
      <c r="I256" s="1" t="str">
        <f>CONCATENATE(H256,"-",J16)</f>
        <v>1700-czarny połysk</v>
      </c>
      <c r="Z256" s="1" t="b">
        <f t="shared" si="6"/>
        <v>1</v>
      </c>
    </row>
    <row r="257" spans="1:26" ht="15" customHeight="1" x14ac:dyDescent="0.3">
      <c r="A257" s="2">
        <v>398096</v>
      </c>
      <c r="C257" s="1" t="str">
        <f>CONCATENATE(H257,"-",J16)</f>
        <v>2350-czarny połysk</v>
      </c>
      <c r="D257" s="2">
        <v>398096</v>
      </c>
      <c r="E257" s="48" t="str">
        <f>+VLOOKUP(A257,cennik!A:G,2,FALSE)</f>
        <v>SEVROLL Gemini tor górny 2,35 m czarny połysk</v>
      </c>
      <c r="F257" s="48" t="str">
        <f>+VLOOKUP(A257,cennik!A:B,2,FALSE)</f>
        <v>SEVROLL Gemini tor górny 2,35 m czarny połysk</v>
      </c>
      <c r="H257" s="1">
        <v>2350</v>
      </c>
      <c r="I257" s="1" t="str">
        <f>CONCATENATE(H257,"-",J16)</f>
        <v>2350-czarny połysk</v>
      </c>
      <c r="Z257" s="1" t="b">
        <f t="shared" si="6"/>
        <v>1</v>
      </c>
    </row>
    <row r="258" spans="1:26" ht="15" customHeight="1" x14ac:dyDescent="0.3">
      <c r="A258" s="2">
        <v>405423</v>
      </c>
      <c r="C258" s="1" t="str">
        <f>CONCATENATE(H258,"-",J16)</f>
        <v>3000-czarny połysk</v>
      </c>
      <c r="D258" s="2">
        <v>405423</v>
      </c>
      <c r="E258" s="48" t="str">
        <f>+VLOOKUP(A258,cennik!A:G,2,FALSE)</f>
        <v>SEVROLL Gemini tor górny 3 m czarny połysk</v>
      </c>
      <c r="F258" s="48" t="str">
        <f>+VLOOKUP(A258,cennik!A:B,2,FALSE)</f>
        <v>SEVROLL Gemini tor górny 3 m czarny połysk</v>
      </c>
      <c r="H258" s="1">
        <v>3000</v>
      </c>
      <c r="I258" s="1" t="str">
        <f>CONCATENATE(H258,"-",J16)</f>
        <v>3000-czarny połysk</v>
      </c>
      <c r="Z258" s="1" t="b">
        <f t="shared" si="6"/>
        <v>1</v>
      </c>
    </row>
    <row r="259" spans="1:26" ht="15" customHeight="1" x14ac:dyDescent="0.3">
      <c r="A259" s="2">
        <v>405425</v>
      </c>
      <c r="C259" s="1" t="str">
        <f>CONCATENATE(H259,"-",J16)</f>
        <v>4050-czarny połysk</v>
      </c>
      <c r="D259" s="2">
        <v>405425</v>
      </c>
      <c r="E259" s="48" t="str">
        <f>+VLOOKUP(A259,cennik!A:G,2,FALSE)</f>
        <v>SEVROLL Gemini tor górny 4,05 m czarny połysk</v>
      </c>
      <c r="F259" s="48" t="str">
        <f>+VLOOKUP(A259,cennik!A:B,2,FALSE)</f>
        <v>SEVROLL Gemini tor górny 4,05 m czarny połysk</v>
      </c>
      <c r="H259" s="1">
        <v>4050</v>
      </c>
      <c r="I259" s="1" t="str">
        <f>CONCATENATE(H259,"-",J16)</f>
        <v>4050-czarny połysk</v>
      </c>
      <c r="Z259" s="1" t="b">
        <f t="shared" si="6"/>
        <v>1</v>
      </c>
    </row>
    <row r="260" spans="1:26" ht="15" customHeight="1" x14ac:dyDescent="0.3">
      <c r="A260" s="2">
        <v>405426</v>
      </c>
      <c r="C260" s="1" t="str">
        <f>CONCATENATE(H260,"-",J16)</f>
        <v>6000-czarny połysk</v>
      </c>
      <c r="D260" s="2">
        <v>405426</v>
      </c>
      <c r="E260" s="48" t="str">
        <f>+VLOOKUP(A260,cennik!A:G,2,FALSE)</f>
        <v>SEVROLL Gemini tor górny 6m czarny połysk</v>
      </c>
      <c r="F260" s="48" t="str">
        <f>+VLOOKUP(A260,cennik!A:B,2,FALSE)</f>
        <v>SEVROLL Gemini tor górny 6m czarny połysk</v>
      </c>
      <c r="H260" s="1">
        <v>6000</v>
      </c>
      <c r="I260" s="1" t="str">
        <f>CONCATENATE(H260,"-",J16)</f>
        <v>6000-czarny połysk</v>
      </c>
      <c r="Z260" s="1" t="b">
        <f t="shared" si="6"/>
        <v>1</v>
      </c>
    </row>
    <row r="261" spans="1:26" ht="15" customHeight="1" x14ac:dyDescent="0.3">
      <c r="A261" s="1">
        <v>494742</v>
      </c>
      <c r="C261" s="1" t="str">
        <f>CONCATENATE(H261,"-",J12)</f>
        <v>1700-grafit</v>
      </c>
      <c r="D261" s="1">
        <v>494742</v>
      </c>
      <c r="E261" s="48" t="str">
        <f>+VLOOKUP(A261,cennik!A:G,2,FALSE)</f>
        <v>SEVROLL 06045 Gemini tor górny 1,7 m grafit</v>
      </c>
      <c r="F261" s="48" t="str">
        <f>+VLOOKUP(A261,cennik!A:B,2,FALSE)</f>
        <v>SEVROLL 06045 Gemini tor górny 1,7 m grafit</v>
      </c>
      <c r="H261" s="1">
        <v>1700</v>
      </c>
      <c r="I261" s="1" t="str">
        <f>CONCATENATE(H261,"-",J12)</f>
        <v>1700-grafit</v>
      </c>
      <c r="Z261" s="1" t="b">
        <f t="shared" si="6"/>
        <v>1</v>
      </c>
    </row>
    <row r="262" spans="1:26" ht="15" customHeight="1" x14ac:dyDescent="0.3">
      <c r="A262" s="1">
        <v>494669</v>
      </c>
      <c r="C262" s="1" t="str">
        <f>CONCATENATE(H262,"-",J12)</f>
        <v>2350-grafit</v>
      </c>
      <c r="D262" s="1">
        <v>494669</v>
      </c>
      <c r="E262" s="48" t="str">
        <f>+VLOOKUP(A262,cennik!A:G,2,FALSE)</f>
        <v>SEVROLL 06046 Gemini tor górny 2,35 m grafit</v>
      </c>
      <c r="F262" s="48" t="str">
        <f>+VLOOKUP(A262,cennik!A:B,2,FALSE)</f>
        <v>SEVROLL 06046 Gemini tor górny 2,35 m grafit</v>
      </c>
      <c r="H262" s="1">
        <v>2350</v>
      </c>
      <c r="I262" s="1" t="str">
        <f>CONCATENATE(H262,"-",J12)</f>
        <v>2350-grafit</v>
      </c>
      <c r="Z262" s="1" t="b">
        <f t="shared" si="6"/>
        <v>1</v>
      </c>
    </row>
    <row r="263" spans="1:26" ht="15" customHeight="1" x14ac:dyDescent="0.3">
      <c r="A263" s="1">
        <v>494730</v>
      </c>
      <c r="C263" s="1" t="str">
        <f>CONCATENATE(H263,"-",J12)</f>
        <v>3000-grafit</v>
      </c>
      <c r="D263" s="1">
        <v>494730</v>
      </c>
      <c r="E263" s="48" t="str">
        <f>+VLOOKUP(A263,cennik!A:G,2,FALSE)</f>
        <v>SEVROLL 06022 Gemini tor górny 3 m grafit</v>
      </c>
      <c r="F263" s="48" t="str">
        <f>+VLOOKUP(A263,cennik!A:B,2,FALSE)</f>
        <v>SEVROLL 06022 Gemini tor górny 3 m grafit</v>
      </c>
      <c r="H263" s="1">
        <v>3000</v>
      </c>
      <c r="I263" s="1" t="str">
        <f>CONCATENATE(H263,"-",J12)</f>
        <v>3000-grafit</v>
      </c>
      <c r="Z263" s="1" t="b">
        <f t="shared" si="6"/>
        <v>1</v>
      </c>
    </row>
    <row r="264" spans="1:26" ht="15" customHeight="1" x14ac:dyDescent="0.3">
      <c r="A264" s="1">
        <v>494670</v>
      </c>
      <c r="C264" s="1" t="str">
        <f>CONCATENATE(H264,"-",J12)</f>
        <v>4050-grafit</v>
      </c>
      <c r="D264" s="1">
        <v>494670</v>
      </c>
      <c r="E264" s="48" t="str">
        <f>+VLOOKUP(A264,cennik!A:G,2,FALSE)</f>
        <v>SEVROLL 06023 Gemini tor górny 4,05 m grafit</v>
      </c>
      <c r="F264" s="48" t="str">
        <f>+VLOOKUP(A264,cennik!A:B,2,FALSE)</f>
        <v>SEVROLL 06023 Gemini tor górny 4,05 m grafit</v>
      </c>
      <c r="H264" s="1">
        <v>4050</v>
      </c>
      <c r="I264" s="1" t="str">
        <f>CONCATENATE(H264,"-",J12)</f>
        <v>4050-grafit</v>
      </c>
      <c r="Z264" s="1" t="b">
        <f t="shared" si="6"/>
        <v>1</v>
      </c>
    </row>
    <row r="265" spans="1:26" ht="15" customHeight="1" x14ac:dyDescent="0.3">
      <c r="A265" s="1">
        <v>495629</v>
      </c>
      <c r="C265" s="1" t="str">
        <f>CONCATENATE(H265,"-",J12)</f>
        <v>6000-grafit</v>
      </c>
      <c r="D265" s="1">
        <v>495629</v>
      </c>
      <c r="E265" s="48" t="str">
        <f>+VLOOKUP(A265,cennik!A:G,2,FALSE)</f>
        <v>SEVROLL 06047 Gemini tor górny 6m grafit</v>
      </c>
      <c r="F265" s="48" t="str">
        <f>+VLOOKUP(A265,cennik!A:B,2,FALSE)</f>
        <v>SEVROLL 06047 Gemini tor górny 6m grafit</v>
      </c>
      <c r="H265" s="1">
        <v>6000</v>
      </c>
      <c r="I265" s="1" t="str">
        <f>CONCATENATE(H265,"-",J12)</f>
        <v>6000-grafit</v>
      </c>
      <c r="Z265" s="1" t="b">
        <f t="shared" si="6"/>
        <v>1</v>
      </c>
    </row>
    <row r="266" spans="1:26" ht="15" customHeight="1" x14ac:dyDescent="0.3">
      <c r="A266" s="1">
        <v>394802</v>
      </c>
      <c r="C266" s="1" t="str">
        <f>CONCATENATE(H266,"-",J18)</f>
        <v>1700-biały mat</v>
      </c>
      <c r="D266" s="1">
        <v>394802</v>
      </c>
      <c r="E266" s="48" t="str">
        <f>+VLOOKUP(A266,cennik!A:G,2,FALSE)</f>
        <v>SEVROLL Gemini tor górny 1,7 m biały matowy</v>
      </c>
      <c r="F266" s="48" t="str">
        <f>+VLOOKUP(A266,cennik!A:B,2,FALSE)</f>
        <v>SEVROLL Gemini tor górny 1,7 m biały matowy</v>
      </c>
      <c r="H266" s="1">
        <v>1700</v>
      </c>
      <c r="I266" s="1" t="str">
        <f>CONCATENATE(H266,"-",J18)</f>
        <v>1700-biały mat</v>
      </c>
    </row>
    <row r="267" spans="1:26" ht="15" customHeight="1" x14ac:dyDescent="0.3">
      <c r="A267" s="1">
        <v>394813</v>
      </c>
      <c r="C267" s="1" t="str">
        <f>CONCATENATE(H267,"-",J18)</f>
        <v>2350-biały mat</v>
      </c>
      <c r="D267" s="1">
        <v>394813</v>
      </c>
      <c r="E267" s="48" t="str">
        <f>+VLOOKUP(A267,cennik!A:G,2,FALSE)</f>
        <v>SEVROLL Gemini tor górny 2,35 m biały matowy</v>
      </c>
      <c r="F267" s="48" t="str">
        <f>+VLOOKUP(A267,cennik!A:B,2,FALSE)</f>
        <v>SEVROLL Gemini tor górny 2,35 m biały matowy</v>
      </c>
      <c r="H267" s="1">
        <v>2350</v>
      </c>
      <c r="I267" s="1" t="str">
        <f>CONCATENATE(H267,"-",J18)</f>
        <v>2350-biały mat</v>
      </c>
    </row>
    <row r="268" spans="1:26" ht="15" customHeight="1" x14ac:dyDescent="0.3">
      <c r="A268" s="1">
        <v>233016</v>
      </c>
      <c r="C268" s="1" t="str">
        <f>CONCATENATE(H268,"-",J18)</f>
        <v>3000-biały mat</v>
      </c>
      <c r="D268" s="1">
        <v>233016</v>
      </c>
      <c r="E268" s="48" t="str">
        <f>+VLOOKUP(A268,cennik!A:G,2,FALSE)</f>
        <v>SEVROLL Tor górny Gemini 3 m, biały matowy</v>
      </c>
      <c r="F268" s="48" t="str">
        <f>+VLOOKUP(A268,cennik!A:B,2,FALSE)</f>
        <v>SEVROLL Tor górny Gemini 3 m, biały matowy</v>
      </c>
      <c r="H268" s="1">
        <v>3000</v>
      </c>
      <c r="I268" s="1" t="str">
        <f>CONCATENATE(H268,"-",J18)</f>
        <v>3000-biały mat</v>
      </c>
    </row>
    <row r="269" spans="1:26" ht="15" customHeight="1" x14ac:dyDescent="0.3">
      <c r="A269" s="1">
        <v>394815</v>
      </c>
      <c r="C269" s="1" t="str">
        <f>CONCATENATE(H269,"-",J18)</f>
        <v>4050-biały mat</v>
      </c>
      <c r="D269" s="1">
        <v>394815</v>
      </c>
      <c r="E269" s="48" t="str">
        <f>+VLOOKUP(A269,cennik!A:G,2,FALSE)</f>
        <v>SEVROLL Gemini tor górny 4,05 m biały matowy</v>
      </c>
      <c r="F269" s="48" t="str">
        <f>+VLOOKUP(A269,cennik!A:B,2,FALSE)</f>
        <v>SEVROLL Gemini tor górny 4,05 m biały matowy</v>
      </c>
      <c r="H269" s="1">
        <v>4050</v>
      </c>
      <c r="I269" s="1" t="str">
        <f>CONCATENATE(H269,"-",J18)</f>
        <v>4050-biały mat</v>
      </c>
    </row>
    <row r="270" spans="1:26" ht="15" customHeight="1" x14ac:dyDescent="0.3">
      <c r="A270" s="1">
        <v>394824</v>
      </c>
      <c r="C270" s="1" t="str">
        <f>CONCATENATE(H270,"-",J18)</f>
        <v>6000-biały mat</v>
      </c>
      <c r="D270" s="1">
        <v>394824</v>
      </c>
      <c r="E270" s="48" t="str">
        <f>+VLOOKUP(A270,cennik!A:G,2,FALSE)</f>
        <v>SEVROLL Gemini tor górny 6m biały matowy</v>
      </c>
      <c r="F270" s="48" t="str">
        <f>+VLOOKUP(A270,cennik!A:B,2,FALSE)</f>
        <v>SEVROLL Gemini tor górny 6m biały matowy</v>
      </c>
      <c r="H270" s="1">
        <v>6000</v>
      </c>
      <c r="I270" s="1" t="str">
        <f>CONCATENATE(H270,"-",J18)</f>
        <v>6000-biały mat</v>
      </c>
    </row>
    <row r="271" spans="1:26" ht="15" customHeight="1" x14ac:dyDescent="0.3">
      <c r="A271" s="1">
        <v>422008</v>
      </c>
      <c r="C271" s="1" t="str">
        <f>CONCATENATE(H271,"-",J17)</f>
        <v>1700- czarny mat</v>
      </c>
      <c r="D271" s="1">
        <v>422008</v>
      </c>
      <c r="E271" s="48" t="str">
        <f>+VLOOKUP(A271,cennik!A:G,2,FALSE)</f>
        <v>SEVROLL Gemini tor górny 1,7 m czarny mat</v>
      </c>
      <c r="F271" s="48" t="str">
        <f>+VLOOKUP(A271,cennik!A:B,2,FALSE)</f>
        <v>SEVROLL Gemini tor górny 1,7 m czarny mat</v>
      </c>
      <c r="H271" s="1">
        <v>1700</v>
      </c>
      <c r="I271" s="1" t="str">
        <f>CONCATENATE(H271,"-",J17)</f>
        <v>1700- czarny mat</v>
      </c>
      <c r="Z271" s="1" t="b">
        <f t="shared" si="6"/>
        <v>1</v>
      </c>
    </row>
    <row r="272" spans="1:26" ht="15" customHeight="1" x14ac:dyDescent="0.3">
      <c r="A272" s="1">
        <v>409670</v>
      </c>
      <c r="C272" s="1" t="str">
        <f>CONCATENATE(H272,"-",J17)</f>
        <v>2350- czarny mat</v>
      </c>
      <c r="D272" s="1">
        <v>409670</v>
      </c>
      <c r="E272" s="48" t="str">
        <f>+VLOOKUP(A272,cennik!A:G,2,FALSE)</f>
        <v>SEVROLL 05314 Gemini tor górny 2,35 m czarny mat</v>
      </c>
      <c r="F272" s="48" t="str">
        <f>+VLOOKUP(A272,cennik!A:B,2,FALSE)</f>
        <v>SEVROLL 05314 Gemini tor górny 2,35 m czarny mat</v>
      </c>
      <c r="H272" s="1">
        <v>2350</v>
      </c>
      <c r="I272" s="1" t="str">
        <f>CONCATENATE(H272,"-",J17)</f>
        <v>2350- czarny mat</v>
      </c>
      <c r="Z272" s="1" t="b">
        <f t="shared" si="6"/>
        <v>1</v>
      </c>
    </row>
    <row r="273" spans="1:26" ht="15" customHeight="1" x14ac:dyDescent="0.3">
      <c r="A273" s="1">
        <v>412229</v>
      </c>
      <c r="C273" s="1" t="str">
        <f>CONCATENATE(H273,"-",J17)</f>
        <v>3000- czarny mat</v>
      </c>
      <c r="D273" s="1">
        <v>412229</v>
      </c>
      <c r="E273" s="48" t="str">
        <f>+VLOOKUP(A273,cennik!A:G,2,FALSE)</f>
        <v>SEVROLL Gemini tor górny 3 m czarny mat</v>
      </c>
      <c r="F273" s="48" t="str">
        <f>+VLOOKUP(A273,cennik!A:B,2,FALSE)</f>
        <v>SEVROLL Gemini tor górny 3 m czarny mat</v>
      </c>
      <c r="H273" s="1">
        <v>3000</v>
      </c>
      <c r="I273" s="1" t="str">
        <f>CONCATENATE(H273,"-",J17)</f>
        <v>3000- czarny mat</v>
      </c>
      <c r="Z273" s="1" t="b">
        <f t="shared" si="6"/>
        <v>1</v>
      </c>
    </row>
    <row r="274" spans="1:26" ht="15" customHeight="1" x14ac:dyDescent="0.3">
      <c r="A274" s="2">
        <v>452736</v>
      </c>
      <c r="C274" s="1" t="str">
        <f>CONCATENATE(H274,"-",J17)</f>
        <v>6000- czarny mat</v>
      </c>
      <c r="D274" s="2">
        <v>452736</v>
      </c>
      <c r="E274" s="48" t="str">
        <f>+VLOOKUP(A274,cennik!A:G,2,FALSE)</f>
        <v>SEVROLL 05316 Gemini tor górny 6m czarny mat</v>
      </c>
      <c r="F274" s="48" t="str">
        <f>+VLOOKUP(A274,cennik!A:B,2,FALSE)</f>
        <v>SEVROLL 05316 Gemini tor górny 6m czarny mat</v>
      </c>
      <c r="H274" s="1">
        <v>6000</v>
      </c>
      <c r="I274" s="1" t="str">
        <f>CONCATENATE(H274,"-",J17)</f>
        <v>6000- czarny mat</v>
      </c>
      <c r="Z274" s="1" t="b">
        <f t="shared" si="6"/>
        <v>1</v>
      </c>
    </row>
    <row r="275" spans="1:26" ht="15" customHeight="1" x14ac:dyDescent="0.3">
      <c r="A275" s="196">
        <v>526516</v>
      </c>
      <c r="C275" s="1" t="str">
        <f>CONCATENATE(H275,"-",J22)</f>
        <v>1700-czarny lakier strukturalny</v>
      </c>
      <c r="D275" s="196">
        <v>526516</v>
      </c>
      <c r="E275" s="48" t="str">
        <f>+VLOOKUP(A275,cennik!A:G,2,FALSE)</f>
        <v>SEVROLL 06285 Gemini tor górny 1,7 m czarny lakier strukturalny</v>
      </c>
      <c r="F275" s="48" t="str">
        <f>+VLOOKUP(A275,cennik!A:B,2,FALSE)</f>
        <v>SEVROLL 06285 Gemini tor górny 1,7 m czarny lakier strukturalny</v>
      </c>
      <c r="H275" s="1">
        <v>1700</v>
      </c>
      <c r="I275" s="1" t="str">
        <f>CONCATENATE(H275,"-",J22)</f>
        <v>1700-czarny lakier strukturalny</v>
      </c>
    </row>
    <row r="276" spans="1:26" ht="15" customHeight="1" x14ac:dyDescent="0.3">
      <c r="A276" s="196">
        <v>526519</v>
      </c>
      <c r="C276" s="1" t="str">
        <f>CONCATENATE(H276,"-",J22)</f>
        <v>2350-czarny lakier strukturalny</v>
      </c>
      <c r="D276" s="196">
        <v>526519</v>
      </c>
      <c r="E276" s="48" t="str">
        <f>+VLOOKUP(A276,cennik!A:G,2,FALSE)</f>
        <v>SEVROLL 06286 Gemini tor górny 2,35 m czarny lakier strukturalny</v>
      </c>
      <c r="F276" s="48" t="str">
        <f>+VLOOKUP(A276,cennik!A:B,2,FALSE)</f>
        <v>SEVROLL 06286 Gemini tor górny 2,35 m czarny lakier strukturalny</v>
      </c>
      <c r="H276" s="1">
        <v>2350</v>
      </c>
      <c r="I276" s="1" t="str">
        <f>CONCATENATE(H276,"-",J22)</f>
        <v>2350-czarny lakier strukturalny</v>
      </c>
    </row>
    <row r="277" spans="1:26" ht="15" customHeight="1" x14ac:dyDescent="0.3">
      <c r="A277" s="196">
        <v>526520</v>
      </c>
      <c r="C277" s="1" t="str">
        <f>CONCATENATE(H277,"-",J22)</f>
        <v>3000-czarny lakier strukturalny</v>
      </c>
      <c r="D277" s="196">
        <v>526520</v>
      </c>
      <c r="E277" s="48" t="str">
        <f>+VLOOKUP(A277,cennik!A:G,2,FALSE)</f>
        <v>SEVROLL 06287 Gemini tor górny 3 m czarny lakier strukturalny</v>
      </c>
      <c r="F277" s="48" t="str">
        <f>+VLOOKUP(A277,cennik!A:B,2,FALSE)</f>
        <v>SEVROLL 06287 Gemini tor górny 3 m czarny lakier strukturalny</v>
      </c>
      <c r="H277" s="1">
        <v>3000</v>
      </c>
      <c r="I277" s="1" t="str">
        <f>CONCATENATE(H277,"-",J22)</f>
        <v>3000-czarny lakier strukturalny</v>
      </c>
    </row>
    <row r="278" spans="1:26" ht="15" customHeight="1" x14ac:dyDescent="0.3">
      <c r="A278" s="196">
        <v>526521</v>
      </c>
      <c r="C278" s="1" t="str">
        <f>CONCATENATE(H278,"-",J22)</f>
        <v>4050-czarny lakier strukturalny</v>
      </c>
      <c r="D278" s="196">
        <v>526521</v>
      </c>
      <c r="E278" s="48" t="str">
        <f>+VLOOKUP(A278,cennik!A:G,2,FALSE)</f>
        <v>SEVROLL 06288 Gemini tor górny 4,05 m czarny lakier strukturalny</v>
      </c>
      <c r="F278" s="48" t="str">
        <f>+VLOOKUP(A278,cennik!A:B,2,FALSE)</f>
        <v>SEVROLL 06288 Gemini tor górny 4,05 m czarny lakier strukturalny</v>
      </c>
      <c r="H278" s="1">
        <v>4050</v>
      </c>
      <c r="I278" s="1" t="str">
        <f>CONCATENATE(H278,"-",J22)</f>
        <v>4050-czarny lakier strukturalny</v>
      </c>
    </row>
    <row r="279" spans="1:26" ht="15" customHeight="1" x14ac:dyDescent="0.3">
      <c r="A279" s="196">
        <v>526522</v>
      </c>
      <c r="C279" s="1" t="str">
        <f>CONCATENATE(H279,"-",J22)</f>
        <v>6000-czarny lakier strukturalny</v>
      </c>
      <c r="D279" s="196">
        <v>526522</v>
      </c>
      <c r="E279" s="48" t="str">
        <f>+VLOOKUP(A279,cennik!A:G,2,FALSE)</f>
        <v>SEVROLL 06154 Gemini tor górny 6m czarny lakier strukturalny</v>
      </c>
      <c r="F279" s="48" t="str">
        <f>+VLOOKUP(A279,cennik!A:B,2,FALSE)</f>
        <v>SEVROLL 06154 Gemini tor górny 6m czarny lakier strukturalny</v>
      </c>
      <c r="H279" s="1">
        <v>6000</v>
      </c>
      <c r="I279" s="1" t="str">
        <f>CONCATENATE(H279,"-",J22)</f>
        <v>6000-czarny lakier strukturalny</v>
      </c>
    </row>
    <row r="280" spans="1:26" s="437" customFormat="1" ht="15" customHeight="1" x14ac:dyDescent="0.3">
      <c r="A280" s="436">
        <v>233016</v>
      </c>
      <c r="C280" s="1" t="str">
        <f>CONCATENATE(H280,"-",J18)</f>
        <v>3000-biały mat</v>
      </c>
      <c r="D280" s="436">
        <v>233016</v>
      </c>
      <c r="E280" s="48" t="str">
        <f>+VLOOKUP(A280,cennik!A:G,2,FALSE)</f>
        <v>SEVROLL Tor górny Gemini 3 m, biały matowy</v>
      </c>
      <c r="F280" s="48" t="str">
        <f>+VLOOKUP(A280,cennik!A:B,2,FALSE)</f>
        <v>SEVROLL Tor górny Gemini 3 m, biały matowy</v>
      </c>
      <c r="H280" s="437">
        <v>3000</v>
      </c>
      <c r="I280" s="1" t="str">
        <f>CONCATENATE(H280,"-",J18)</f>
        <v>3000-biały mat</v>
      </c>
      <c r="Z280" s="1" t="b">
        <f t="shared" si="6"/>
        <v>1</v>
      </c>
    </row>
    <row r="281" spans="1:26" s="437" customFormat="1" ht="15" customHeight="1" x14ac:dyDescent="0.3">
      <c r="A281" s="436">
        <v>394802</v>
      </c>
      <c r="C281" s="1" t="str">
        <f>CONCATENATE(H281,"-",J18)</f>
        <v>1700-biały mat</v>
      </c>
      <c r="D281" s="436">
        <v>394802</v>
      </c>
      <c r="E281" s="48" t="str">
        <f>+VLOOKUP(A281,cennik!A:G,2,FALSE)</f>
        <v>SEVROLL Gemini tor górny 1,7 m biały matowy</v>
      </c>
      <c r="F281" s="48" t="str">
        <f>+VLOOKUP(A281,cennik!A:B,2,FALSE)</f>
        <v>SEVROLL Gemini tor górny 1,7 m biały matowy</v>
      </c>
      <c r="H281" s="437">
        <v>1700</v>
      </c>
      <c r="I281" s="1" t="str">
        <f>CONCATENATE(H281,"-",J18)</f>
        <v>1700-biały mat</v>
      </c>
      <c r="Z281" s="1" t="b">
        <f t="shared" si="6"/>
        <v>1</v>
      </c>
    </row>
    <row r="282" spans="1:26" s="437" customFormat="1" ht="15" customHeight="1" x14ac:dyDescent="0.3">
      <c r="A282" s="436">
        <v>394813</v>
      </c>
      <c r="C282" s="1" t="str">
        <f>CONCATENATE(H282,"-",J18)</f>
        <v>2350-biały mat</v>
      </c>
      <c r="D282" s="436">
        <v>394813</v>
      </c>
      <c r="E282" s="48" t="str">
        <f>+VLOOKUP(A282,cennik!A:G,2,FALSE)</f>
        <v>SEVROLL Gemini tor górny 2,35 m biały matowy</v>
      </c>
      <c r="F282" s="48" t="str">
        <f>+VLOOKUP(A282,cennik!A:B,2,FALSE)</f>
        <v>SEVROLL Gemini tor górny 2,35 m biały matowy</v>
      </c>
      <c r="H282" s="437">
        <v>2350</v>
      </c>
      <c r="I282" s="1" t="str">
        <f>CONCATENATE(H282,"-",J18)</f>
        <v>2350-biały mat</v>
      </c>
      <c r="Z282" s="1" t="b">
        <f t="shared" si="6"/>
        <v>1</v>
      </c>
    </row>
    <row r="283" spans="1:26" s="437" customFormat="1" ht="15" customHeight="1" x14ac:dyDescent="0.3">
      <c r="A283" s="436">
        <v>394815</v>
      </c>
      <c r="C283" s="1" t="str">
        <f>CONCATENATE(H283,"-",J18)</f>
        <v>4050-biały mat</v>
      </c>
      <c r="D283" s="436">
        <v>394815</v>
      </c>
      <c r="E283" s="48" t="str">
        <f>+VLOOKUP(A283,cennik!A:G,2,FALSE)</f>
        <v>SEVROLL Gemini tor górny 4,05 m biały matowy</v>
      </c>
      <c r="F283" s="48" t="str">
        <f>+VLOOKUP(A283,cennik!A:B,2,FALSE)</f>
        <v>SEVROLL Gemini tor górny 4,05 m biały matowy</v>
      </c>
      <c r="H283" s="437">
        <v>4050</v>
      </c>
      <c r="I283" s="1" t="str">
        <f>CONCATENATE(H283,"-",J18)</f>
        <v>4050-biały mat</v>
      </c>
      <c r="Z283" s="1" t="b">
        <f t="shared" si="6"/>
        <v>1</v>
      </c>
    </row>
    <row r="284" spans="1:26" s="437" customFormat="1" ht="15" customHeight="1" x14ac:dyDescent="0.3">
      <c r="A284" s="436">
        <v>394824</v>
      </c>
      <c r="C284" s="1" t="str">
        <f>CONCATENATE(H284,"-",J18)</f>
        <v>6000-biały mat</v>
      </c>
      <c r="D284" s="436">
        <v>394824</v>
      </c>
      <c r="E284" s="48" t="str">
        <f>+VLOOKUP(A284,cennik!A:G,2,FALSE)</f>
        <v>SEVROLL Gemini tor górny 6m biały matowy</v>
      </c>
      <c r="F284" s="48" t="str">
        <f>+VLOOKUP(A284,cennik!A:B,2,FALSE)</f>
        <v>SEVROLL Gemini tor górny 6m biały matowy</v>
      </c>
      <c r="H284" s="437">
        <v>6000</v>
      </c>
      <c r="I284" s="1" t="str">
        <f>CONCATENATE(H284,"-",J18)</f>
        <v>6000-biały mat</v>
      </c>
      <c r="Z284" s="1" t="b">
        <f t="shared" si="6"/>
        <v>1</v>
      </c>
    </row>
    <row r="290" spans="1:26" ht="15" customHeight="1" x14ac:dyDescent="0.3">
      <c r="A290" s="2"/>
      <c r="B290" s="161" t="s">
        <v>947</v>
      </c>
      <c r="E290" s="48"/>
      <c r="F290" s="48"/>
      <c r="Z290" s="1" t="b">
        <f t="shared" si="6"/>
        <v>1</v>
      </c>
    </row>
    <row r="291" spans="1:26" ht="15" customHeight="1" x14ac:dyDescent="0.3">
      <c r="A291" s="49">
        <v>349796</v>
      </c>
      <c r="B291" s="48"/>
      <c r="C291" s="1" t="str">
        <f>CONCATENATE(H291,"-",J4)</f>
        <v>1500-srebrny</v>
      </c>
      <c r="D291" s="49">
        <v>349796</v>
      </c>
      <c r="E291" s="48" t="str">
        <f>+VLOOKUP(A291,cennik!A:G,2,FALSE)</f>
        <v>SEVROLL Blue tor górny 1,5m srebrny</v>
      </c>
      <c r="F291" s="48" t="str">
        <f>+VLOOKUP(A291,cennik!A:B,2,FALSE)</f>
        <v>SEVROLL Blue tor górny 1,5m srebrny</v>
      </c>
      <c r="H291" s="1">
        <v>1500</v>
      </c>
      <c r="I291" s="1" t="str">
        <f>CONCATENATE(H291,"-",J4)</f>
        <v>1500-srebrny</v>
      </c>
      <c r="Z291" s="1" t="b">
        <f t="shared" si="6"/>
        <v>1</v>
      </c>
    </row>
    <row r="292" spans="1:26" ht="15" customHeight="1" x14ac:dyDescent="0.3">
      <c r="A292" s="49">
        <v>349475</v>
      </c>
      <c r="B292" s="48"/>
      <c r="C292" s="1" t="str">
        <f>CONCATENATE(H292,"-",J4)</f>
        <v>2000-srebrny</v>
      </c>
      <c r="D292" s="49">
        <v>349475</v>
      </c>
      <c r="E292" s="48" t="str">
        <f>+VLOOKUP(A292,cennik!A:G,2,FALSE)</f>
        <v>SEVROLL Blue tor górny 2m srebrny</v>
      </c>
      <c r="F292" s="48" t="str">
        <f>+VLOOKUP(A292,cennik!A:B,2,FALSE)</f>
        <v>SEVROLL Blue tor górny 2m srebrny</v>
      </c>
      <c r="G292" s="1" t="e">
        <f>+VLOOKUP(A292,#REF!,4,FALSE)</f>
        <v>#REF!</v>
      </c>
      <c r="H292" s="1">
        <v>2000</v>
      </c>
      <c r="I292" s="1" t="str">
        <f>CONCATENATE(H292,"-",J4)</f>
        <v>2000-srebrny</v>
      </c>
      <c r="Z292" s="1" t="b">
        <f t="shared" si="6"/>
        <v>1</v>
      </c>
    </row>
    <row r="293" spans="1:26" ht="15" customHeight="1" x14ac:dyDescent="0.3">
      <c r="A293" s="49">
        <v>349802</v>
      </c>
      <c r="B293" s="48"/>
      <c r="C293" s="1" t="str">
        <f>CONCATENATE(H293,"-",J4)</f>
        <v>3000-srebrny</v>
      </c>
      <c r="D293" s="49">
        <v>349802</v>
      </c>
      <c r="E293" s="48" t="str">
        <f>+VLOOKUP(A293,cennik!A:G,2,FALSE)</f>
        <v>SEVROLL Blue tor górny 3 m, srebrny</v>
      </c>
      <c r="F293" s="48" t="str">
        <f>+VLOOKUP(A293,cennik!A:B,2,FALSE)</f>
        <v>SEVROLL Blue tor górny 3 m, srebrny</v>
      </c>
      <c r="H293" s="1">
        <v>3000</v>
      </c>
      <c r="I293" s="1" t="str">
        <f>CONCATENATE(H293,"-",J4)</f>
        <v>3000-srebrny</v>
      </c>
      <c r="Z293" s="1" t="b">
        <f t="shared" si="6"/>
        <v>1</v>
      </c>
    </row>
    <row r="294" spans="1:26" ht="15" customHeight="1" x14ac:dyDescent="0.3">
      <c r="A294" s="49">
        <v>349804</v>
      </c>
      <c r="B294" s="48"/>
      <c r="C294" s="1" t="str">
        <f>CONCATENATE(H294,"-",J4)</f>
        <v>4000-srebrny</v>
      </c>
      <c r="D294" s="49">
        <v>349804</v>
      </c>
      <c r="E294" s="48" t="str">
        <f>+VLOOKUP(A294,cennik!A:G,2,FALSE)</f>
        <v>SEVROLL Blue tor górny 4m srebrny</v>
      </c>
      <c r="F294" s="48" t="str">
        <f>+VLOOKUP(A294,cennik!A:B,2,FALSE)</f>
        <v>SEVROLL Blue tor górny 4m srebrny</v>
      </c>
      <c r="H294" s="1">
        <v>4000</v>
      </c>
      <c r="I294" s="1" t="str">
        <f>CONCATENATE(H294,"-",J4)</f>
        <v>4000-srebrny</v>
      </c>
      <c r="Z294" s="1" t="b">
        <f t="shared" si="6"/>
        <v>1</v>
      </c>
    </row>
    <row r="295" spans="1:26" ht="15" customHeight="1" x14ac:dyDescent="0.3">
      <c r="A295" s="49">
        <v>349807</v>
      </c>
      <c r="B295" s="48"/>
      <c r="C295" s="1" t="str">
        <f>CONCATENATE(H295,"-",J4)</f>
        <v>6000-srebrny</v>
      </c>
      <c r="D295" s="49">
        <v>349807</v>
      </c>
      <c r="E295" s="48" t="str">
        <f>+VLOOKUP(A295,cennik!A:G,2,FALSE)</f>
        <v>SEVROLL Blue tor górny 6 m, srebrny</v>
      </c>
      <c r="F295" s="48" t="str">
        <f>+VLOOKUP(A295,cennik!A:B,2,FALSE)</f>
        <v>SEVROLL Blue tor górny 6 m, srebrny</v>
      </c>
      <c r="H295" s="1">
        <v>6000</v>
      </c>
      <c r="I295" s="1" t="str">
        <f>CONCATENATE(H295,"-",J4)</f>
        <v>6000-srebrny</v>
      </c>
      <c r="Z295" s="1" t="b">
        <f t="shared" si="6"/>
        <v>1</v>
      </c>
    </row>
    <row r="296" spans="1:26" ht="15" customHeight="1" x14ac:dyDescent="0.3">
      <c r="A296" s="49">
        <v>349797</v>
      </c>
      <c r="B296" s="48"/>
      <c r="C296" s="1" t="str">
        <f>CONCATENATE(H296,"-",J6)</f>
        <v>1500-j.brąz</v>
      </c>
      <c r="D296" s="49">
        <v>349797</v>
      </c>
      <c r="E296" s="48" t="str">
        <f>+VLOOKUP(A296,cennik!A:G,2,FALSE)</f>
        <v>SEVROLL Blue tor górny 1,5m jasny brąz</v>
      </c>
      <c r="F296" s="48" t="str">
        <f>+VLOOKUP(A296,cennik!A:B,2,FALSE)</f>
        <v>SEVROLL Blue tor górny 1,5m jasny brąz</v>
      </c>
      <c r="H296" s="1">
        <v>1500</v>
      </c>
      <c r="I296" s="1" t="str">
        <f>CONCATENATE(H296,"-",J6)</f>
        <v>1500-j.brąz</v>
      </c>
      <c r="Z296" s="1" t="b">
        <f t="shared" si="6"/>
        <v>1</v>
      </c>
    </row>
    <row r="297" spans="1:26" ht="15" customHeight="1" x14ac:dyDescent="0.3">
      <c r="A297" s="49">
        <v>349798</v>
      </c>
      <c r="B297" s="48"/>
      <c r="C297" s="1" t="str">
        <f>CONCATENATE(H297,"-",J6)</f>
        <v>2000-j.brąz</v>
      </c>
      <c r="D297" s="49">
        <v>349798</v>
      </c>
      <c r="E297" s="48" t="str">
        <f>+VLOOKUP(A297,cennik!A:G,2,FALSE)</f>
        <v>SEVROLL Blue tor górny 2 m, jasny brąz</v>
      </c>
      <c r="F297" s="48" t="str">
        <f>+VLOOKUP(A297,cennik!A:B,2,FALSE)</f>
        <v>SEVROLL Blue tor górny 2 m, jasny brąz</v>
      </c>
      <c r="H297" s="1">
        <v>2000</v>
      </c>
      <c r="I297" s="1" t="str">
        <f>CONCATENATE(H297,"-",J6)</f>
        <v>2000-j.brąz</v>
      </c>
      <c r="Z297" s="1" t="b">
        <f t="shared" si="6"/>
        <v>1</v>
      </c>
    </row>
    <row r="298" spans="1:26" ht="15" customHeight="1" x14ac:dyDescent="0.3">
      <c r="A298" s="49">
        <v>349801</v>
      </c>
      <c r="B298" s="48"/>
      <c r="C298" s="1" t="str">
        <f>CONCATENATE(H298,"-",J6)</f>
        <v>3000-j.brąz</v>
      </c>
      <c r="D298" s="49">
        <v>349801</v>
      </c>
      <c r="E298" s="48" t="str">
        <f>+VLOOKUP(A298,cennik!A:G,2,FALSE)</f>
        <v>SEVROLL Blue tor górny 3 m, jasny brąz</v>
      </c>
      <c r="F298" s="48" t="str">
        <f>+VLOOKUP(A298,cennik!A:B,2,FALSE)</f>
        <v>SEVROLL Blue tor górny 3 m, jasny brąz</v>
      </c>
      <c r="H298" s="1">
        <v>3000</v>
      </c>
      <c r="I298" s="1" t="str">
        <f>CONCATENATE(H298,"-",J6)</f>
        <v>3000-j.brąz</v>
      </c>
      <c r="Z298" s="1" t="b">
        <f t="shared" ref="Z298:Z364" si="7">A298=D298</f>
        <v>1</v>
      </c>
    </row>
    <row r="299" spans="1:26" ht="15" customHeight="1" x14ac:dyDescent="0.3">
      <c r="A299" s="2">
        <v>488266</v>
      </c>
      <c r="C299" s="1" t="str">
        <f>CONCATENATE(H299,"-",J17)</f>
        <v>2000- czarny mat</v>
      </c>
      <c r="D299" s="2">
        <v>488266</v>
      </c>
      <c r="E299" s="48" t="str">
        <f>+VLOOKUP(A299,cennik!A:G,2,FALSE)</f>
        <v>SEVROLL 05754 Blue tor gótny 2m czarny mat</v>
      </c>
      <c r="F299" s="48" t="str">
        <f>+VLOOKUP(A299,cennik!A:B,2,FALSE)</f>
        <v>SEVROLL 05754 Blue tor gótny 2m czarny mat</v>
      </c>
      <c r="H299" s="1">
        <v>2000</v>
      </c>
      <c r="I299" s="1" t="str">
        <f>CONCATENATE(H299,"-",J17)</f>
        <v>2000- czarny mat</v>
      </c>
      <c r="Z299" s="1" t="b">
        <f t="shared" si="7"/>
        <v>1</v>
      </c>
    </row>
    <row r="300" spans="1:26" ht="15" customHeight="1" x14ac:dyDescent="0.3">
      <c r="A300" s="2">
        <v>488267</v>
      </c>
      <c r="C300" s="1" t="str">
        <f>CONCATENATE(H300,"-",J17)</f>
        <v>3000- czarny mat</v>
      </c>
      <c r="D300" s="2">
        <v>488267</v>
      </c>
      <c r="E300" s="48" t="str">
        <f>+VLOOKUP(A300,cennik!A:G,2,FALSE)</f>
        <v>SEVROLL 05755 Blue tor górny 3m czarny mat</v>
      </c>
      <c r="F300" s="48" t="str">
        <f>+VLOOKUP(A300,cennik!A:B,2,FALSE)</f>
        <v>SEVROLL 05755 Blue tor górny 3m czarny mat</v>
      </c>
      <c r="H300" s="1">
        <v>3000</v>
      </c>
      <c r="I300" s="1" t="str">
        <f>CONCATENATE(H300,"-",J17)</f>
        <v>3000- czarny mat</v>
      </c>
      <c r="Z300" s="1" t="b">
        <f t="shared" si="7"/>
        <v>1</v>
      </c>
    </row>
    <row r="301" spans="1:26" ht="15" customHeight="1" x14ac:dyDescent="0.3">
      <c r="A301" s="2">
        <v>488268</v>
      </c>
      <c r="C301" s="1" t="str">
        <f>CONCATENATE(H301,"-",J17)</f>
        <v>6000- czarny mat</v>
      </c>
      <c r="D301" s="2">
        <v>488268</v>
      </c>
      <c r="E301" s="48" t="str">
        <f>+VLOOKUP(A301,cennik!A:G,2,FALSE)</f>
        <v>SEVROLL 05756 Blue tor górny 6m czarny mat</v>
      </c>
      <c r="F301" s="48" t="str">
        <f>+VLOOKUP(A301,cennik!A:B,2,FALSE)</f>
        <v>SEVROLL 05756 Blue tor górny 6m czarny mat</v>
      </c>
      <c r="H301" s="1">
        <v>6000</v>
      </c>
      <c r="I301" s="1" t="str">
        <f>CONCATENATE(H301,"-",J17)</f>
        <v>6000- czarny mat</v>
      </c>
      <c r="Z301" s="1" t="b">
        <f t="shared" si="7"/>
        <v>1</v>
      </c>
    </row>
    <row r="302" spans="1:26" ht="15" customHeight="1" x14ac:dyDescent="0.3">
      <c r="A302" s="2">
        <v>488266</v>
      </c>
      <c r="C302" s="1" t="str">
        <f>CONCATENATE(H302,"-",J17)</f>
        <v>1500- czarny mat</v>
      </c>
      <c r="D302" s="2">
        <v>488266</v>
      </c>
      <c r="E302" s="48" t="str">
        <f>+VLOOKUP(A302,cennik!A:G,2,FALSE)</f>
        <v>SEVROLL 05754 Blue tor gótny 2m czarny mat</v>
      </c>
      <c r="F302" s="48" t="str">
        <f>+VLOOKUP(A302,cennik!A:B,2,FALSE)</f>
        <v>SEVROLL 05754 Blue tor gótny 2m czarny mat</v>
      </c>
      <c r="H302" s="1">
        <v>1500</v>
      </c>
      <c r="I302" s="1" t="str">
        <f>CONCATENATE(H302,"-",J17)</f>
        <v>1500- czarny mat</v>
      </c>
      <c r="Z302" s="1" t="b">
        <f t="shared" si="7"/>
        <v>1</v>
      </c>
    </row>
    <row r="303" spans="1:26" ht="15" customHeight="1" x14ac:dyDescent="0.3">
      <c r="A303" s="434">
        <v>394287</v>
      </c>
      <c r="B303" s="434"/>
      <c r="C303" s="434" t="str">
        <f>CONCATENATE(H303,"-",J15)</f>
        <v>1500- biały połysk</v>
      </c>
      <c r="D303" s="434">
        <v>394287</v>
      </c>
      <c r="E303" s="432" t="str">
        <f>+VLOOKUP(A303,cennik!A:G,2,FALSE)</f>
        <v>SEVROLL Blue tor gótny 2m biały błyszczący</v>
      </c>
      <c r="F303" s="432" t="str">
        <f>+VLOOKUP(A303,cennik!A:B,2,FALSE)</f>
        <v>SEVROLL Blue tor gótny 2m biały błyszczący</v>
      </c>
      <c r="G303" s="434"/>
      <c r="H303" s="434">
        <v>1500</v>
      </c>
      <c r="I303" s="434" t="str">
        <f>CONCATENATE(H303,"-",J15)</f>
        <v>1500- biały połysk</v>
      </c>
      <c r="Z303" s="1" t="b">
        <f t="shared" si="7"/>
        <v>1</v>
      </c>
    </row>
    <row r="304" spans="1:26" ht="15" customHeight="1" x14ac:dyDescent="0.3">
      <c r="A304" s="434">
        <v>394287</v>
      </c>
      <c r="B304" s="434"/>
      <c r="C304" s="434" t="str">
        <f>CONCATENATE(H304,"-",J15)</f>
        <v>2000- biały połysk</v>
      </c>
      <c r="D304" s="434">
        <v>394287</v>
      </c>
      <c r="E304" s="432" t="str">
        <f>+VLOOKUP(A304,cennik!A:G,2,FALSE)</f>
        <v>SEVROLL Blue tor gótny 2m biały błyszczący</v>
      </c>
      <c r="F304" s="432" t="str">
        <f>+VLOOKUP(A304,cennik!A:B,2,FALSE)</f>
        <v>SEVROLL Blue tor gótny 2m biały błyszczący</v>
      </c>
      <c r="G304" s="434"/>
      <c r="H304" s="434">
        <v>2000</v>
      </c>
      <c r="I304" s="434" t="str">
        <f>CONCATENATE(H304,"-",J15)</f>
        <v>2000- biały połysk</v>
      </c>
      <c r="Z304" s="1" t="b">
        <f t="shared" si="7"/>
        <v>1</v>
      </c>
    </row>
    <row r="305" spans="1:26" ht="15" customHeight="1" x14ac:dyDescent="0.3">
      <c r="A305" s="434">
        <v>394289</v>
      </c>
      <c r="B305" s="434"/>
      <c r="C305" s="434" t="str">
        <f>CONCATENATE(H305,"-",J15)</f>
        <v>3000- biały połysk</v>
      </c>
      <c r="D305" s="434">
        <v>394289</v>
      </c>
      <c r="E305" s="432" t="str">
        <f>+VLOOKUP(A305,cennik!A:G,2,FALSE)</f>
        <v>SEVROLL Blue tor górny 3m biały połysk</v>
      </c>
      <c r="F305" s="432" t="str">
        <f>+VLOOKUP(A305,cennik!A:B,2,FALSE)</f>
        <v>SEVROLL Blue tor górny 3m biały połysk</v>
      </c>
      <c r="G305" s="434"/>
      <c r="H305" s="434">
        <v>3000</v>
      </c>
      <c r="I305" s="434" t="str">
        <f>CONCATENATE(H305,"-",J15)</f>
        <v>3000- biały połysk</v>
      </c>
      <c r="Z305" s="1" t="b">
        <f t="shared" si="7"/>
        <v>1</v>
      </c>
    </row>
    <row r="306" spans="1:26" ht="15" customHeight="1" x14ac:dyDescent="0.3">
      <c r="A306" s="434">
        <v>394290</v>
      </c>
      <c r="B306" s="434"/>
      <c r="C306" s="434" t="str">
        <f>CONCATENATE(H306,"-",J15)</f>
        <v>6000- biały połysk</v>
      </c>
      <c r="D306" s="434">
        <v>394290</v>
      </c>
      <c r="E306" s="432" t="str">
        <f>+VLOOKUP(A306,cennik!A:G,2,FALSE)</f>
        <v>SEVROLL Blue tor górny 6m biały połysk</v>
      </c>
      <c r="F306" s="432" t="str">
        <f>+VLOOKUP(A306,cennik!A:B,2,FALSE)</f>
        <v>SEVROLL Blue tor górny 6m biały połysk</v>
      </c>
      <c r="G306" s="434"/>
      <c r="H306" s="434">
        <v>6000</v>
      </c>
      <c r="I306" s="434" t="str">
        <f>CONCATENATE(H306,"-",J15)</f>
        <v>6000- biały połysk</v>
      </c>
      <c r="Z306" s="1" t="b">
        <f t="shared" si="7"/>
        <v>1</v>
      </c>
    </row>
    <row r="307" spans="1:26" ht="15" customHeight="1" x14ac:dyDescent="0.3">
      <c r="A307" s="49">
        <v>349805</v>
      </c>
      <c r="B307" s="48"/>
      <c r="C307" s="1" t="str">
        <f>CONCATENATE(H307,"-",J6)</f>
        <v>4000-j.brąz</v>
      </c>
      <c r="D307" s="49">
        <v>349805</v>
      </c>
      <c r="E307" s="48" t="str">
        <f>+VLOOKUP(A307,cennik!A:G,2,FALSE)</f>
        <v>SEVROLL Blue tor górny 4 m, jasny brąz</v>
      </c>
      <c r="F307" s="48" t="str">
        <f>+VLOOKUP(A307,cennik!A:B,2,FALSE)</f>
        <v>SEVROLL Blue tor górny 4 m, jasny brąz</v>
      </c>
      <c r="H307" s="1">
        <v>4000</v>
      </c>
      <c r="I307" s="1" t="str">
        <f>CONCATENATE(H307,"-",J6)</f>
        <v>4000-j.brąz</v>
      </c>
      <c r="Z307" s="1" t="b">
        <f t="shared" si="7"/>
        <v>1</v>
      </c>
    </row>
    <row r="308" spans="1:26" ht="15" customHeight="1" x14ac:dyDescent="0.3">
      <c r="A308" s="49">
        <v>349806</v>
      </c>
      <c r="B308" s="48"/>
      <c r="C308" s="1" t="str">
        <f>CONCATENATE(H308,"-",J6)</f>
        <v>6000-j.brąz</v>
      </c>
      <c r="D308" s="49">
        <v>349806</v>
      </c>
      <c r="E308" s="48" t="str">
        <f>+VLOOKUP(A308,cennik!A:G,2,FALSE)</f>
        <v>SEVROLL Blue tor górny 6 m, jasny brąz</v>
      </c>
      <c r="F308" s="48" t="str">
        <f>+VLOOKUP(A308,cennik!A:B,2,FALSE)</f>
        <v>SEVROLL Blue tor górny 6 m, jasny brąz</v>
      </c>
      <c r="H308" s="1">
        <v>6000</v>
      </c>
      <c r="I308" s="1" t="str">
        <f>CONCATENATE(H308,"-",J6)</f>
        <v>6000-j.brąz</v>
      </c>
      <c r="Z308" s="1" t="b">
        <f t="shared" si="7"/>
        <v>1</v>
      </c>
    </row>
    <row r="309" spans="1:26" ht="15" customHeight="1" x14ac:dyDescent="0.3">
      <c r="A309" s="49"/>
      <c r="B309" s="48"/>
      <c r="D309" s="49"/>
      <c r="E309" s="48"/>
      <c r="F309" s="48"/>
      <c r="Z309" s="1" t="b">
        <f t="shared" si="7"/>
        <v>1</v>
      </c>
    </row>
    <row r="310" spans="1:26" ht="15" customHeight="1" x14ac:dyDescent="0.3">
      <c r="A310" s="2"/>
      <c r="B310" s="161" t="s">
        <v>948</v>
      </c>
      <c r="E310" s="48"/>
      <c r="F310" s="48"/>
      <c r="H310" s="1">
        <v>6000</v>
      </c>
      <c r="Z310" s="1" t="b">
        <f t="shared" si="7"/>
        <v>1</v>
      </c>
    </row>
    <row r="311" spans="1:26" ht="15" customHeight="1" x14ac:dyDescent="0.3">
      <c r="A311" s="49">
        <v>349810</v>
      </c>
      <c r="B311" s="48"/>
      <c r="C311" s="1" t="str">
        <f>CONCATENATE(H311,"-",J4)</f>
        <v>1500-srebrny</v>
      </c>
      <c r="D311" s="49">
        <v>349810</v>
      </c>
      <c r="E311" s="48" t="str">
        <f>+VLOOKUP(A311,cennik!A:G,2,FALSE)</f>
        <v>SEVROLL Blue-V tor dolny 1,5m srebrny</v>
      </c>
      <c r="F311" s="48" t="str">
        <f>+VLOOKUP(A311,cennik!A:B,2,FALSE)</f>
        <v>SEVROLL Blue-V tor dolny 1,5m srebrny</v>
      </c>
      <c r="H311" s="1">
        <v>1500</v>
      </c>
      <c r="I311" s="1" t="str">
        <f>CONCATENATE(H311,"-",J4)</f>
        <v>1500-srebrny</v>
      </c>
      <c r="Z311" s="1" t="b">
        <f t="shared" si="7"/>
        <v>1</v>
      </c>
    </row>
    <row r="312" spans="1:26" ht="15" customHeight="1" x14ac:dyDescent="0.3">
      <c r="A312" s="49">
        <v>349476</v>
      </c>
      <c r="B312" s="48"/>
      <c r="C312" s="1" t="str">
        <f>CONCATENATE(H312,"-",J4)</f>
        <v>2000-srebrny</v>
      </c>
      <c r="D312" s="49">
        <v>349476</v>
      </c>
      <c r="E312" s="48" t="str">
        <f>+VLOOKUP(A312,cennik!A:G,2,FALSE)</f>
        <v>SEVROLL Blue-V tor dolny 2m srebrny</v>
      </c>
      <c r="F312" s="48" t="str">
        <f>+VLOOKUP(A312,cennik!A:B,2,FALSE)</f>
        <v>SEVROLL Blue-V tor dolny 2m srebrny</v>
      </c>
      <c r="G312" s="1" t="e">
        <f>+VLOOKUP(A312,#REF!,4,FALSE)</f>
        <v>#REF!</v>
      </c>
      <c r="H312" s="1">
        <v>2000</v>
      </c>
      <c r="I312" s="1" t="str">
        <f>CONCATENATE(H312,"-",J4)</f>
        <v>2000-srebrny</v>
      </c>
      <c r="Z312" s="1" t="b">
        <f t="shared" si="7"/>
        <v>1</v>
      </c>
    </row>
    <row r="313" spans="1:26" ht="15" customHeight="1" x14ac:dyDescent="0.3">
      <c r="A313" s="49">
        <v>349814</v>
      </c>
      <c r="B313" s="48"/>
      <c r="C313" s="1" t="str">
        <f>CONCATENATE(H313,"-",J4)</f>
        <v>3000-srebrny</v>
      </c>
      <c r="D313" s="49">
        <v>349814</v>
      </c>
      <c r="E313" s="48" t="str">
        <f>+VLOOKUP(A313,cennik!A:G,2,FALSE)</f>
        <v>SEVROLL Blue-V tor dolny 3m srebrny</v>
      </c>
      <c r="F313" s="48" t="str">
        <f>+VLOOKUP(A313,cennik!A:B,2,FALSE)</f>
        <v>SEVROLL Blue-V tor dolny 3m srebrny</v>
      </c>
      <c r="H313" s="1">
        <v>3000</v>
      </c>
      <c r="I313" s="1" t="str">
        <f>CONCATENATE(H313,"-",J4)</f>
        <v>3000-srebrny</v>
      </c>
      <c r="Z313" s="1" t="b">
        <f t="shared" si="7"/>
        <v>1</v>
      </c>
    </row>
    <row r="314" spans="1:26" ht="15" customHeight="1" x14ac:dyDescent="0.3">
      <c r="A314" s="49">
        <v>349819</v>
      </c>
      <c r="B314" s="48"/>
      <c r="C314" s="1" t="str">
        <f>CONCATENATE(H314,"-",J4)</f>
        <v>4000-srebrny</v>
      </c>
      <c r="D314" s="49">
        <v>349819</v>
      </c>
      <c r="E314" s="48" t="str">
        <f>+VLOOKUP(A314,cennik!A:G,2,FALSE)</f>
        <v>SEVROLL Blue-V tor dolny 4m srebrny</v>
      </c>
      <c r="F314" s="48" t="str">
        <f>+VLOOKUP(A314,cennik!A:B,2,FALSE)</f>
        <v>SEVROLL Blue-V tor dolny 4m srebrny</v>
      </c>
      <c r="H314" s="1">
        <v>4000</v>
      </c>
      <c r="I314" s="1" t="str">
        <f>CONCATENATE(H314,"-",J4)</f>
        <v>4000-srebrny</v>
      </c>
      <c r="Z314" s="1" t="b">
        <f t="shared" si="7"/>
        <v>1</v>
      </c>
    </row>
    <row r="315" spans="1:26" ht="15" customHeight="1" x14ac:dyDescent="0.3">
      <c r="A315" s="49">
        <v>349818</v>
      </c>
      <c r="B315" s="48"/>
      <c r="C315" s="1" t="str">
        <f>CONCATENATE(H315,"-",J4)</f>
        <v>6000-srebrny</v>
      </c>
      <c r="D315" s="49">
        <v>349818</v>
      </c>
      <c r="E315" s="48" t="str">
        <f>+VLOOKUP(A315,cennik!A:G,2,FALSE)</f>
        <v>SEVROLL Blue-V tor dolny 6m srebrny</v>
      </c>
      <c r="F315" s="48" t="str">
        <f>+VLOOKUP(A315,cennik!A:B,2,FALSE)</f>
        <v>SEVROLL Blue-V tor dolny 6m srebrny</v>
      </c>
      <c r="H315" s="1">
        <v>6000</v>
      </c>
      <c r="I315" s="1" t="str">
        <f>CONCATENATE(H315,"-",J4)</f>
        <v>6000-srebrny</v>
      </c>
      <c r="Z315" s="1" t="b">
        <f t="shared" si="7"/>
        <v>1</v>
      </c>
    </row>
    <row r="316" spans="1:26" ht="15" customHeight="1" x14ac:dyDescent="0.3">
      <c r="A316" s="2">
        <v>488257</v>
      </c>
      <c r="C316" s="1" t="str">
        <f>CONCATENATE(H316,"-",J17)</f>
        <v>1500- czarny mat</v>
      </c>
      <c r="D316" s="2">
        <v>488257</v>
      </c>
      <c r="E316" s="48" t="str">
        <f>+VLOOKUP(A316,cennik!A:G,2,FALSE)</f>
        <v>SEVROLL 05751 Blue-V tor dolny 2m  czarny mat</v>
      </c>
      <c r="F316" s="48" t="str">
        <f>+VLOOKUP(A316,cennik!A:B,2,FALSE)</f>
        <v>SEVROLL 05751 Blue-V tor dolny 2m  czarny mat</v>
      </c>
      <c r="H316" s="1">
        <v>1500</v>
      </c>
      <c r="I316" s="1" t="str">
        <f>CONCATENATE(H316,"-",J17)</f>
        <v>1500- czarny mat</v>
      </c>
      <c r="Z316" s="1" t="b">
        <f t="shared" si="7"/>
        <v>1</v>
      </c>
    </row>
    <row r="317" spans="1:26" ht="15" customHeight="1" x14ac:dyDescent="0.3">
      <c r="A317" s="2">
        <v>488257</v>
      </c>
      <c r="C317" s="1" t="str">
        <f>CONCATENATE(H317,"-",J17)</f>
        <v>2000- czarny mat</v>
      </c>
      <c r="D317" s="2">
        <v>488257</v>
      </c>
      <c r="E317" s="48" t="str">
        <f>+VLOOKUP(A317,cennik!A:G,2,FALSE)</f>
        <v>SEVROLL 05751 Blue-V tor dolny 2m  czarny mat</v>
      </c>
      <c r="F317" s="48" t="str">
        <f>+VLOOKUP(A317,cennik!A:B,2,FALSE)</f>
        <v>SEVROLL 05751 Blue-V tor dolny 2m  czarny mat</v>
      </c>
      <c r="H317" s="1">
        <v>2000</v>
      </c>
      <c r="I317" s="1" t="str">
        <f>CONCATENATE(H317,"-",J17)</f>
        <v>2000- czarny mat</v>
      </c>
      <c r="Z317" s="1" t="b">
        <f t="shared" si="7"/>
        <v>1</v>
      </c>
    </row>
    <row r="318" spans="1:26" ht="15" customHeight="1" x14ac:dyDescent="0.3">
      <c r="A318" s="2">
        <v>488258</v>
      </c>
      <c r="C318" s="1" t="str">
        <f>CONCATENATE(H318,"-",J17)</f>
        <v>3000- czarny mat</v>
      </c>
      <c r="D318" s="2">
        <v>488258</v>
      </c>
      <c r="E318" s="48" t="str">
        <f>+VLOOKUP(A318,cennik!A:G,2,FALSE)</f>
        <v>SEVROLL 05752 Blue-V tor dolny 3m czarny mat</v>
      </c>
      <c r="F318" s="48" t="str">
        <f>+VLOOKUP(A318,cennik!A:B,2,FALSE)</f>
        <v>SEVROLL 05752 Blue-V tor dolny 3m czarny mat</v>
      </c>
      <c r="H318" s="1">
        <v>3000</v>
      </c>
      <c r="I318" s="1" t="str">
        <f>CONCATENATE(H318,"-",J17)</f>
        <v>3000- czarny mat</v>
      </c>
      <c r="Z318" s="1" t="b">
        <f t="shared" si="7"/>
        <v>1</v>
      </c>
    </row>
    <row r="319" spans="1:26" ht="15" customHeight="1" x14ac:dyDescent="0.3">
      <c r="A319" s="2">
        <v>488259</v>
      </c>
      <c r="C319" s="1" t="str">
        <f>CONCATENATE(H319,"-",J17)</f>
        <v>6000- czarny mat</v>
      </c>
      <c r="D319" s="2">
        <v>488259</v>
      </c>
      <c r="E319" s="48" t="str">
        <f>+VLOOKUP(A319,cennik!A:G,2,FALSE)</f>
        <v>SEVROLL 05753 Blue-V tor dolny 6m czarny mat</v>
      </c>
      <c r="F319" s="48" t="str">
        <f>+VLOOKUP(A319,cennik!A:B,2,FALSE)</f>
        <v>SEVROLL 05753 Blue-V tor dolny 6m czarny mat</v>
      </c>
      <c r="H319" s="1">
        <v>6000</v>
      </c>
      <c r="I319" s="1" t="str">
        <f>CONCATENATE(H319,"-",J17)</f>
        <v>6000- czarny mat</v>
      </c>
      <c r="Z319" s="1" t="b">
        <f t="shared" si="7"/>
        <v>1</v>
      </c>
    </row>
    <row r="320" spans="1:26" ht="15" customHeight="1" x14ac:dyDescent="0.3">
      <c r="A320" s="434">
        <v>394283</v>
      </c>
      <c r="B320" s="434"/>
      <c r="C320" s="434" t="str">
        <f>CONCATENATE(H320,"-",J15)</f>
        <v>2000- biały połysk</v>
      </c>
      <c r="D320" s="434">
        <v>394283</v>
      </c>
      <c r="E320" s="432" t="str">
        <f>+VLOOKUP(A320,cennik!A:G,2,FALSE)</f>
        <v>SEVROLL Blue-V tor dolny 2m  biały połysk</v>
      </c>
      <c r="F320" s="432" t="str">
        <f>+VLOOKUP(A320,cennik!A:B,2,FALSE)</f>
        <v>SEVROLL Blue-V tor dolny 2m  biały połysk</v>
      </c>
      <c r="G320" s="434"/>
      <c r="H320" s="434">
        <v>2000</v>
      </c>
      <c r="I320" s="434" t="str">
        <f>CONCATENATE(H320,"-",J15)</f>
        <v>2000- biały połysk</v>
      </c>
      <c r="Z320" s="1" t="b">
        <f t="shared" si="7"/>
        <v>1</v>
      </c>
    </row>
    <row r="321" spans="1:26" ht="15" customHeight="1" x14ac:dyDescent="0.3">
      <c r="A321" s="434">
        <v>394284</v>
      </c>
      <c r="B321" s="434"/>
      <c r="C321" s="434" t="str">
        <f>CONCATENATE(H321,"-",J15)</f>
        <v>3000- biały połysk</v>
      </c>
      <c r="D321" s="434">
        <v>394284</v>
      </c>
      <c r="E321" s="432" t="str">
        <f>+VLOOKUP(A321,cennik!A:G,2,FALSE)</f>
        <v>SEVROLL Blue-V tor dolny 3m biały połysk</v>
      </c>
      <c r="F321" s="432" t="str">
        <f>+VLOOKUP(A321,cennik!A:B,2,FALSE)</f>
        <v>SEVROLL Blue-V tor dolny 3m biały połysk</v>
      </c>
      <c r="G321" s="434"/>
      <c r="H321" s="434">
        <v>3000</v>
      </c>
      <c r="I321" s="434" t="str">
        <f>CONCATENATE(H321,"-",J15)</f>
        <v>3000- biały połysk</v>
      </c>
      <c r="Z321" s="1" t="b">
        <f t="shared" si="7"/>
        <v>1</v>
      </c>
    </row>
    <row r="322" spans="1:26" ht="15" customHeight="1" x14ac:dyDescent="0.3">
      <c r="A322" s="434">
        <v>394285</v>
      </c>
      <c r="B322" s="434"/>
      <c r="C322" s="434" t="str">
        <f>CONCATENATE(H322,"-",J15)</f>
        <v>6000- biały połysk</v>
      </c>
      <c r="D322" s="434">
        <v>394285</v>
      </c>
      <c r="E322" s="432" t="str">
        <f>+VLOOKUP(A322,cennik!A:G,2,FALSE)</f>
        <v>SEVROLL Blue-V tor dolny 6m biały połysk</v>
      </c>
      <c r="F322" s="432" t="str">
        <f>+VLOOKUP(A322,cennik!A:B,2,FALSE)</f>
        <v>SEVROLL Blue-V tor dolny 6m biały połysk</v>
      </c>
      <c r="G322" s="434"/>
      <c r="H322" s="434">
        <v>6000</v>
      </c>
      <c r="I322" s="434" t="str">
        <f>CONCATENATE(H322,"-",J15)</f>
        <v>6000- biały połysk</v>
      </c>
      <c r="Z322" s="1" t="b">
        <f t="shared" si="7"/>
        <v>1</v>
      </c>
    </row>
    <row r="323" spans="1:26" ht="15" customHeight="1" x14ac:dyDescent="0.3">
      <c r="A323" s="434">
        <v>394283</v>
      </c>
      <c r="B323" s="434"/>
      <c r="C323" s="434" t="str">
        <f>CONCATENATE(H323,"-",J15)</f>
        <v>1500- biały połysk</v>
      </c>
      <c r="D323" s="434">
        <v>394283</v>
      </c>
      <c r="E323" s="432" t="str">
        <f>+VLOOKUP(A323,cennik!A:G,2,FALSE)</f>
        <v>SEVROLL Blue-V tor dolny 2m  biały połysk</v>
      </c>
      <c r="F323" s="432" t="str">
        <f>+VLOOKUP(A323,cennik!A:B,2,FALSE)</f>
        <v>SEVROLL Blue-V tor dolny 2m  biały połysk</v>
      </c>
      <c r="G323" s="434"/>
      <c r="H323" s="434">
        <v>1500</v>
      </c>
      <c r="I323" s="434" t="str">
        <f>CONCATENATE(H323,"-",J15)</f>
        <v>1500- biały połysk</v>
      </c>
      <c r="Z323" s="1" t="b">
        <f t="shared" si="7"/>
        <v>1</v>
      </c>
    </row>
    <row r="324" spans="1:26" ht="15" customHeight="1" x14ac:dyDescent="0.3">
      <c r="A324" s="49">
        <v>349812</v>
      </c>
      <c r="B324" s="48"/>
      <c r="C324" s="1" t="str">
        <f>CONCATENATE(H324,"-",J6)</f>
        <v>1500-j.brąz</v>
      </c>
      <c r="D324" s="49">
        <v>349812</v>
      </c>
      <c r="E324" s="48" t="str">
        <f>+VLOOKUP(A324,cennik!A:G,2,FALSE)</f>
        <v>SEVROLL Blue-V tor dolny 1,5m jasny brąz</v>
      </c>
      <c r="F324" s="48" t="str">
        <f>+VLOOKUP(A324,cennik!A:B,2,FALSE)</f>
        <v>SEVROLL Blue-V tor dolny 1,5m jasny brąz</v>
      </c>
      <c r="H324" s="1">
        <v>1500</v>
      </c>
      <c r="I324" s="1" t="str">
        <f>CONCATENATE(H324,"-",J6)</f>
        <v>1500-j.brąz</v>
      </c>
      <c r="Z324" s="1" t="b">
        <f t="shared" si="7"/>
        <v>1</v>
      </c>
    </row>
    <row r="325" spans="1:26" ht="15" customHeight="1" x14ac:dyDescent="0.3">
      <c r="A325" s="49">
        <v>349809</v>
      </c>
      <c r="B325" s="48"/>
      <c r="C325" s="1" t="str">
        <f>CONCATENATE(H325,"-",J6)</f>
        <v>2000-j.brąz</v>
      </c>
      <c r="D325" s="49">
        <v>349809</v>
      </c>
      <c r="E325" s="48" t="str">
        <f>+VLOOKUP(A325,cennik!A:G,2,FALSE)</f>
        <v>SEVROLL Blue-V tor dolny 2 m, jasny brąz</v>
      </c>
      <c r="F325" s="48" t="str">
        <f>+VLOOKUP(A325,cennik!A:B,2,FALSE)</f>
        <v>SEVROLL Blue-V tor dolny 2 m, jasny brąz</v>
      </c>
      <c r="H325" s="1">
        <v>2000</v>
      </c>
      <c r="I325" s="1" t="str">
        <f>CONCATENATE(H325,"-",J6)</f>
        <v>2000-j.brąz</v>
      </c>
      <c r="Z325" s="1" t="b">
        <f t="shared" si="7"/>
        <v>1</v>
      </c>
    </row>
    <row r="326" spans="1:26" ht="15" customHeight="1" x14ac:dyDescent="0.3">
      <c r="A326" s="49">
        <v>349815</v>
      </c>
      <c r="B326" s="48"/>
      <c r="C326" s="1" t="str">
        <f>CONCATENATE(H326,"-",J6)</f>
        <v>3000-j.brąz</v>
      </c>
      <c r="D326" s="49">
        <v>349815</v>
      </c>
      <c r="E326" s="48" t="str">
        <f>+VLOOKUP(A326,cennik!A:G,2,FALSE)</f>
        <v>SEVROLL Blue-V tor dolny 3 m, jasny brąz</v>
      </c>
      <c r="F326" s="48" t="str">
        <f>+VLOOKUP(A326,cennik!A:B,2,FALSE)</f>
        <v>SEVROLL Blue-V tor dolny 3 m, jasny brąz</v>
      </c>
      <c r="H326" s="1">
        <v>3000</v>
      </c>
      <c r="I326" s="1" t="str">
        <f>CONCATENATE(H326,"-",J6)</f>
        <v>3000-j.brąz</v>
      </c>
      <c r="Z326" s="1" t="b">
        <f t="shared" si="7"/>
        <v>1</v>
      </c>
    </row>
    <row r="327" spans="1:26" ht="15" customHeight="1" x14ac:dyDescent="0.3">
      <c r="A327" s="49">
        <v>349816</v>
      </c>
      <c r="B327" s="48"/>
      <c r="C327" s="1" t="str">
        <f>CONCATENATE(H327,"-",J6)</f>
        <v>4000-j.brąz</v>
      </c>
      <c r="D327" s="49">
        <v>349816</v>
      </c>
      <c r="E327" s="48" t="str">
        <f>+VLOOKUP(A327,cennik!A:G,2,FALSE)</f>
        <v>SEVROLL Blue-V tor dolny 4m jasny brąz</v>
      </c>
      <c r="F327" s="48" t="str">
        <f>+VLOOKUP(A327,cennik!A:B,2,FALSE)</f>
        <v>SEVROLL Blue-V tor dolny 4m jasny brąz</v>
      </c>
      <c r="H327" s="1">
        <v>4000</v>
      </c>
      <c r="I327" s="1" t="str">
        <f>CONCATENATE(H327,"-",J6)</f>
        <v>4000-j.brąz</v>
      </c>
      <c r="Z327" s="1" t="b">
        <f t="shared" si="7"/>
        <v>1</v>
      </c>
    </row>
    <row r="328" spans="1:26" ht="15" customHeight="1" x14ac:dyDescent="0.3">
      <c r="A328" s="49">
        <v>349817</v>
      </c>
      <c r="B328" s="48"/>
      <c r="C328" s="1" t="str">
        <f>CONCATENATE(H328,"-",J6)</f>
        <v>6000-j.brąz</v>
      </c>
      <c r="D328" s="49">
        <v>349817</v>
      </c>
      <c r="E328" s="48" t="str">
        <f>+VLOOKUP(A328,cennik!A:G,2,FALSE)</f>
        <v>SEVROLL Blue-V tor dolny 6m jasny brąz</v>
      </c>
      <c r="F328" s="48" t="str">
        <f>+VLOOKUP(A328,cennik!A:B,2,FALSE)</f>
        <v>SEVROLL Blue-V tor dolny 6m jasny brąz</v>
      </c>
      <c r="H328" s="1">
        <v>6000</v>
      </c>
      <c r="I328" s="1" t="str">
        <f>CONCATENATE(H328,"-",J6)</f>
        <v>6000-j.brąz</v>
      </c>
      <c r="Z328" s="1" t="b">
        <f t="shared" si="7"/>
        <v>1</v>
      </c>
    </row>
    <row r="329" spans="1:26" ht="15" customHeight="1" x14ac:dyDescent="0.3">
      <c r="A329" s="49"/>
      <c r="B329" s="48" t="s">
        <v>21</v>
      </c>
      <c r="D329" s="49"/>
      <c r="E329" s="48" t="e">
        <f>+VLOOKUP(A329,cennik!A:G,2,FALSE)</f>
        <v>#N/A</v>
      </c>
      <c r="F329" s="48" t="e">
        <f>+VLOOKUP(A329,cennik!A:B,2,FALSE)</f>
        <v>#N/A</v>
      </c>
      <c r="G329" s="1" t="e">
        <f>+VLOOKUP(A329,#REF!,4,FALSE)</f>
        <v>#REF!</v>
      </c>
      <c r="H329" s="1" t="s">
        <v>68</v>
      </c>
      <c r="Z329" s="1" t="b">
        <f t="shared" si="7"/>
        <v>1</v>
      </c>
    </row>
    <row r="330" spans="1:26" ht="15" customHeight="1" x14ac:dyDescent="0.3">
      <c r="A330" s="49">
        <v>98073</v>
      </c>
      <c r="B330" s="48" t="s">
        <v>22</v>
      </c>
      <c r="C330" s="1" t="str">
        <f>J4</f>
        <v>srebrny</v>
      </c>
      <c r="D330" s="49">
        <v>98073</v>
      </c>
      <c r="E330" s="48" t="str">
        <f>+VLOOKUP(A330,cennik!A:G,2,FALSE)</f>
        <v>SEVROLL System 10 II rączka 2,7 m, srebrna</v>
      </c>
      <c r="F330" s="48" t="str">
        <f>+VLOOKUP(A330,cennik!A:B,2,FALSE)</f>
        <v>SEVROLL System 10 II rączka 2,7 m, srebrna</v>
      </c>
      <c r="G330" s="1" t="e">
        <f>+VLOOKUP(A330,#REF!,4,FALSE)</f>
        <v>#REF!</v>
      </c>
      <c r="I330" s="1" t="str">
        <f>J4</f>
        <v>srebrny</v>
      </c>
      <c r="Z330" s="1" t="b">
        <f t="shared" si="7"/>
        <v>1</v>
      </c>
    </row>
    <row r="331" spans="1:26" ht="15" customHeight="1" x14ac:dyDescent="0.3">
      <c r="A331" s="49">
        <v>98074</v>
      </c>
      <c r="B331" s="48"/>
      <c r="C331" s="1" t="str">
        <f>J6</f>
        <v>j.brąz</v>
      </c>
      <c r="D331" s="49">
        <v>98074</v>
      </c>
      <c r="E331" s="48" t="str">
        <f>+VLOOKUP(A331,cennik!A:G,2,FALSE)</f>
        <v>SEVROLL System 10 II rączka 2,7 m, oliwka</v>
      </c>
      <c r="F331" s="48" t="str">
        <f>+VLOOKUP(A331,cennik!A:B,2,FALSE)</f>
        <v>SEVROLL System 10 II rączka 2,7 m, oliwka</v>
      </c>
      <c r="G331" s="1" t="e">
        <f>+VLOOKUP(A331,#REF!,4,FALSE)</f>
        <v>#REF!</v>
      </c>
      <c r="I331" s="1" t="str">
        <f>J6</f>
        <v>j.brąz</v>
      </c>
      <c r="Z331" s="1" t="b">
        <f t="shared" si="7"/>
        <v>1</v>
      </c>
    </row>
    <row r="332" spans="1:26" ht="15" customHeight="1" x14ac:dyDescent="0.3">
      <c r="A332" s="49">
        <v>542874</v>
      </c>
      <c r="B332" s="48"/>
      <c r="C332" s="1" t="str">
        <f>J5</f>
        <v>złoty/mosiądz</v>
      </c>
      <c r="D332" s="49">
        <v>542874</v>
      </c>
      <c r="E332" s="48" t="str">
        <f>+VLOOKUP(A332,cennik!A:G,2,FALSE)</f>
        <v>SEVROLL 06821 System 10 II rączka 2,7m złoty/mosiądz</v>
      </c>
      <c r="F332" s="48" t="str">
        <f>+VLOOKUP(A332,cennik!A:B,2,FALSE)</f>
        <v>SEVROLL 06821 System 10 II rączka 2,7m złoty/mosiądz</v>
      </c>
      <c r="G332" s="1" t="e">
        <f>+VLOOKUP(A332,#REF!,4,FALSE)</f>
        <v>#REF!</v>
      </c>
      <c r="I332" s="1" t="str">
        <f>J5</f>
        <v>złoty/mosiądz</v>
      </c>
      <c r="Z332" s="1" t="b">
        <f t="shared" si="7"/>
        <v>1</v>
      </c>
    </row>
    <row r="333" spans="1:26" ht="15" customHeight="1" x14ac:dyDescent="0.3">
      <c r="A333" s="49"/>
      <c r="B333" s="48"/>
      <c r="D333" s="49"/>
      <c r="E333" s="48" t="e">
        <f>+VLOOKUP(A333,cennik!A:G,2,FALSE)</f>
        <v>#N/A</v>
      </c>
      <c r="F333" s="48" t="e">
        <f>+VLOOKUP(A333,cennik!A:B,2,FALSE)</f>
        <v>#N/A</v>
      </c>
      <c r="G333" s="1" t="e">
        <f>+VLOOKUP(A333,#REF!,4,FALSE)</f>
        <v>#REF!</v>
      </c>
      <c r="H333" s="1" t="s">
        <v>68</v>
      </c>
      <c r="Z333" s="1" t="b">
        <f t="shared" si="7"/>
        <v>1</v>
      </c>
    </row>
    <row r="334" spans="1:26" ht="15" customHeight="1" x14ac:dyDescent="0.3">
      <c r="A334" s="49"/>
      <c r="B334" s="48" t="s">
        <v>24</v>
      </c>
      <c r="D334" s="49"/>
      <c r="E334" s="48" t="e">
        <f>+VLOOKUP(A334,cennik!A:G,2,FALSE)</f>
        <v>#N/A</v>
      </c>
      <c r="F334" s="48" t="e">
        <f>+VLOOKUP(A334,cennik!A:B,2,FALSE)</f>
        <v>#N/A</v>
      </c>
      <c r="G334" s="1" t="e">
        <f>+VLOOKUP(A334,#REF!,4,FALSE)</f>
        <v>#REF!</v>
      </c>
      <c r="H334" s="1" t="s">
        <v>68</v>
      </c>
      <c r="Z334" s="1" t="b">
        <f t="shared" si="7"/>
        <v>1</v>
      </c>
    </row>
    <row r="335" spans="1:26" s="417" customFormat="1" ht="15" customHeight="1" x14ac:dyDescent="0.3">
      <c r="A335" s="421">
        <v>89230</v>
      </c>
      <c r="B335" s="419"/>
      <c r="C335" s="417" t="str">
        <f>CONCATENATE(H335,"-",J4)</f>
        <v>1700-srebrny</v>
      </c>
      <c r="D335" s="421">
        <v>89230</v>
      </c>
      <c r="E335" s="419" t="str">
        <f>+VLOOKUP(A335,cennik!A:G,2,FALSE)</f>
        <v>SEVROLL listwa pozioma górna 1,7m srebrny</v>
      </c>
      <c r="F335" s="419" t="str">
        <f>+VLOOKUP(A335,cennik!A:B,2,FALSE)</f>
        <v>SEVROLL listwa pozioma górna 1,7m srebrny</v>
      </c>
      <c r="G335" s="417" t="e">
        <f>+VLOOKUP(A335,#REF!,4,FALSE)</f>
        <v>#REF!</v>
      </c>
      <c r="H335" s="417">
        <v>1700</v>
      </c>
      <c r="I335" s="417" t="str">
        <f>CONCATENATE(H335,"-",J4)</f>
        <v>1700-srebrny</v>
      </c>
      <c r="Z335" s="1" t="b">
        <f t="shared" si="7"/>
        <v>1</v>
      </c>
    </row>
    <row r="336" spans="1:26" s="417" customFormat="1" ht="15" customHeight="1" x14ac:dyDescent="0.3">
      <c r="A336" s="421">
        <v>89231</v>
      </c>
      <c r="B336" s="419"/>
      <c r="C336" s="417" t="str">
        <f>CONCATENATE(H336,"-",J6)</f>
        <v>1700-j.brąz</v>
      </c>
      <c r="D336" s="421">
        <v>89231</v>
      </c>
      <c r="E336" s="419" t="str">
        <f>+VLOOKUP(A336,cennik!A:G,2,FALSE)</f>
        <v>SEVROLL listwa pozioma górna 1,7m jasny brąz</v>
      </c>
      <c r="F336" s="419" t="str">
        <f>+VLOOKUP(A336,cennik!A:B,2,FALSE)</f>
        <v>SEVROLL listwa pozioma górna 1,7m jasny brąz</v>
      </c>
      <c r="G336" s="417" t="e">
        <f>+VLOOKUP(A336,#REF!,4,FALSE)</f>
        <v>#REF!</v>
      </c>
      <c r="H336" s="417">
        <v>1700</v>
      </c>
      <c r="I336" s="417" t="str">
        <f>CONCATENATE(H336,"-",J6)</f>
        <v>1700-j.brąz</v>
      </c>
      <c r="Z336" s="1" t="b">
        <f t="shared" si="7"/>
        <v>1</v>
      </c>
    </row>
    <row r="337" spans="1:26" s="417" customFormat="1" ht="15" customHeight="1" x14ac:dyDescent="0.3">
      <c r="A337" s="421">
        <v>542864</v>
      </c>
      <c r="B337" s="419"/>
      <c r="C337" s="417" t="str">
        <f>CONCATENATE(H337,"-",J5)</f>
        <v>1700-złoty/mosiądz</v>
      </c>
      <c r="D337" s="421">
        <v>542864</v>
      </c>
      <c r="E337" s="419" t="str">
        <f>+VLOOKUP(A337,cennik!A:G,2,FALSE)</f>
        <v>SEVROLL 06813 listwa pozioma górna 1,7 m złota/mosiądz</v>
      </c>
      <c r="F337" s="419" t="str">
        <f>+VLOOKUP(A337,cennik!A:B,2,FALSE)</f>
        <v>SEVROLL 06813 listwa pozioma górna 1,7 m złota/mosiądz</v>
      </c>
      <c r="G337" s="417" t="e">
        <f>+VLOOKUP(A337,#REF!,4,FALSE)</f>
        <v>#REF!</v>
      </c>
      <c r="H337" s="417">
        <v>1700</v>
      </c>
      <c r="I337" s="417" t="str">
        <f>CONCATENATE(H337,"-",J5)</f>
        <v>1700-złoty/mosiądz</v>
      </c>
      <c r="Z337" s="1" t="b">
        <f t="shared" si="7"/>
        <v>1</v>
      </c>
    </row>
    <row r="338" spans="1:26" s="417" customFormat="1" ht="15" customHeight="1" x14ac:dyDescent="0.3">
      <c r="A338" s="421">
        <v>89232</v>
      </c>
      <c r="B338" s="419"/>
      <c r="C338" s="417" t="str">
        <f>CONCATENATE(H338,"-",J4)</f>
        <v>2350-srebrny</v>
      </c>
      <c r="D338" s="421">
        <v>89232</v>
      </c>
      <c r="E338" s="419" t="str">
        <f>+VLOOKUP(A338,cennik!A:G,2,FALSE)</f>
        <v>SEVROLL listwa pozioma górna 2,35m srebrny</v>
      </c>
      <c r="F338" s="419" t="str">
        <f>+VLOOKUP(A338,cennik!A:B,2,FALSE)</f>
        <v>SEVROLL listwa pozioma górna 2,35m srebrny</v>
      </c>
      <c r="G338" s="417" t="e">
        <f>+VLOOKUP(A338,#REF!,4,FALSE)</f>
        <v>#REF!</v>
      </c>
      <c r="H338" s="417">
        <v>2350</v>
      </c>
      <c r="I338" s="417" t="str">
        <f>CONCATENATE(H338,"-",J4)</f>
        <v>2350-srebrny</v>
      </c>
      <c r="Z338" s="1" t="b">
        <f t="shared" si="7"/>
        <v>1</v>
      </c>
    </row>
    <row r="339" spans="1:26" s="417" customFormat="1" ht="15" customHeight="1" x14ac:dyDescent="0.3">
      <c r="A339" s="421">
        <v>89233</v>
      </c>
      <c r="B339" s="419"/>
      <c r="C339" s="417" t="str">
        <f>CONCATENATE(H339,"-",J6)</f>
        <v>2350-j.brąz</v>
      </c>
      <c r="D339" s="421">
        <v>89233</v>
      </c>
      <c r="E339" s="419" t="str">
        <f>+VLOOKUP(A339,cennik!A:G,2,FALSE)</f>
        <v>SEVROLL listwa pozioma górna 2,35m jasny brąz</v>
      </c>
      <c r="F339" s="419" t="str">
        <f>+VLOOKUP(A339,cennik!A:B,2,FALSE)</f>
        <v>SEVROLL listwa pozioma górna 2,35m jasny brąz</v>
      </c>
      <c r="G339" s="417" t="e">
        <f>+VLOOKUP(A339,#REF!,4,FALSE)</f>
        <v>#REF!</v>
      </c>
      <c r="H339" s="417">
        <v>2350</v>
      </c>
      <c r="I339" s="417" t="str">
        <f>CONCATENATE(H339,"-",J6)</f>
        <v>2350-j.brąz</v>
      </c>
      <c r="Z339" s="1" t="b">
        <f t="shared" si="7"/>
        <v>1</v>
      </c>
    </row>
    <row r="340" spans="1:26" s="417" customFormat="1" ht="15" customHeight="1" x14ac:dyDescent="0.3">
      <c r="A340" s="421">
        <v>542865</v>
      </c>
      <c r="B340" s="419"/>
      <c r="C340" s="417" t="str">
        <f>CONCATENATE(H340,"-",J5)</f>
        <v>2350-złoty/mosiądz</v>
      </c>
      <c r="D340" s="421">
        <v>542865</v>
      </c>
      <c r="E340" s="419" t="str">
        <f>+VLOOKUP(A340,cennik!A:G,2,FALSE)</f>
        <v>SEVROLL 06811 listwa pozioma górna 2,35m złoty/mosiądz</v>
      </c>
      <c r="F340" s="419" t="str">
        <f>+VLOOKUP(A340,cennik!A:B,2,FALSE)</f>
        <v>SEVROLL 06811 listwa pozioma górna 2,35m złoty/mosiądz</v>
      </c>
      <c r="G340" s="417" t="e">
        <f>+VLOOKUP(A340,#REF!,4,FALSE)</f>
        <v>#REF!</v>
      </c>
      <c r="H340" s="417">
        <v>2350</v>
      </c>
      <c r="I340" s="417" t="str">
        <f>CONCATENATE(H340,"-",J5)</f>
        <v>2350-złoty/mosiądz</v>
      </c>
      <c r="Z340" s="1" t="b">
        <f t="shared" si="7"/>
        <v>1</v>
      </c>
    </row>
    <row r="341" spans="1:26" s="417" customFormat="1" ht="15" customHeight="1" x14ac:dyDescent="0.3">
      <c r="A341" s="421">
        <v>89234</v>
      </c>
      <c r="B341" s="419"/>
      <c r="C341" s="417" t="str">
        <f>CONCATENATE(H341,"-",J4)</f>
        <v>3000-srebrny</v>
      </c>
      <c r="D341" s="421">
        <v>89234</v>
      </c>
      <c r="E341" s="419" t="str">
        <f>+VLOOKUP(A341,cennik!A:G,2,FALSE)</f>
        <v>SEVROLL listwa pozioma górna 3m srebrny</v>
      </c>
      <c r="F341" s="419" t="str">
        <f>+VLOOKUP(A341,cennik!A:B,2,FALSE)</f>
        <v>SEVROLL listwa pozioma górna 3m srebrny</v>
      </c>
      <c r="G341" s="417" t="e">
        <f>+VLOOKUP(A341,#REF!,4,FALSE)</f>
        <v>#REF!</v>
      </c>
      <c r="H341" s="417">
        <v>3000</v>
      </c>
      <c r="I341" s="417" t="str">
        <f>CONCATENATE(H341,"-",J4)</f>
        <v>3000-srebrny</v>
      </c>
      <c r="Z341" s="1" t="b">
        <f t="shared" si="7"/>
        <v>1</v>
      </c>
    </row>
    <row r="342" spans="1:26" s="417" customFormat="1" ht="15" customHeight="1" x14ac:dyDescent="0.3">
      <c r="A342" s="421">
        <v>89235</v>
      </c>
      <c r="B342" s="419"/>
      <c r="C342" s="417" t="str">
        <f>CONCATENATE(H342,"-",J6)</f>
        <v>3000-j.brąz</v>
      </c>
      <c r="D342" s="421">
        <v>89235</v>
      </c>
      <c r="E342" s="419" t="str">
        <f>+VLOOKUP(A342,cennik!A:G,2,FALSE)</f>
        <v>SEVROLL listwa pozioma górna 3m jasny brąz</v>
      </c>
      <c r="F342" s="419" t="str">
        <f>+VLOOKUP(A342,cennik!A:B,2,FALSE)</f>
        <v>SEVROLL listwa pozioma górna 3m jasny brąz</v>
      </c>
      <c r="G342" s="417" t="e">
        <f>+VLOOKUP(A342,#REF!,4,FALSE)</f>
        <v>#REF!</v>
      </c>
      <c r="H342" s="417">
        <v>3000</v>
      </c>
      <c r="I342" s="417" t="str">
        <f>CONCATENATE(H342,"-",J6)</f>
        <v>3000-j.brąz</v>
      </c>
      <c r="Z342" s="1" t="b">
        <f t="shared" si="7"/>
        <v>1</v>
      </c>
    </row>
    <row r="343" spans="1:26" s="417" customFormat="1" ht="15" customHeight="1" x14ac:dyDescent="0.3">
      <c r="A343" s="421">
        <v>542866</v>
      </c>
      <c r="B343" s="419"/>
      <c r="C343" s="417" t="str">
        <f>CONCATENATE(H343,"-",J5)</f>
        <v>3000-złoty/mosiądz</v>
      </c>
      <c r="D343" s="421">
        <v>542866</v>
      </c>
      <c r="E343" s="419" t="str">
        <f>+VLOOKUP(A343,cennik!A:G,2,FALSE)</f>
        <v>SEVROLL 06815 listwa pozioma górna 3m złoty/mosiądz</v>
      </c>
      <c r="F343" s="419" t="str">
        <f>+VLOOKUP(A343,cennik!A:B,2,FALSE)</f>
        <v>SEVROLL 06815 listwa pozioma górna 3m złoty/mosiądz</v>
      </c>
      <c r="G343" s="417" t="e">
        <f>+VLOOKUP(A343,#REF!,4,FALSE)</f>
        <v>#REF!</v>
      </c>
      <c r="H343" s="417">
        <v>3000</v>
      </c>
      <c r="I343" s="417" t="str">
        <f>CONCATENATE(H343,"-",J5)</f>
        <v>3000-złoty/mosiądz</v>
      </c>
      <c r="Z343" s="1" t="b">
        <f t="shared" si="7"/>
        <v>1</v>
      </c>
    </row>
    <row r="344" spans="1:26" s="417" customFormat="1" ht="15" customHeight="1" x14ac:dyDescent="0.3">
      <c r="A344" s="421" t="s">
        <v>25</v>
      </c>
      <c r="B344" s="419"/>
      <c r="C344" s="417" t="str">
        <f>CONCATENATE(H344,"-",J4)</f>
        <v>4050-srebrny</v>
      </c>
      <c r="D344" s="421" t="s">
        <v>25</v>
      </c>
      <c r="E344" s="419" t="e">
        <f>+VLOOKUP(A344,cennik!A:G,2,FALSE)</f>
        <v>#N/A</v>
      </c>
      <c r="F344" s="419" t="e">
        <f>+VLOOKUP(A344,cennik!A:B,2,FALSE)</f>
        <v>#N/A</v>
      </c>
      <c r="G344" s="417" t="e">
        <f>+VLOOKUP(A344,#REF!,4,FALSE)</f>
        <v>#REF!</v>
      </c>
      <c r="H344" s="417">
        <v>4050</v>
      </c>
      <c r="I344" s="417" t="str">
        <f>CONCATENATE(H344,"-",J4)</f>
        <v>4050-srebrny</v>
      </c>
      <c r="Z344" s="1" t="b">
        <f t="shared" si="7"/>
        <v>1</v>
      </c>
    </row>
    <row r="345" spans="1:26" s="417" customFormat="1" ht="15" customHeight="1" x14ac:dyDescent="0.3">
      <c r="A345" s="421" t="s">
        <v>26</v>
      </c>
      <c r="B345" s="419"/>
      <c r="C345" s="417" t="str">
        <f>CONCATENATE(H345,"-",J6)</f>
        <v>4050-j.brąz</v>
      </c>
      <c r="D345" s="421" t="s">
        <v>26</v>
      </c>
      <c r="E345" s="419" t="e">
        <f>+VLOOKUP(A345,cennik!A:G,2,FALSE)</f>
        <v>#N/A</v>
      </c>
      <c r="F345" s="419" t="e">
        <f>+VLOOKUP(A345,cennik!A:B,2,FALSE)</f>
        <v>#N/A</v>
      </c>
      <c r="G345" s="417" t="e">
        <f>+VLOOKUP(A345,#REF!,4,FALSE)</f>
        <v>#REF!</v>
      </c>
      <c r="H345" s="417">
        <v>4050</v>
      </c>
      <c r="I345" s="417" t="str">
        <f>CONCATENATE(H345,"-",J6)</f>
        <v>4050-j.brąz</v>
      </c>
      <c r="Z345" s="1" t="b">
        <f t="shared" si="7"/>
        <v>1</v>
      </c>
    </row>
    <row r="346" spans="1:26" s="417" customFormat="1" ht="15" customHeight="1" x14ac:dyDescent="0.3">
      <c r="A346" s="421" t="s">
        <v>27</v>
      </c>
      <c r="B346" s="419"/>
      <c r="C346" s="417" t="str">
        <f>CONCATENATE(H346,"-",J5)</f>
        <v>4050-złoty/mosiądz</v>
      </c>
      <c r="D346" s="421" t="s">
        <v>27</v>
      </c>
      <c r="E346" s="419" t="e">
        <f>+VLOOKUP(A346,cennik!A:G,2,FALSE)</f>
        <v>#N/A</v>
      </c>
      <c r="F346" s="419" t="e">
        <f>+VLOOKUP(A346,cennik!A:B,2,FALSE)</f>
        <v>#N/A</v>
      </c>
      <c r="G346" s="417" t="e">
        <f>+VLOOKUP(A346,#REF!,4,FALSE)</f>
        <v>#REF!</v>
      </c>
      <c r="H346" s="417">
        <v>4050</v>
      </c>
      <c r="I346" s="417" t="str">
        <f>CONCATENATE(H346,"-",J5)</f>
        <v>4050-złoty/mosiądz</v>
      </c>
      <c r="Z346" s="1" t="b">
        <f t="shared" si="7"/>
        <v>1</v>
      </c>
    </row>
    <row r="347" spans="1:26" s="417" customFormat="1" ht="15" customHeight="1" x14ac:dyDescent="0.3">
      <c r="A347" s="421">
        <v>422043</v>
      </c>
      <c r="B347" s="419"/>
      <c r="C347" s="417" t="str">
        <f>CONCATENATE(H347,"-",J17)</f>
        <v>1700- czarny mat</v>
      </c>
      <c r="D347" s="421">
        <v>422043</v>
      </c>
      <c r="E347" s="419" t="str">
        <f>+VLOOKUP(A347,cennik!A:G,2,FALSE)</f>
        <v>SEVROLL listwa pozioma górna 1,7m czarny mat</v>
      </c>
      <c r="F347" s="419" t="str">
        <f>+VLOOKUP(A347,cennik!A:B,2,FALSE)</f>
        <v>SEVROLL listwa pozioma górna 1,7m czarny mat</v>
      </c>
      <c r="H347" s="417">
        <v>1700</v>
      </c>
      <c r="I347" s="417" t="str">
        <f>CONCATENATE(H347,"-",J17)</f>
        <v>1700- czarny mat</v>
      </c>
      <c r="Z347" s="1" t="b">
        <f t="shared" si="7"/>
        <v>1</v>
      </c>
    </row>
    <row r="348" spans="1:26" s="417" customFormat="1" ht="15" customHeight="1" x14ac:dyDescent="0.3">
      <c r="A348" s="421">
        <v>452608</v>
      </c>
      <c r="B348" s="419"/>
      <c r="C348" s="417" t="str">
        <f>CONCATENATE(H348,"-",J17)</f>
        <v>2350- czarny mat</v>
      </c>
      <c r="D348" s="421">
        <v>452608</v>
      </c>
      <c r="E348" s="419" t="str">
        <f>+VLOOKUP(A348,cennik!A:G,2,FALSE)</f>
        <v>SEVROLL listwa pozioma górna 2,35m czarny mat</v>
      </c>
      <c r="F348" s="419" t="str">
        <f>+VLOOKUP(A348,cennik!A:B,2,FALSE)</f>
        <v>SEVROLL listwa pozioma górna 2,35m czarny mat</v>
      </c>
      <c r="H348" s="417">
        <v>2350</v>
      </c>
      <c r="I348" s="417" t="str">
        <f>CONCATENATE(H348,"-",J17)</f>
        <v>2350- czarny mat</v>
      </c>
      <c r="Z348" s="1" t="b">
        <f t="shared" si="7"/>
        <v>1</v>
      </c>
    </row>
    <row r="349" spans="1:26" s="417" customFormat="1" ht="15" customHeight="1" x14ac:dyDescent="0.3">
      <c r="A349" s="421">
        <v>452734</v>
      </c>
      <c r="B349" s="419"/>
      <c r="C349" s="417" t="str">
        <f>CONCATENATE(H349,"-",J17)</f>
        <v>3000- czarny mat</v>
      </c>
      <c r="D349" s="421">
        <v>452734</v>
      </c>
      <c r="E349" s="419" t="str">
        <f>+VLOOKUP(A349,cennik!A:G,2,FALSE)</f>
        <v>SEVROLL listwa pozioma górna 3m czarny mat</v>
      </c>
      <c r="F349" s="419" t="str">
        <f>+VLOOKUP(A349,cennik!A:B,2,FALSE)</f>
        <v>SEVROLL listwa pozioma górna 3m czarny mat</v>
      </c>
      <c r="H349" s="417">
        <v>3000</v>
      </c>
      <c r="I349" s="417" t="str">
        <f>CONCATENATE(H349,"-",J17)</f>
        <v>3000- czarny mat</v>
      </c>
      <c r="Z349" s="1" t="b">
        <f t="shared" si="7"/>
        <v>1</v>
      </c>
    </row>
    <row r="350" spans="1:26" s="417" customFormat="1" ht="15" customHeight="1" x14ac:dyDescent="0.3">
      <c r="A350" s="421">
        <v>119414</v>
      </c>
      <c r="B350" s="419"/>
      <c r="C350" s="417" t="str">
        <f>CONCATENATE(H350,"-",J7)</f>
        <v>1700-j.brąz szczotkowany</v>
      </c>
      <c r="D350" s="421">
        <v>119414</v>
      </c>
      <c r="E350" s="419" t="str">
        <f>+VLOOKUP(A350,cennik!A:G,2,FALSE)</f>
        <v>SEVROLL 03042-Y górna listwa prowadząca 1,7m jasny brąz szczotkowany</v>
      </c>
      <c r="F350" s="419" t="str">
        <f>+VLOOKUP(A350,cennik!A:B,2,FALSE)</f>
        <v>SEVROLL 03042-Y górna listwa prowadząca 1,7m jasny brąz szczotkowany</v>
      </c>
      <c r="G350" s="417" t="e">
        <f>+VLOOKUP(A350,#REF!,4,FALSE)</f>
        <v>#REF!</v>
      </c>
      <c r="H350" s="417">
        <v>1700</v>
      </c>
      <c r="I350" s="417" t="str">
        <f>CONCATENATE(H350,"-",J7)</f>
        <v>1700-j.brąz szczotkowany</v>
      </c>
      <c r="Z350" s="1" t="b">
        <f t="shared" si="7"/>
        <v>1</v>
      </c>
    </row>
    <row r="351" spans="1:26" s="417" customFormat="1" ht="15" customHeight="1" x14ac:dyDescent="0.3">
      <c r="A351" s="421">
        <v>119415</v>
      </c>
      <c r="B351" s="419"/>
      <c r="C351" s="417" t="str">
        <f>CONCATENATE(H351,"-",J7)</f>
        <v>2350-j.brąz szczotkowany</v>
      </c>
      <c r="D351" s="421">
        <v>119415</v>
      </c>
      <c r="E351" s="419" t="str">
        <f>+VLOOKUP(A351,cennik!A:G,2,FALSE)</f>
        <v>SEVROLL 03043-Y górna listwa prowadząca 2,35m  jasny brąz szczotkowany</v>
      </c>
      <c r="F351" s="419" t="str">
        <f>+VLOOKUP(A351,cennik!A:B,2,FALSE)</f>
        <v>SEVROLL 03043-Y górna listwa prowadząca 2,35m  jasny brąz szczotkowany</v>
      </c>
      <c r="G351" s="417" t="e">
        <f>+VLOOKUP(A351,#REF!,4,FALSE)</f>
        <v>#REF!</v>
      </c>
      <c r="H351" s="417">
        <v>2350</v>
      </c>
      <c r="I351" s="417" t="str">
        <f>CONCATENATE(H351,"-",J7)</f>
        <v>2350-j.brąz szczotkowany</v>
      </c>
      <c r="Z351" s="1" t="b">
        <f t="shared" si="7"/>
        <v>1</v>
      </c>
    </row>
    <row r="352" spans="1:26" s="417" customFormat="1" ht="15" customHeight="1" x14ac:dyDescent="0.3">
      <c r="A352" s="421">
        <v>119416</v>
      </c>
      <c r="B352" s="419"/>
      <c r="C352" s="417" t="str">
        <f>CONCATENATE(H352,"-",J7)</f>
        <v>3000-j.brąz szczotkowany</v>
      </c>
      <c r="D352" s="421">
        <v>119416</v>
      </c>
      <c r="E352" s="419" t="str">
        <f>+VLOOKUP(A352,cennik!A:G,2,FALSE)</f>
        <v>SEVROLL 03044-Y górna listwa prowadząca 3m  jasny brąz szczotkowany</v>
      </c>
      <c r="F352" s="419" t="str">
        <f>+VLOOKUP(A352,cennik!A:B,2,FALSE)</f>
        <v>SEVROLL 03044-Y górna listwa prowadząca 3m  jasny brąz szczotkowany</v>
      </c>
      <c r="G352" s="417" t="e">
        <f>+VLOOKUP(A352,#REF!,4,FALSE)</f>
        <v>#REF!</v>
      </c>
      <c r="H352" s="417">
        <v>3000</v>
      </c>
      <c r="I352" s="417" t="str">
        <f>CONCATENATE(H352,"-",J7)</f>
        <v>3000-j.brąz szczotkowany</v>
      </c>
      <c r="Z352" s="1" t="b">
        <f t="shared" si="7"/>
        <v>1</v>
      </c>
    </row>
    <row r="353" spans="1:26" s="417" customFormat="1" ht="15" customHeight="1" x14ac:dyDescent="0.3">
      <c r="A353" s="196">
        <v>526496</v>
      </c>
      <c r="B353" s="419"/>
      <c r="C353" s="417" t="str">
        <f>CONCATENATE(H353,"-",J22)</f>
        <v>1700-czarny lakier strukturalny</v>
      </c>
      <c r="D353" s="196">
        <v>526496</v>
      </c>
      <c r="E353" s="419" t="str">
        <f>+VLOOKUP(A353,cennik!A:G,2,FALSE)</f>
        <v>SEVROLL 06441 listwa pozioma górna 1,7m czarny lakier strukturalny</v>
      </c>
      <c r="F353" s="419" t="str">
        <f>+VLOOKUP(A353,cennik!A:B,2,FALSE)</f>
        <v>SEVROLL 06441 listwa pozioma górna 1,7m czarny lakier strukturalny</v>
      </c>
      <c r="H353" s="417">
        <v>1700</v>
      </c>
      <c r="I353" s="417" t="str">
        <f>CONCATENATE(H353,"-",J22)</f>
        <v>1700-czarny lakier strukturalny</v>
      </c>
      <c r="Z353" s="1"/>
    </row>
    <row r="354" spans="1:26" s="417" customFormat="1" ht="15" customHeight="1" x14ac:dyDescent="0.3">
      <c r="A354" s="196">
        <v>526497</v>
      </c>
      <c r="B354" s="419"/>
      <c r="C354" s="417" t="str">
        <f>CONCATENATE(H354,"-",J22)</f>
        <v>2350-czarny lakier strukturalny</v>
      </c>
      <c r="D354" s="196">
        <v>526497</v>
      </c>
      <c r="E354" s="419" t="str">
        <f>+VLOOKUP(A354,cennik!A:G,2,FALSE)</f>
        <v>SEVROLL 06442 listwa pozioma górna 2,35m czarny lakier strukturalny</v>
      </c>
      <c r="F354" s="419" t="str">
        <f>+VLOOKUP(A354,cennik!A:B,2,FALSE)</f>
        <v>SEVROLL 06442 listwa pozioma górna 2,35m czarny lakier strukturalny</v>
      </c>
      <c r="H354" s="417">
        <v>2350</v>
      </c>
      <c r="I354" s="417" t="str">
        <f>CONCATENATE(H354,"-",J22)</f>
        <v>2350-czarny lakier strukturalny</v>
      </c>
      <c r="Z354" s="1"/>
    </row>
    <row r="355" spans="1:26" s="417" customFormat="1" ht="15" customHeight="1" x14ac:dyDescent="0.3">
      <c r="A355" s="196">
        <v>526500</v>
      </c>
      <c r="B355" s="419"/>
      <c r="C355" s="417" t="str">
        <f>CONCATENATE(H355,"-",J22)</f>
        <v>3000-czarny lakier strukturalny</v>
      </c>
      <c r="D355" s="196">
        <v>526500</v>
      </c>
      <c r="E355" s="419" t="str">
        <f>+VLOOKUP(A355,cennik!A:G,2,FALSE)</f>
        <v>SEVROLL 06124 listwa pozioma górna 3m czarny lakier strukturalny</v>
      </c>
      <c r="F355" s="419" t="str">
        <f>+VLOOKUP(A355,cennik!A:B,2,FALSE)</f>
        <v>SEVROLL 06124 listwa pozioma górna 3m czarny lakier strukturalny</v>
      </c>
      <c r="H355" s="417">
        <v>3000</v>
      </c>
      <c r="I355" s="417" t="str">
        <f>CONCATENATE(H355,"-",J22)</f>
        <v>3000-czarny lakier strukturalny</v>
      </c>
      <c r="Z355" s="1"/>
    </row>
    <row r="356" spans="1:26" s="417" customFormat="1" ht="15" customHeight="1" x14ac:dyDescent="0.3">
      <c r="A356" s="421">
        <v>205103</v>
      </c>
      <c r="B356" s="419"/>
      <c r="C356" s="417" t="str">
        <f>CONCATENATE(H356,"-",J8)</f>
        <v>1700-szczot.oliwa ciemna</v>
      </c>
      <c r="D356" s="421">
        <v>205103</v>
      </c>
      <c r="E356" s="419" t="str">
        <f>+VLOOKUP(A356,cennik!A:G,2,FALSE)</f>
        <v>SEVROLL listwa pozioma górna 1,7 m oliwka ciemna szczotkowana</v>
      </c>
      <c r="F356" s="419" t="str">
        <f>+VLOOKUP(A356,cennik!A:B,2,FALSE)</f>
        <v>SEVROLL listwa pozioma górna 1,7 m oliwka ciemna szczotkowana</v>
      </c>
      <c r="G356" s="417" t="e">
        <f>+VLOOKUP(A356,#REF!,4,FALSE)</f>
        <v>#REF!</v>
      </c>
      <c r="H356" s="417">
        <v>1700</v>
      </c>
      <c r="I356" s="417" t="str">
        <f>CONCATENATE(H356,"-",J8)</f>
        <v>1700-szczot.oliwa ciemna</v>
      </c>
      <c r="Z356" s="1" t="b">
        <f t="shared" si="7"/>
        <v>1</v>
      </c>
    </row>
    <row r="357" spans="1:26" s="417" customFormat="1" ht="15" customHeight="1" x14ac:dyDescent="0.3">
      <c r="A357" s="421">
        <v>205156</v>
      </c>
      <c r="B357" s="419"/>
      <c r="C357" s="417" t="str">
        <f>CONCATENATE(H357,"-",J8)</f>
        <v>2350-szczot.oliwa ciemna</v>
      </c>
      <c r="D357" s="421">
        <v>205156</v>
      </c>
      <c r="E357" s="419" t="str">
        <f>+VLOOKUP(A357,cennik!A:G,2,FALSE)</f>
        <v>SEVROLL listwa pozioma górna 2,35 m oliwka ciemna szczotkowana</v>
      </c>
      <c r="F357" s="419" t="str">
        <f>+VLOOKUP(A357,cennik!A:B,2,FALSE)</f>
        <v>SEVROLL listwa pozioma górna 2,35 m oliwka ciemna szczotkowana</v>
      </c>
      <c r="G357" s="417" t="e">
        <f>+VLOOKUP(A357,#REF!,4,FALSE)</f>
        <v>#REF!</v>
      </c>
      <c r="H357" s="417">
        <v>2350</v>
      </c>
      <c r="I357" s="417" t="str">
        <f>CONCATENATE(H357,"-",J8)</f>
        <v>2350-szczot.oliwa ciemna</v>
      </c>
      <c r="Z357" s="1" t="b">
        <f t="shared" si="7"/>
        <v>1</v>
      </c>
    </row>
    <row r="358" spans="1:26" s="417" customFormat="1" ht="15" customHeight="1" x14ac:dyDescent="0.3">
      <c r="A358" s="421">
        <v>205158</v>
      </c>
      <c r="B358" s="419"/>
      <c r="C358" s="417" t="str">
        <f>CONCATENATE(H358,"-",J8)</f>
        <v>3000-szczot.oliwa ciemna</v>
      </c>
      <c r="D358" s="421">
        <v>205158</v>
      </c>
      <c r="E358" s="419" t="str">
        <f>+VLOOKUP(A358,cennik!A:G,2,FALSE)</f>
        <v>SEVROLL listwa pozioma górna 3 m oliwka ciemna szczotkowana</v>
      </c>
      <c r="F358" s="419" t="str">
        <f>+VLOOKUP(A358,cennik!A:B,2,FALSE)</f>
        <v>SEVROLL listwa pozioma górna 3 m oliwka ciemna szczotkowana</v>
      </c>
      <c r="G358" s="417" t="e">
        <f>+VLOOKUP(A358,#REF!,4,FALSE)</f>
        <v>#REF!</v>
      </c>
      <c r="H358" s="417">
        <v>3000</v>
      </c>
      <c r="I358" s="417" t="str">
        <f>CONCATENATE(H358,"-",J8)</f>
        <v>3000-szczot.oliwa ciemna</v>
      </c>
      <c r="Z358" s="1" t="b">
        <f t="shared" si="7"/>
        <v>1</v>
      </c>
    </row>
    <row r="359" spans="1:26" s="417" customFormat="1" ht="15" customHeight="1" x14ac:dyDescent="0.3">
      <c r="A359" s="421">
        <v>205105</v>
      </c>
      <c r="B359" s="419"/>
      <c r="C359" s="417" t="str">
        <f>CONCATENATE(H359,"-",J9)</f>
        <v>1700-szczot.czarna</v>
      </c>
      <c r="D359" s="421">
        <v>205105</v>
      </c>
      <c r="E359" s="419" t="str">
        <f>+VLOOKUP(A359,cennik!A:G,2,FALSE)</f>
        <v>SEVROLL listwa pozioma górna 1,7 m czarny szczotkowany</v>
      </c>
      <c r="F359" s="419" t="str">
        <f>+VLOOKUP(A359,cennik!A:B,2,FALSE)</f>
        <v>SEVROLL listwa pozioma górna 1,7 m czarny szczotkowany</v>
      </c>
      <c r="H359" s="417">
        <v>1700</v>
      </c>
      <c r="I359" s="417" t="str">
        <f>CONCATENATE(H359,"-",J9)</f>
        <v>1700-szczot.czarna</v>
      </c>
      <c r="Z359" s="1" t="b">
        <f t="shared" si="7"/>
        <v>1</v>
      </c>
    </row>
    <row r="360" spans="1:26" s="417" customFormat="1" ht="15" customHeight="1" x14ac:dyDescent="0.3">
      <c r="A360" s="421">
        <v>205157</v>
      </c>
      <c r="B360" s="419"/>
      <c r="C360" s="417" t="str">
        <f>CONCATENATE(H360,"-",J9)</f>
        <v>2350-szczot.czarna</v>
      </c>
      <c r="D360" s="421">
        <v>205157</v>
      </c>
      <c r="E360" s="419" t="str">
        <f>+VLOOKUP(A360,cennik!A:G,2,FALSE)</f>
        <v>SEVROLL listwa pozioma górna 2,35m czarny szczotkowany</v>
      </c>
      <c r="F360" s="419" t="str">
        <f>+VLOOKUP(A360,cennik!A:B,2,FALSE)</f>
        <v>SEVROLL listwa pozioma górna 2,35m czarny szczotkowany</v>
      </c>
      <c r="H360" s="417">
        <v>2350</v>
      </c>
      <c r="I360" s="417" t="str">
        <f>CONCATENATE(H360,"-",J9)</f>
        <v>2350-szczot.czarna</v>
      </c>
      <c r="Z360" s="1" t="b">
        <f t="shared" si="7"/>
        <v>1</v>
      </c>
    </row>
    <row r="361" spans="1:26" s="417" customFormat="1" ht="15" customHeight="1" x14ac:dyDescent="0.3">
      <c r="A361" s="421">
        <v>205159</v>
      </c>
      <c r="B361" s="419"/>
      <c r="C361" s="417" t="str">
        <f>CONCATENATE(H361,"-",J9)</f>
        <v>3000-szczot.czarna</v>
      </c>
      <c r="D361" s="421">
        <v>205159</v>
      </c>
      <c r="E361" s="419" t="str">
        <f>+VLOOKUP(A361,cennik!A:G,2,FALSE)</f>
        <v>SEVROLL listwa pozioma górna 3m czarny szczotkowany</v>
      </c>
      <c r="F361" s="419" t="str">
        <f>+VLOOKUP(A361,cennik!A:B,2,FALSE)</f>
        <v>SEVROLL listwa pozioma górna 3m czarny szczotkowany</v>
      </c>
      <c r="H361" s="417">
        <v>3000</v>
      </c>
      <c r="I361" s="417" t="str">
        <f>CONCATENATE(H361,"-",J9)</f>
        <v>3000-szczot.czarna</v>
      </c>
      <c r="Z361" s="1" t="b">
        <f t="shared" si="7"/>
        <v>1</v>
      </c>
    </row>
    <row r="362" spans="1:26" s="417" customFormat="1" ht="15" customHeight="1" x14ac:dyDescent="0.3">
      <c r="A362" s="421">
        <v>276737</v>
      </c>
      <c r="B362" s="419"/>
      <c r="C362" s="417" t="str">
        <f>CONCATENATE(H362,"-",J15)</f>
        <v>1700- biały połysk</v>
      </c>
      <c r="D362" s="421">
        <v>276737</v>
      </c>
      <c r="E362" s="419" t="str">
        <f>+VLOOKUP(A362,cennik!A:G,2,FALSE)</f>
        <v>SEVROLL listwa pozioma górna 1,7m biały połysk</v>
      </c>
      <c r="F362" s="419" t="str">
        <f>+VLOOKUP(A362,cennik!A:B,2,FALSE)</f>
        <v>SEVROLL listwa pozioma górna 1,7m biały połysk</v>
      </c>
      <c r="H362" s="417">
        <v>1700</v>
      </c>
      <c r="I362" s="417" t="str">
        <f>CONCATENATE(H362,"-",J15)</f>
        <v>1700- biały połysk</v>
      </c>
      <c r="Z362" s="1" t="b">
        <f t="shared" si="7"/>
        <v>1</v>
      </c>
    </row>
    <row r="363" spans="1:26" s="417" customFormat="1" ht="15" customHeight="1" x14ac:dyDescent="0.3">
      <c r="A363" s="421">
        <v>267944</v>
      </c>
      <c r="B363" s="419"/>
      <c r="C363" s="417" t="str">
        <f>CONCATENATE(H363,"-",J15)</f>
        <v>2350- biały połysk</v>
      </c>
      <c r="D363" s="421">
        <v>267944</v>
      </c>
      <c r="E363" s="419" t="str">
        <f>+VLOOKUP(A363,cennik!A:G,2,FALSE)</f>
        <v>SEVROLL listwa pozioma górna 2,35m biały połysk</v>
      </c>
      <c r="F363" s="419" t="str">
        <f>+VLOOKUP(A363,cennik!A:B,2,FALSE)</f>
        <v>SEVROLL listwa pozioma górna 2,35m biały połysk</v>
      </c>
      <c r="H363" s="417">
        <v>2350</v>
      </c>
      <c r="I363" s="417" t="str">
        <f>CONCATENATE(H363,"-",J15)</f>
        <v>2350- biały połysk</v>
      </c>
      <c r="Z363" s="1" t="b">
        <f t="shared" si="7"/>
        <v>1</v>
      </c>
    </row>
    <row r="364" spans="1:26" s="417" customFormat="1" ht="15" customHeight="1" x14ac:dyDescent="0.3">
      <c r="A364" s="421">
        <v>265066</v>
      </c>
      <c r="B364" s="419"/>
      <c r="C364" s="417" t="str">
        <f>CONCATENATE(H364,"-",J15)</f>
        <v>3000- biały połysk</v>
      </c>
      <c r="D364" s="421">
        <v>265066</v>
      </c>
      <c r="E364" s="419" t="str">
        <f>+VLOOKUP(A364,cennik!A:G,2,FALSE)</f>
        <v>SEVROLL listwa pozioma górna 3m biały połysk</v>
      </c>
      <c r="F364" s="419" t="str">
        <f>+VLOOKUP(A364,cennik!A:B,2,FALSE)</f>
        <v>SEVROLL listwa pozioma górna 3m biały połysk</v>
      </c>
      <c r="H364" s="417">
        <v>3000</v>
      </c>
      <c r="I364" s="417" t="str">
        <f>CONCATENATE(H364,"-",J15)</f>
        <v>3000- biały połysk</v>
      </c>
      <c r="Z364" s="1" t="b">
        <f t="shared" si="7"/>
        <v>1</v>
      </c>
    </row>
    <row r="365" spans="1:26" s="417" customFormat="1" ht="15" customHeight="1" x14ac:dyDescent="0.3">
      <c r="A365" s="421">
        <v>278058</v>
      </c>
      <c r="B365" s="419"/>
      <c r="C365" s="417" t="str">
        <f>CONCATENATE(H365,"-",J4)</f>
        <v>3000-srebrny</v>
      </c>
      <c r="D365" s="421">
        <v>278058</v>
      </c>
      <c r="E365" s="419" t="str">
        <f>+VLOOKUP(A365,cennik!A:G,2,FALSE)</f>
        <v>SEVROLL Pax listwa pozioma górna 3m srebrny</v>
      </c>
      <c r="F365" s="419" t="str">
        <f>+VLOOKUP(A365,cennik!A:B,2,FALSE)</f>
        <v>SEVROLL Pax listwa pozioma górna 3m srebrny</v>
      </c>
      <c r="H365" s="417">
        <v>3000</v>
      </c>
      <c r="I365" s="417" t="str">
        <f>CONCATENATE(H365,"-",J4)</f>
        <v>3000-srebrny</v>
      </c>
      <c r="Z365" s="1" t="b">
        <f t="shared" ref="Z365:Z437" si="8">A365=D365</f>
        <v>1</v>
      </c>
    </row>
    <row r="366" spans="1:26" s="417" customFormat="1" ht="15" customHeight="1" x14ac:dyDescent="0.3">
      <c r="A366" s="421">
        <v>284525</v>
      </c>
      <c r="B366" s="419"/>
      <c r="C366" s="417" t="str">
        <f>CONCATENATE(H366,"-",J15)</f>
        <v>3000- biały połysk</v>
      </c>
      <c r="D366" s="421">
        <v>284525</v>
      </c>
      <c r="E366" s="419" t="str">
        <f>+VLOOKUP(A366,cennik!A:G,2,FALSE)</f>
        <v>SEVROLL Pax tor dolny 3m biały połysk</v>
      </c>
      <c r="F366" s="419" t="str">
        <f>+VLOOKUP(A366,cennik!A:B,2,FALSE)</f>
        <v>SEVROLL Pax tor dolny 3m biały połysk</v>
      </c>
      <c r="H366" s="417">
        <v>3000</v>
      </c>
      <c r="I366" s="417" t="str">
        <f>CONCATENATE(H366,"-",J15)</f>
        <v>3000- biały połysk</v>
      </c>
      <c r="Z366" s="1" t="b">
        <f t="shared" si="8"/>
        <v>1</v>
      </c>
    </row>
    <row r="367" spans="1:26" s="417" customFormat="1" ht="15" customHeight="1" x14ac:dyDescent="0.3">
      <c r="A367" s="418">
        <v>405377</v>
      </c>
      <c r="C367" s="417" t="str">
        <f>CONCATENATE(H367,"-",J16)</f>
        <v>1700-czarny połysk</v>
      </c>
      <c r="D367" s="418">
        <v>405377</v>
      </c>
      <c r="E367" s="419" t="str">
        <f>+VLOOKUP(A367,cennik!A:G,2,FALSE)</f>
        <v>SEVROLL listwa pozioma górna 1,7m czarny połysk</v>
      </c>
      <c r="F367" s="419" t="str">
        <f>+VLOOKUP(A367,cennik!A:B,2,FALSE)</f>
        <v>SEVROLL listwa pozioma górna 1,7m czarny połysk</v>
      </c>
      <c r="H367" s="417">
        <v>1700</v>
      </c>
      <c r="I367" s="417" t="str">
        <f>CONCATENATE(H367,"-",J16)</f>
        <v>1700-czarny połysk</v>
      </c>
      <c r="Z367" s="1" t="b">
        <f t="shared" si="8"/>
        <v>1</v>
      </c>
    </row>
    <row r="368" spans="1:26" s="417" customFormat="1" ht="15" customHeight="1" x14ac:dyDescent="0.3">
      <c r="A368" s="418">
        <v>405379</v>
      </c>
      <c r="C368" s="417" t="str">
        <f>CONCATENATE(H368,"-",J16)</f>
        <v>2350-czarny połysk</v>
      </c>
      <c r="D368" s="418">
        <v>405379</v>
      </c>
      <c r="E368" s="419" t="str">
        <f>+VLOOKUP(A368,cennik!A:G,2,FALSE)</f>
        <v>SEVROLL listwa pozioma górna 2,35m czarny połysk</v>
      </c>
      <c r="F368" s="419" t="str">
        <f>+VLOOKUP(A368,cennik!A:B,2,FALSE)</f>
        <v>SEVROLL listwa pozioma górna 2,35m czarny połysk</v>
      </c>
      <c r="H368" s="417">
        <v>2350</v>
      </c>
      <c r="I368" s="417" t="str">
        <f>CONCATENATE(H368,"-",J16)</f>
        <v>2350-czarny połysk</v>
      </c>
      <c r="Z368" s="1" t="b">
        <f t="shared" si="8"/>
        <v>1</v>
      </c>
    </row>
    <row r="369" spans="1:26" s="417" customFormat="1" ht="15" customHeight="1" x14ac:dyDescent="0.3">
      <c r="A369" s="418">
        <v>405382</v>
      </c>
      <c r="C369" s="417" t="str">
        <f>CONCATENATE(H369,"-",J16)</f>
        <v>3000-czarny połysk</v>
      </c>
      <c r="D369" s="418">
        <v>405382</v>
      </c>
      <c r="E369" s="419" t="str">
        <f>+VLOOKUP(A369,cennik!A:G,2,FALSE)</f>
        <v>SEVROLL listwa pozioma górna 3m czarny połysk</v>
      </c>
      <c r="F369" s="419" t="str">
        <f>+VLOOKUP(A369,cennik!A:B,2,FALSE)</f>
        <v>SEVROLL listwa pozioma górna 3m czarny połysk</v>
      </c>
      <c r="H369" s="417">
        <v>3000</v>
      </c>
      <c r="I369" s="417" t="str">
        <f>CONCATENATE(H369,"-",J16)</f>
        <v>3000-czarny połysk</v>
      </c>
      <c r="Z369" s="1" t="b">
        <f t="shared" si="8"/>
        <v>1</v>
      </c>
    </row>
    <row r="370" spans="1:26" s="417" customFormat="1" ht="15" customHeight="1" x14ac:dyDescent="0.3">
      <c r="A370" s="418">
        <v>495477</v>
      </c>
      <c r="C370" s="417" t="str">
        <f>CONCATENATE(H370,"-",J12)</f>
        <v>1700-grafit</v>
      </c>
      <c r="D370" s="418">
        <v>495477</v>
      </c>
      <c r="E370" s="419" t="str">
        <f>+VLOOKUP(A370,cennik!A:G,2,FALSE)</f>
        <v>SEVROLL 06039 listwa pozioma górna 1,7m grafit</v>
      </c>
      <c r="F370" s="419" t="str">
        <f>+VLOOKUP(A370,cennik!A:B,2,FALSE)</f>
        <v>SEVROLL 06039 listwa pozioma górna 1,7m grafit</v>
      </c>
      <c r="H370" s="417">
        <v>1700</v>
      </c>
      <c r="I370" s="417" t="str">
        <f>CONCATENATE(H370,"-",J12)</f>
        <v>1700-grafit</v>
      </c>
      <c r="Z370" s="1" t="b">
        <f t="shared" si="8"/>
        <v>1</v>
      </c>
    </row>
    <row r="371" spans="1:26" s="417" customFormat="1" ht="15" customHeight="1" x14ac:dyDescent="0.3">
      <c r="A371" s="418">
        <v>495616</v>
      </c>
      <c r="C371" s="417" t="str">
        <f>CONCATENATE(H371,"-",J12)</f>
        <v>2350-grafit</v>
      </c>
      <c r="D371" s="418">
        <v>495616</v>
      </c>
      <c r="E371" s="419" t="str">
        <f>+VLOOKUP(A371,cennik!A:G,2,FALSE)</f>
        <v>SEVROLL 06040 listwa pozioma górna 2,35m grafit</v>
      </c>
      <c r="F371" s="419" t="str">
        <f>+VLOOKUP(A371,cennik!A:B,2,FALSE)</f>
        <v>SEVROLL 06040 listwa pozioma górna 2,35m grafit</v>
      </c>
      <c r="H371" s="417">
        <v>2350</v>
      </c>
      <c r="I371" s="417" t="str">
        <f>CONCATENATE(H371,"-",J12)</f>
        <v>2350-grafit</v>
      </c>
      <c r="Z371" s="1" t="b">
        <f t="shared" si="8"/>
        <v>1</v>
      </c>
    </row>
    <row r="372" spans="1:26" s="417" customFormat="1" ht="15" customHeight="1" x14ac:dyDescent="0.3">
      <c r="A372" s="418">
        <v>495617</v>
      </c>
      <c r="C372" s="417" t="str">
        <f>CONCATENATE(H372,"-",J12)</f>
        <v>3000-grafit</v>
      </c>
      <c r="D372" s="418">
        <v>495617</v>
      </c>
      <c r="E372" s="419" t="str">
        <f>+VLOOKUP(A372,cennik!A:G,2,FALSE)</f>
        <v>SEVROLL 05966 listwa pozioma górna 3m grafit</v>
      </c>
      <c r="F372" s="419" t="str">
        <f>+VLOOKUP(A372,cennik!A:B,2,FALSE)</f>
        <v>SEVROLL 05966 listwa pozioma górna 3m grafit</v>
      </c>
      <c r="H372" s="417">
        <v>3000</v>
      </c>
      <c r="I372" s="417" t="str">
        <f>CONCATENATE(H372,"-",J12)</f>
        <v>3000-grafit</v>
      </c>
      <c r="Z372" s="1" t="b">
        <f t="shared" si="8"/>
        <v>1</v>
      </c>
    </row>
    <row r="373" spans="1:26" s="417" customFormat="1" ht="15" customHeight="1" x14ac:dyDescent="0.3">
      <c r="A373" s="418">
        <v>497670</v>
      </c>
      <c r="C373" s="417" t="str">
        <f>CONCATENATE(H373,"-",J18)</f>
        <v>1700-biały mat</v>
      </c>
      <c r="D373" s="418">
        <v>497670</v>
      </c>
      <c r="E373" s="419" t="str">
        <f>+VLOOKUP(A373,cennik!A:G,2,FALSE)</f>
        <v>SEVROLL 05942 listwa pozioma górna 1,7m biały mat</v>
      </c>
      <c r="F373" s="419" t="str">
        <f>+VLOOKUP(A373,cennik!A:B,2,FALSE)</f>
        <v>SEVROLL 05942 listwa pozioma górna 1,7m biały mat</v>
      </c>
      <c r="H373" s="417">
        <v>1700</v>
      </c>
      <c r="I373" s="417" t="str">
        <f>CONCATENATE(H373,"-",J18)</f>
        <v>1700-biały mat</v>
      </c>
      <c r="Z373" s="1"/>
    </row>
    <row r="374" spans="1:26" s="417" customFormat="1" ht="15" customHeight="1" x14ac:dyDescent="0.3">
      <c r="A374" s="418">
        <v>497672</v>
      </c>
      <c r="C374" s="417" t="str">
        <f>CONCATENATE(H374,"-",J18)</f>
        <v>2350-biały mat</v>
      </c>
      <c r="D374" s="418">
        <v>497672</v>
      </c>
      <c r="E374" s="419" t="str">
        <f>+VLOOKUP(A374,cennik!A:G,2,FALSE)</f>
        <v>SEVROLL 05943 listwa pozioma górna 2,35m biały mat</v>
      </c>
      <c r="F374" s="419" t="str">
        <f>+VLOOKUP(A374,cennik!A:B,2,FALSE)</f>
        <v>SEVROLL 05943 listwa pozioma górna 2,35m biały mat</v>
      </c>
      <c r="H374" s="417">
        <v>2350</v>
      </c>
      <c r="I374" s="417" t="str">
        <f>CONCATENATE(H374,"-",J18)</f>
        <v>2350-biały mat</v>
      </c>
      <c r="Z374" s="1"/>
    </row>
    <row r="375" spans="1:26" s="417" customFormat="1" ht="15" customHeight="1" x14ac:dyDescent="0.3">
      <c r="A375" s="418">
        <v>497673</v>
      </c>
      <c r="C375" s="417" t="str">
        <f>CONCATENATE(H375,"-",J18)</f>
        <v>3000-biały mat</v>
      </c>
      <c r="D375" s="418">
        <v>497673</v>
      </c>
      <c r="E375" s="419" t="str">
        <f>+VLOOKUP(A375,cennik!A:G,2,FALSE)</f>
        <v>SEVROLL listwa pozioma górna 3m biały mat</v>
      </c>
      <c r="F375" s="419" t="str">
        <f>+VLOOKUP(A375,cennik!A:B,2,FALSE)</f>
        <v>SEVROLL listwa pozioma górna 3m biały mat</v>
      </c>
      <c r="H375" s="417">
        <v>3000</v>
      </c>
      <c r="I375" s="417" t="str">
        <f>CONCATENATE(H375,"-",J18)</f>
        <v>3000-biały mat</v>
      </c>
      <c r="Z375" s="1"/>
    </row>
    <row r="376" spans="1:26" s="417" customFormat="1" ht="15" customHeight="1" x14ac:dyDescent="0.3">
      <c r="A376" s="417">
        <v>422043</v>
      </c>
      <c r="C376" s="417" t="str">
        <f>CONCATENATE(H376,"-",J17)</f>
        <v>1700- czarny mat</v>
      </c>
      <c r="D376" s="417">
        <v>422043</v>
      </c>
      <c r="E376" s="419" t="str">
        <f>+VLOOKUP(A376,cennik!A:G,2,FALSE)</f>
        <v>SEVROLL listwa pozioma górna 1,7m czarny mat</v>
      </c>
      <c r="F376" s="419" t="str">
        <f>+VLOOKUP(A376,cennik!A:B,2,FALSE)</f>
        <v>SEVROLL listwa pozioma górna 1,7m czarny mat</v>
      </c>
      <c r="H376" s="417">
        <v>1700</v>
      </c>
      <c r="I376" s="417" t="str">
        <f>CONCATENATE(H376,"-",J17)</f>
        <v>1700- czarny mat</v>
      </c>
      <c r="Z376" s="1" t="b">
        <f t="shared" si="8"/>
        <v>1</v>
      </c>
    </row>
    <row r="377" spans="1:26" s="417" customFormat="1" ht="15" customHeight="1" x14ac:dyDescent="0.3">
      <c r="A377" s="417">
        <v>452608</v>
      </c>
      <c r="C377" s="417" t="str">
        <f>CONCATENATE(H377,"-",J17)</f>
        <v>2350- czarny mat</v>
      </c>
      <c r="D377" s="417">
        <v>452608</v>
      </c>
      <c r="E377" s="419" t="str">
        <f>+VLOOKUP(A377,cennik!A:G,2,FALSE)</f>
        <v>SEVROLL listwa pozioma górna 2,35m czarny mat</v>
      </c>
      <c r="F377" s="419" t="str">
        <f>+VLOOKUP(A377,cennik!A:B,2,FALSE)</f>
        <v>SEVROLL listwa pozioma górna 2,35m czarny mat</v>
      </c>
      <c r="H377" s="417">
        <v>2350</v>
      </c>
      <c r="I377" s="417" t="str">
        <f>CONCATENATE(H377,"-",J17)</f>
        <v>2350- czarny mat</v>
      </c>
      <c r="Z377" s="1" t="b">
        <f t="shared" si="8"/>
        <v>1</v>
      </c>
    </row>
    <row r="378" spans="1:26" ht="15" customHeight="1" x14ac:dyDescent="0.3">
      <c r="A378" s="418">
        <v>452734</v>
      </c>
      <c r="B378" s="417"/>
      <c r="C378" s="417" t="str">
        <f>CONCATENATE(H378,"-",J17)</f>
        <v>3000- czarny mat</v>
      </c>
      <c r="D378" s="418">
        <v>452734</v>
      </c>
      <c r="E378" s="419" t="str">
        <f>+VLOOKUP(A378,cennik!A:G,2,FALSE)</f>
        <v>SEVROLL listwa pozioma górna 3m czarny mat</v>
      </c>
      <c r="F378" s="419" t="str">
        <f>+VLOOKUP(A378,cennik!A:B,2,FALSE)</f>
        <v>SEVROLL listwa pozioma górna 3m czarny mat</v>
      </c>
      <c r="G378" s="417"/>
      <c r="H378" s="417">
        <v>3000</v>
      </c>
      <c r="I378" s="417" t="str">
        <f>CONCATENATE(H378,"-",J17)</f>
        <v>3000- czarny mat</v>
      </c>
      <c r="Z378" s="1" t="b">
        <f t="shared" si="8"/>
        <v>1</v>
      </c>
    </row>
    <row r="379" spans="1:26" ht="15" customHeight="1" x14ac:dyDescent="0.3">
      <c r="A379" s="196">
        <v>526496</v>
      </c>
      <c r="B379" s="417"/>
      <c r="C379" s="417" t="str">
        <f>CONCATENATE(H379,"-",J22)</f>
        <v>1700-czarny lakier strukturalny</v>
      </c>
      <c r="D379" s="196">
        <v>526496</v>
      </c>
      <c r="E379" s="419" t="str">
        <f>+VLOOKUP(A379,cennik!A:G,2,FALSE)</f>
        <v>SEVROLL 06441 listwa pozioma górna 1,7m czarny lakier strukturalny</v>
      </c>
      <c r="F379" s="419" t="str">
        <f>+VLOOKUP(A379,cennik!A:B,2,FALSE)</f>
        <v>SEVROLL 06441 listwa pozioma górna 1,7m czarny lakier strukturalny</v>
      </c>
      <c r="G379" s="417"/>
      <c r="H379" s="417">
        <v>1700</v>
      </c>
      <c r="I379" s="417" t="str">
        <f>CONCATENATE(H379,"-",J22)</f>
        <v>1700-czarny lakier strukturalny</v>
      </c>
    </row>
    <row r="380" spans="1:26" ht="15" customHeight="1" x14ac:dyDescent="0.3">
      <c r="A380" s="196">
        <v>526497</v>
      </c>
      <c r="B380" s="417"/>
      <c r="C380" s="417" t="str">
        <f>CONCATENATE(H380,"-",J22)</f>
        <v>2350-czarny lakier strukturalny</v>
      </c>
      <c r="D380" s="196">
        <v>526497</v>
      </c>
      <c r="E380" s="419" t="str">
        <f>+VLOOKUP(A380,cennik!A:G,2,FALSE)</f>
        <v>SEVROLL 06442 listwa pozioma górna 2,35m czarny lakier strukturalny</v>
      </c>
      <c r="F380" s="419" t="str">
        <f>+VLOOKUP(A380,cennik!A:B,2,FALSE)</f>
        <v>SEVROLL 06442 listwa pozioma górna 2,35m czarny lakier strukturalny</v>
      </c>
      <c r="G380" s="417"/>
      <c r="H380" s="417">
        <v>2350</v>
      </c>
      <c r="I380" s="417" t="str">
        <f>CONCATENATE(H380,"-",J22)</f>
        <v>2350-czarny lakier strukturalny</v>
      </c>
    </row>
    <row r="381" spans="1:26" ht="15" customHeight="1" x14ac:dyDescent="0.3">
      <c r="A381" s="196">
        <v>526500</v>
      </c>
      <c r="B381" s="417"/>
      <c r="C381" s="417" t="str">
        <f>CONCATENATE(H381,"-",J22)</f>
        <v>3000-czarny lakier strukturalny</v>
      </c>
      <c r="D381" s="196">
        <v>526500</v>
      </c>
      <c r="E381" s="419" t="str">
        <f>+VLOOKUP(A381,cennik!A:G,2,FALSE)</f>
        <v>SEVROLL 06124 listwa pozioma górna 3m czarny lakier strukturalny</v>
      </c>
      <c r="F381" s="419" t="str">
        <f>+VLOOKUP(A381,cennik!A:B,2,FALSE)</f>
        <v>SEVROLL 06124 listwa pozioma górna 3m czarny lakier strukturalny</v>
      </c>
      <c r="G381" s="417"/>
      <c r="H381" s="417">
        <v>3000</v>
      </c>
      <c r="I381" s="417" t="str">
        <f>CONCATENATE(H381,"-",J22)</f>
        <v>3000-czarny lakier strukturalny</v>
      </c>
    </row>
    <row r="382" spans="1:26" ht="15" customHeight="1" x14ac:dyDescent="0.3">
      <c r="A382" s="2">
        <v>452735</v>
      </c>
      <c r="C382" s="1" t="str">
        <f>CONCATENATE(H382,"-",J17)</f>
        <v>3000- czarny mat</v>
      </c>
      <c r="D382" s="2">
        <v>452735</v>
      </c>
      <c r="E382" s="429" t="str">
        <f>+VLOOKUP(A382,cennik!A:G,2,FALSE)</f>
        <v>SEVROLL Pax tor dolny 3m czarny mat</v>
      </c>
      <c r="F382" s="48" t="str">
        <f>+VLOOKUP(A382,cennik!A:B,2,FALSE)</f>
        <v>SEVROLL Pax tor dolny 3m czarny mat</v>
      </c>
      <c r="H382" s="1">
        <v>3000</v>
      </c>
      <c r="I382" s="1" t="str">
        <f>CONCATENATE(H382,"-",J17)</f>
        <v>3000- czarny mat</v>
      </c>
      <c r="Z382" s="1" t="b">
        <f t="shared" si="8"/>
        <v>1</v>
      </c>
    </row>
    <row r="383" spans="1:26" ht="15" customHeight="1" x14ac:dyDescent="0.3">
      <c r="A383" s="49"/>
      <c r="B383" s="162" t="s">
        <v>949</v>
      </c>
      <c r="D383" s="49"/>
      <c r="E383" s="48"/>
      <c r="F383" s="48"/>
      <c r="G383" s="1" t="e">
        <f>+VLOOKUP(A383,#REF!,4,FALSE)</f>
        <v>#REF!</v>
      </c>
      <c r="H383" s="1" t="s">
        <v>68</v>
      </c>
      <c r="Z383" s="1" t="b">
        <f t="shared" si="8"/>
        <v>1</v>
      </c>
    </row>
    <row r="384" spans="1:26" ht="15" customHeight="1" x14ac:dyDescent="0.3">
      <c r="A384" s="49">
        <v>224146</v>
      </c>
      <c r="B384" s="163"/>
      <c r="C384" s="1" t="str">
        <f>CONCATENATE(H384,"-",J4)</f>
        <v>1500-srebrny</v>
      </c>
      <c r="D384" s="49">
        <v>224146</v>
      </c>
      <c r="E384" s="48" t="str">
        <f>+VLOOKUP(A384,cennik!A:G,2,FALSE)</f>
        <v>SEVROLL tor dolny Simple/Blue 1,5m (do płyty laminowanej 10mm) srebrny</v>
      </c>
      <c r="F384" s="48" t="str">
        <f>+VLOOKUP(A384,cennik!A:B,2,FALSE)</f>
        <v>SEVROLL tor dolny Simple/Blue 1,5m (do płyty laminowanej 10mm) srebrny</v>
      </c>
      <c r="H384" s="1">
        <v>1500</v>
      </c>
      <c r="I384" s="1" t="str">
        <f>CONCATENATE(H384,"-",J4)</f>
        <v>1500-srebrny</v>
      </c>
      <c r="Z384" s="1" t="b">
        <f t="shared" si="8"/>
        <v>1</v>
      </c>
    </row>
    <row r="385" spans="1:26" ht="15" customHeight="1" x14ac:dyDescent="0.3">
      <c r="A385" s="49">
        <v>224147</v>
      </c>
      <c r="B385" s="163"/>
      <c r="C385" s="1" t="str">
        <f>CONCATENATE(H385,"-",J4)</f>
        <v>2000-srebrny</v>
      </c>
      <c r="D385" s="49">
        <v>224147</v>
      </c>
      <c r="E385" s="48" t="str">
        <f>+VLOOKUP(A385,cennik!A:G,2,FALSE)</f>
        <v>SEVROLL tor dolny Simple/Blue 2m (do płyty laminowanej 10mm) srebrny</v>
      </c>
      <c r="F385" s="48" t="str">
        <f>+VLOOKUP(A385,cennik!A:B,2,FALSE)</f>
        <v>SEVROLL tor dolny Simple/Blue 2m (do płyty laminowanej 10mm) srebrny</v>
      </c>
      <c r="H385" s="1">
        <v>2000</v>
      </c>
      <c r="I385" s="1" t="str">
        <f>CONCATENATE(H385,"-",J4)</f>
        <v>2000-srebrny</v>
      </c>
      <c r="Z385" s="1" t="b">
        <f t="shared" si="8"/>
        <v>1</v>
      </c>
    </row>
    <row r="386" spans="1:26" ht="15" customHeight="1" x14ac:dyDescent="0.3">
      <c r="A386" s="49">
        <v>222573</v>
      </c>
      <c r="B386" s="163"/>
      <c r="C386" s="1" t="str">
        <f>CONCATENATE(H386,"-",J4)</f>
        <v>3000-srebrny</v>
      </c>
      <c r="D386" s="49">
        <v>222573</v>
      </c>
      <c r="E386" s="48" t="str">
        <f>+VLOOKUP(A386,cennik!A:G,2,FALSE)</f>
        <v>SEVROLL tor dolny Simple/Blue 3m (do płyty laminowanej 10mm) srebrny</v>
      </c>
      <c r="F386" s="48" t="str">
        <f>+VLOOKUP(A386,cennik!A:B,2,FALSE)</f>
        <v>SEVROLL tor dolny Simple/Blue 3m (do płyty laminowanej 10mm) srebrny</v>
      </c>
      <c r="H386" s="1">
        <v>3000</v>
      </c>
      <c r="I386" s="1" t="str">
        <f>CONCATENATE(H386,"-",J4)</f>
        <v>3000-srebrny</v>
      </c>
      <c r="Z386" s="1" t="b">
        <f t="shared" si="8"/>
        <v>1</v>
      </c>
    </row>
    <row r="387" spans="1:26" ht="15" customHeight="1" x14ac:dyDescent="0.3">
      <c r="A387" s="49">
        <v>224149</v>
      </c>
      <c r="B387" s="163"/>
      <c r="C387" s="1" t="str">
        <f>CONCATENATE(H387,"-",J6)</f>
        <v>1500-j.brąz</v>
      </c>
      <c r="D387" s="49">
        <v>224149</v>
      </c>
      <c r="E387" s="48" t="str">
        <f>+VLOOKUP(A387,cennik!A:G,2,FALSE)</f>
        <v>SEVROLL tor górny Simple/Blue 1,5 m (do płyty laminowanej 10 mm) oliwka</v>
      </c>
      <c r="F387" s="48" t="str">
        <f>+VLOOKUP(A387,cennik!A:B,2,FALSE)</f>
        <v>SEVROLL tor górny Simple/Blue 1,5 m (do płyty laminowanej 10 mm) oliwka</v>
      </c>
      <c r="H387" s="1">
        <v>1500</v>
      </c>
      <c r="I387" s="1" t="str">
        <f>CONCATENATE(H387,"-",J6)</f>
        <v>1500-j.brąz</v>
      </c>
      <c r="Z387" s="1" t="b">
        <f t="shared" si="8"/>
        <v>1</v>
      </c>
    </row>
    <row r="388" spans="1:26" ht="15" customHeight="1" x14ac:dyDescent="0.3">
      <c r="A388" s="49">
        <v>224150</v>
      </c>
      <c r="B388" s="163"/>
      <c r="C388" s="1" t="str">
        <f>CONCATENATE(H388,"-",J6)</f>
        <v>2000-j.brąz</v>
      </c>
      <c r="D388" s="49">
        <v>224150</v>
      </c>
      <c r="E388" s="48" t="str">
        <f>+VLOOKUP(A388,cennik!A:G,2,FALSE)</f>
        <v>SEVROLL tor górny Simple/Blue 2 m (do płyty laminowanej 10 mm) oliwka</v>
      </c>
      <c r="F388" s="48" t="str">
        <f>+VLOOKUP(A388,cennik!A:B,2,FALSE)</f>
        <v>SEVROLL tor górny Simple/Blue 2 m (do płyty laminowanej 10 mm) oliwka</v>
      </c>
      <c r="H388" s="1">
        <v>2000</v>
      </c>
      <c r="I388" s="1" t="str">
        <f>CONCATENATE(H388,"-",J6)</f>
        <v>2000-j.brąz</v>
      </c>
      <c r="Z388" s="1" t="b">
        <f t="shared" si="8"/>
        <v>1</v>
      </c>
    </row>
    <row r="389" spans="1:26" ht="15" customHeight="1" x14ac:dyDescent="0.3">
      <c r="A389" s="49">
        <v>223563</v>
      </c>
      <c r="B389" s="163"/>
      <c r="C389" s="1" t="str">
        <f>CONCATENATE(H389,"-",J6)</f>
        <v>3000-j.brąz</v>
      </c>
      <c r="D389" s="49">
        <v>223563</v>
      </c>
      <c r="E389" s="48" t="str">
        <f>+VLOOKUP(A389,cennik!A:G,2,FALSE)</f>
        <v>SEVROLL listwa poz. górna Simple/Blue 3m (do płyty laminowanej 10mm) jasny brąz</v>
      </c>
      <c r="F389" s="48" t="str">
        <f>+VLOOKUP(A389,cennik!A:B,2,FALSE)</f>
        <v>SEVROLL listwa poz. górna Simple/Blue 3m (do płyty laminowanej 10mm) jasny brąz</v>
      </c>
      <c r="H389" s="1">
        <v>3000</v>
      </c>
      <c r="I389" s="1" t="str">
        <f>CONCATENATE(H389,"-",J6)</f>
        <v>3000-j.brąz</v>
      </c>
      <c r="Z389" s="1" t="b">
        <f t="shared" si="8"/>
        <v>1</v>
      </c>
    </row>
    <row r="390" spans="1:26" ht="15" customHeight="1" x14ac:dyDescent="0.3">
      <c r="A390" s="49"/>
      <c r="B390" s="162" t="s">
        <v>950</v>
      </c>
      <c r="D390" s="49"/>
      <c r="E390" s="48"/>
      <c r="F390" s="48"/>
      <c r="Z390" s="1" t="b">
        <f t="shared" si="8"/>
        <v>1</v>
      </c>
    </row>
    <row r="391" spans="1:26" ht="15" customHeight="1" x14ac:dyDescent="0.3">
      <c r="A391" s="49">
        <v>224131</v>
      </c>
      <c r="B391" s="163"/>
      <c r="C391" s="1" t="str">
        <f>CONCATENATE(H391,"-",J4)</f>
        <v>1500-srebrny</v>
      </c>
      <c r="D391" s="49">
        <v>224131</v>
      </c>
      <c r="E391" s="48" t="str">
        <f>+VLOOKUP(A391,cennik!A:G,2,FALSE)</f>
        <v>SEVROLL tor dolny Simple/Blue 1,5m (do płyty laminowanej 18mm) srebrny</v>
      </c>
      <c r="F391" s="48" t="str">
        <f>+VLOOKUP(A391,cennik!A:B,2,FALSE)</f>
        <v>SEVROLL tor dolny Simple/Blue 1,5m (do płyty laminowanej 18mm) srebrny</v>
      </c>
      <c r="H391" s="1">
        <v>1500</v>
      </c>
      <c r="I391" s="1" t="str">
        <f>CONCATENATE(H391,"-",J4)</f>
        <v>1500-srebrny</v>
      </c>
      <c r="Z391" s="1" t="b">
        <f t="shared" si="8"/>
        <v>1</v>
      </c>
    </row>
    <row r="392" spans="1:26" ht="15" customHeight="1" x14ac:dyDescent="0.3">
      <c r="A392" s="49">
        <v>224132</v>
      </c>
      <c r="B392" s="163"/>
      <c r="C392" s="1" t="str">
        <f>CONCATENATE(H392,"-",J4)</f>
        <v>2000-srebrny</v>
      </c>
      <c r="D392" s="49">
        <v>224132</v>
      </c>
      <c r="E392" s="48" t="str">
        <f>+VLOOKUP(A392,cennik!A:G,2,FALSE)</f>
        <v>SEVROLL tor górny Simple/Blue 2m (do płyty laminowanej 18mm) srebrny</v>
      </c>
      <c r="F392" s="48" t="str">
        <f>+VLOOKUP(A392,cennik!A:B,2,FALSE)</f>
        <v>SEVROLL tor górny Simple/Blue 2m (do płyty laminowanej 18mm) srebrny</v>
      </c>
      <c r="H392" s="1">
        <v>2000</v>
      </c>
      <c r="I392" s="1" t="str">
        <f>CONCATENATE(H392,"-",J4)</f>
        <v>2000-srebrny</v>
      </c>
      <c r="Z392" s="1" t="b">
        <f t="shared" si="8"/>
        <v>1</v>
      </c>
    </row>
    <row r="393" spans="1:26" ht="15" customHeight="1" x14ac:dyDescent="0.3">
      <c r="A393" s="49">
        <v>222571</v>
      </c>
      <c r="B393" s="163"/>
      <c r="C393" s="1" t="str">
        <f>CONCATENATE(H393,"-",J4)</f>
        <v>3000-srebrny</v>
      </c>
      <c r="D393" s="49">
        <v>222571</v>
      </c>
      <c r="E393" s="48" t="str">
        <f>+VLOOKUP(A393,cennik!A:G,2,FALSE)</f>
        <v>SEVROLL tor dolny Simple/Blue 3m (do płyty laminowanej 18mm) srebrny</v>
      </c>
      <c r="F393" s="48" t="str">
        <f>+VLOOKUP(A393,cennik!A:B,2,FALSE)</f>
        <v>SEVROLL tor dolny Simple/Blue 3m (do płyty laminowanej 18mm) srebrny</v>
      </c>
      <c r="H393" s="1">
        <v>3000</v>
      </c>
      <c r="I393" s="1" t="str">
        <f>CONCATENATE(H393,"-",J4)</f>
        <v>3000-srebrny</v>
      </c>
      <c r="Z393" s="1" t="b">
        <f t="shared" si="8"/>
        <v>1</v>
      </c>
    </row>
    <row r="394" spans="1:26" ht="15" customHeight="1" x14ac:dyDescent="0.3">
      <c r="A394" s="2">
        <v>488237</v>
      </c>
      <c r="B394" s="445"/>
      <c r="C394" s="1" t="str">
        <f>CONCATENATE(H394,"-",J17)</f>
        <v>1500- czarny mat</v>
      </c>
      <c r="D394" s="2">
        <v>488237</v>
      </c>
      <c r="E394" s="48" t="str">
        <f>+VLOOKUP(A394,cennik!A:G,2,FALSE)</f>
        <v>SEVROLL 05749 górna listwa prowadząca Simple/Blue 2m (do lam. 18mm) czarny mat</v>
      </c>
      <c r="F394" s="48" t="str">
        <f>+VLOOKUP(A394,cennik!A:B,2,FALSE)</f>
        <v>SEVROLL 05749 górna listwa prowadząca Simple/Blue 2m (do lam. 18mm) czarny mat</v>
      </c>
      <c r="H394" s="1">
        <v>1500</v>
      </c>
      <c r="I394" s="1" t="str">
        <f>CONCATENATE(H394,"-",J17)</f>
        <v>1500- czarny mat</v>
      </c>
      <c r="Z394" s="1" t="b">
        <f t="shared" si="8"/>
        <v>1</v>
      </c>
    </row>
    <row r="395" spans="1:26" ht="15" customHeight="1" x14ac:dyDescent="0.3">
      <c r="A395" s="2">
        <v>488237</v>
      </c>
      <c r="B395" s="445"/>
      <c r="C395" s="1" t="str">
        <f>CONCATENATE(H395,"-",J17)</f>
        <v>2000- czarny mat</v>
      </c>
      <c r="D395" s="2">
        <v>488237</v>
      </c>
      <c r="E395" s="48" t="str">
        <f>+VLOOKUP(A395,cennik!A:G,2,FALSE)</f>
        <v>SEVROLL 05749 górna listwa prowadząca Simple/Blue 2m (do lam. 18mm) czarny mat</v>
      </c>
      <c r="F395" s="48" t="str">
        <f>+VLOOKUP(A395,cennik!A:B,2,FALSE)</f>
        <v>SEVROLL 05749 górna listwa prowadząca Simple/Blue 2m (do lam. 18mm) czarny mat</v>
      </c>
      <c r="H395" s="1">
        <v>2000</v>
      </c>
      <c r="I395" s="1" t="str">
        <f>CONCATENATE(H395,"-",J17)</f>
        <v>2000- czarny mat</v>
      </c>
      <c r="Z395" s="1" t="b">
        <f t="shared" si="8"/>
        <v>1</v>
      </c>
    </row>
    <row r="396" spans="1:26" ht="15" customHeight="1" x14ac:dyDescent="0.3">
      <c r="A396" s="2">
        <v>488238</v>
      </c>
      <c r="B396" s="445"/>
      <c r="C396" s="1" t="str">
        <f>CONCATENATE(H396,"-",J17)</f>
        <v>3000- czarny mat</v>
      </c>
      <c r="D396" s="2">
        <v>488238</v>
      </c>
      <c r="E396" s="48" t="str">
        <f>+VLOOKUP(A396,cennik!A:G,2,FALSE)</f>
        <v>SEVROLL 05750 tor dolny Simple/Blue 3m (do płyty 18mm) czarny mat</v>
      </c>
      <c r="F396" s="48" t="str">
        <f>+VLOOKUP(A396,cennik!A:B,2,FALSE)</f>
        <v>SEVROLL 05750 tor dolny Simple/Blue 3m (do płyty 18mm) czarny mat</v>
      </c>
      <c r="H396" s="1">
        <v>3000</v>
      </c>
      <c r="I396" s="1" t="str">
        <f>CONCATENATE(H396,"-",J17)</f>
        <v>3000- czarny mat</v>
      </c>
      <c r="Z396" s="1" t="b">
        <f t="shared" si="8"/>
        <v>1</v>
      </c>
    </row>
    <row r="397" spans="1:26" ht="15" customHeight="1" x14ac:dyDescent="0.3">
      <c r="A397" s="434">
        <v>394267</v>
      </c>
      <c r="B397" s="434"/>
      <c r="C397" s="434" t="str">
        <f>CONCATENATE(H397,"-",J15)</f>
        <v>1500- biały połysk</v>
      </c>
      <c r="D397" s="434">
        <v>394267</v>
      </c>
      <c r="E397" s="432" t="str">
        <f>+VLOOKUP(A397,cennik!A:G,2,FALSE)</f>
        <v>SEVROLL górna listwa prowadząca Simple/Blue 2m (do lam. 18mm)biały błyszczący</v>
      </c>
      <c r="F397" s="432" t="str">
        <f>+VLOOKUP(A397,cennik!A:B,2,FALSE)</f>
        <v>SEVROLL górna listwa prowadząca Simple/Blue 2m (do lam. 18mm)biały błyszczący</v>
      </c>
      <c r="G397" s="434"/>
      <c r="H397" s="434">
        <v>1500</v>
      </c>
      <c r="I397" s="434" t="str">
        <f>CONCATENATE(H397,"-",J15)</f>
        <v>1500- biały połysk</v>
      </c>
      <c r="Z397" s="1" t="b">
        <f t="shared" si="8"/>
        <v>1</v>
      </c>
    </row>
    <row r="398" spans="1:26" ht="15" customHeight="1" x14ac:dyDescent="0.3">
      <c r="A398" s="434">
        <v>394267</v>
      </c>
      <c r="B398" s="434"/>
      <c r="C398" s="434" t="str">
        <f>CONCATENATE(H398,"-",J15)</f>
        <v>2000- biały połysk</v>
      </c>
      <c r="D398" s="434">
        <v>394267</v>
      </c>
      <c r="E398" s="432" t="str">
        <f>+VLOOKUP(A398,cennik!A:G,2,FALSE)</f>
        <v>SEVROLL górna listwa prowadząca Simple/Blue 2m (do lam. 18mm)biały błyszczący</v>
      </c>
      <c r="F398" s="432" t="str">
        <f>+VLOOKUP(A398,cennik!A:B,2,FALSE)</f>
        <v>SEVROLL górna listwa prowadząca Simple/Blue 2m (do lam. 18mm)biały błyszczący</v>
      </c>
      <c r="G398" s="434"/>
      <c r="H398" s="434">
        <v>2000</v>
      </c>
      <c r="I398" s="434" t="str">
        <f>CONCATENATE(H398,"-",J15)</f>
        <v>2000- biały połysk</v>
      </c>
      <c r="Z398" s="1" t="b">
        <f t="shared" si="8"/>
        <v>1</v>
      </c>
    </row>
    <row r="399" spans="1:26" ht="15" customHeight="1" x14ac:dyDescent="0.3">
      <c r="A399" s="434">
        <v>394270</v>
      </c>
      <c r="B399" s="434"/>
      <c r="C399" s="434" t="str">
        <f>CONCATENATE(H399,"-",J15)</f>
        <v>3000- biały połysk</v>
      </c>
      <c r="D399" s="434">
        <v>394270</v>
      </c>
      <c r="E399" s="432" t="str">
        <f>+VLOOKUP(A399,cennik!A:G,2,FALSE)</f>
        <v>SEVROLL tor dolny Simple/Blue 3m (do płyty laminowanej 18mm) srebrny</v>
      </c>
      <c r="F399" s="432" t="str">
        <f>+VLOOKUP(A399,cennik!A:B,2,FALSE)</f>
        <v>SEVROLL tor dolny Simple/Blue 3m (do płyty laminowanej 18mm) srebrny</v>
      </c>
      <c r="G399" s="434"/>
      <c r="H399" s="434">
        <v>3000</v>
      </c>
      <c r="I399" s="434" t="str">
        <f>CONCATENATE(H399,"-",J15)</f>
        <v>3000- biały połysk</v>
      </c>
      <c r="Z399" s="1" t="b">
        <f t="shared" si="8"/>
        <v>1</v>
      </c>
    </row>
    <row r="400" spans="1:26" ht="15" customHeight="1" x14ac:dyDescent="0.3">
      <c r="A400" s="49">
        <v>224135</v>
      </c>
      <c r="B400" s="163"/>
      <c r="C400" s="1" t="str">
        <f>CONCATENATE(H400,"-",J6)</f>
        <v>1500-j.brąz</v>
      </c>
      <c r="D400" s="49">
        <v>224135</v>
      </c>
      <c r="E400" s="48" t="str">
        <f>+VLOOKUP(A400,cennik!A:G,2,FALSE)</f>
        <v>SEVROLL listwa poz. górna Simple/Blue 2m (do płyty laminowanej 18mm) jasny brąz</v>
      </c>
      <c r="F400" s="48" t="str">
        <f>+VLOOKUP(A400,cennik!A:B,2,FALSE)</f>
        <v>SEVROLL listwa poz. górna Simple/Blue 2m (do płyty laminowanej 18mm) jasny brąz</v>
      </c>
      <c r="H400" s="1">
        <v>1500</v>
      </c>
      <c r="I400" s="1" t="str">
        <f>CONCATENATE(H400,"-",J6)</f>
        <v>1500-j.brąz</v>
      </c>
      <c r="Z400" s="1" t="b">
        <f t="shared" si="8"/>
        <v>1</v>
      </c>
    </row>
    <row r="401" spans="1:26" ht="15" customHeight="1" x14ac:dyDescent="0.3">
      <c r="A401" s="49">
        <v>224135</v>
      </c>
      <c r="B401" s="163"/>
      <c r="C401" s="1" t="str">
        <f>CONCATENATE(H401,"-",J6)</f>
        <v>2000-j.brąz</v>
      </c>
      <c r="D401" s="49">
        <v>224135</v>
      </c>
      <c r="E401" s="48" t="str">
        <f>+VLOOKUP(A401,cennik!A:G,2,FALSE)</f>
        <v>SEVROLL listwa poz. górna Simple/Blue 2m (do płyty laminowanej 18mm) jasny brąz</v>
      </c>
      <c r="F401" s="48" t="str">
        <f>+VLOOKUP(A401,cennik!A:B,2,FALSE)</f>
        <v>SEVROLL listwa poz. górna Simple/Blue 2m (do płyty laminowanej 18mm) jasny brąz</v>
      </c>
      <c r="H401" s="1">
        <v>2000</v>
      </c>
      <c r="I401" s="1" t="str">
        <f>CONCATENATE(H401,"-",J6)</f>
        <v>2000-j.brąz</v>
      </c>
      <c r="Z401" s="1" t="b">
        <f t="shared" si="8"/>
        <v>1</v>
      </c>
    </row>
    <row r="402" spans="1:26" ht="15" customHeight="1" x14ac:dyDescent="0.3">
      <c r="A402" s="49">
        <v>223561</v>
      </c>
      <c r="B402" s="163"/>
      <c r="C402" s="1" t="str">
        <f>CONCATENATE(H402,"-",J6)</f>
        <v>3000-j.brąz</v>
      </c>
      <c r="D402" s="49">
        <v>223561</v>
      </c>
      <c r="E402" s="48" t="str">
        <f>+VLOOKUP(A402,cennik!A:G,2,FALSE)</f>
        <v>SEVROLL listwa poz. górna Simple/Blue 3m (do płyty laminowanej 18mm) jasny brąz</v>
      </c>
      <c r="F402" s="48" t="str">
        <f>+VLOOKUP(A402,cennik!A:B,2,FALSE)</f>
        <v>SEVROLL listwa poz. górna Simple/Blue 3m (do płyty laminowanej 18mm) jasny brąz</v>
      </c>
      <c r="H402" s="1">
        <v>3000</v>
      </c>
      <c r="I402" s="1" t="str">
        <f>CONCATENATE(H402,"-",J6)</f>
        <v>3000-j.brąz</v>
      </c>
      <c r="Z402" s="1" t="b">
        <f t="shared" si="8"/>
        <v>1</v>
      </c>
    </row>
    <row r="403" spans="1:26" s="417" customFormat="1" ht="15" customHeight="1" x14ac:dyDescent="0.3">
      <c r="A403" s="49"/>
      <c r="B403" s="163"/>
      <c r="C403" s="1"/>
      <c r="D403" s="49"/>
      <c r="E403" s="48"/>
      <c r="F403" s="48"/>
      <c r="G403" s="1"/>
      <c r="H403" s="1"/>
      <c r="I403" s="1"/>
      <c r="Z403" s="1" t="b">
        <f t="shared" si="8"/>
        <v>1</v>
      </c>
    </row>
    <row r="404" spans="1:26" s="417" customFormat="1" ht="15" customHeight="1" x14ac:dyDescent="0.3">
      <c r="A404" s="49"/>
      <c r="B404" s="48"/>
      <c r="C404" s="1"/>
      <c r="D404" s="49"/>
      <c r="E404" s="48" t="e">
        <f>+VLOOKUP(A404,cennik!A:G,2,FALSE)</f>
        <v>#N/A</v>
      </c>
      <c r="F404" s="48" t="e">
        <f>+VLOOKUP(A404,cennik!A:B,2,FALSE)</f>
        <v>#N/A</v>
      </c>
      <c r="G404" s="1" t="e">
        <f>+VLOOKUP(A404,#REF!,4,FALSE)</f>
        <v>#REF!</v>
      </c>
      <c r="H404" s="1" t="s">
        <v>68</v>
      </c>
      <c r="I404" s="1"/>
      <c r="Z404" s="1" t="b">
        <f t="shared" si="8"/>
        <v>1</v>
      </c>
    </row>
    <row r="405" spans="1:26" s="417" customFormat="1" ht="15" customHeight="1" x14ac:dyDescent="0.3">
      <c r="A405" s="49"/>
      <c r="B405" s="48" t="s">
        <v>28</v>
      </c>
      <c r="C405" s="1"/>
      <c r="D405" s="49"/>
      <c r="E405" s="48" t="e">
        <f>+VLOOKUP(A405,cennik!A:G,2,FALSE)</f>
        <v>#N/A</v>
      </c>
      <c r="F405" s="48" t="e">
        <f>+VLOOKUP(A405,cennik!A:B,2,FALSE)</f>
        <v>#N/A</v>
      </c>
      <c r="G405" s="1" t="e">
        <f>+VLOOKUP(A405,#REF!,4,FALSE)</f>
        <v>#REF!</v>
      </c>
      <c r="H405" s="1" t="s">
        <v>68</v>
      </c>
      <c r="I405" s="1"/>
      <c r="Z405" s="1" t="b">
        <f t="shared" si="8"/>
        <v>1</v>
      </c>
    </row>
    <row r="406" spans="1:26" s="417" customFormat="1" ht="15" customHeight="1" x14ac:dyDescent="0.3">
      <c r="A406" s="421">
        <v>89228</v>
      </c>
      <c r="B406" s="419"/>
      <c r="C406" s="417" t="str">
        <f>CONCATENATE(H406,"-",J4)</f>
        <v>1700-srebrny</v>
      </c>
      <c r="D406" s="421">
        <v>89228</v>
      </c>
      <c r="E406" s="419" t="str">
        <f>+VLOOKUP(A406,cennik!A:G,2,FALSE)</f>
        <v>SEVROLL maskownica dolna 1,7m 10mm srebrny</v>
      </c>
      <c r="F406" s="419" t="str">
        <f>+VLOOKUP(A406,cennik!A:B,2,FALSE)</f>
        <v>SEVROLL maskownica dolna 1,7m 10mm srebrny</v>
      </c>
      <c r="G406" s="417" t="e">
        <f>+VLOOKUP(A406,#REF!,4,FALSE)</f>
        <v>#REF!</v>
      </c>
      <c r="H406" s="417" t="s">
        <v>464</v>
      </c>
      <c r="I406" s="417" t="str">
        <f>CONCATENATE(H406,"-",J4)</f>
        <v>1700-srebrny</v>
      </c>
      <c r="Z406" s="1" t="b">
        <f t="shared" si="8"/>
        <v>1</v>
      </c>
    </row>
    <row r="407" spans="1:26" s="417" customFormat="1" ht="15" customHeight="1" x14ac:dyDescent="0.3">
      <c r="A407" s="421">
        <v>89229</v>
      </c>
      <c r="B407" s="419"/>
      <c r="C407" s="417" t="str">
        <f>CONCATENATE(H407,"-",J6)</f>
        <v>1700-j.brąz</v>
      </c>
      <c r="D407" s="421">
        <v>89229</v>
      </c>
      <c r="E407" s="419" t="str">
        <f>+VLOOKUP(A407,cennik!A:G,2,FALSE)</f>
        <v>SEVROLL maskownica dolna 1,7m 10mm jasny brąz</v>
      </c>
      <c r="F407" s="419" t="str">
        <f>+VLOOKUP(A407,cennik!A:B,2,FALSE)</f>
        <v>SEVROLL maskownica dolna 1,7m 10mm jasny brąz</v>
      </c>
      <c r="G407" s="417" t="e">
        <f>+VLOOKUP(A407,#REF!,4,FALSE)</f>
        <v>#REF!</v>
      </c>
      <c r="H407" s="417" t="s">
        <v>464</v>
      </c>
      <c r="I407" s="417" t="str">
        <f>CONCATENATE(H407,"-",J6)</f>
        <v>1700-j.brąz</v>
      </c>
      <c r="Z407" s="1" t="b">
        <f t="shared" si="8"/>
        <v>1</v>
      </c>
    </row>
    <row r="408" spans="1:26" s="417" customFormat="1" ht="15" customHeight="1" x14ac:dyDescent="0.3">
      <c r="A408" s="421">
        <v>542867</v>
      </c>
      <c r="B408" s="419"/>
      <c r="C408" s="417" t="str">
        <f>CONCATENATE(H408,"-",J5)</f>
        <v>1700-złoty/mosiądz</v>
      </c>
      <c r="D408" s="421">
        <v>542867</v>
      </c>
      <c r="E408" s="419" t="str">
        <f>+VLOOKUP(A408,cennik!A:G,2,FALSE)</f>
        <v>SEVROLL 06810 Gemini 10 listwa pozioma dolna 1,7m 10mm złoty/mosiądz</v>
      </c>
      <c r="F408" s="419" t="str">
        <f>+VLOOKUP(A408,cennik!A:B,2,FALSE)</f>
        <v>SEVROLL 06810 Gemini 10 listwa pozioma dolna 1,7m 10mm złoty/mosiądz</v>
      </c>
      <c r="G408" s="417" t="e">
        <f>+VLOOKUP(A408,#REF!,4,FALSE)</f>
        <v>#REF!</v>
      </c>
      <c r="H408" s="417" t="s">
        <v>464</v>
      </c>
      <c r="I408" s="417" t="str">
        <f>CONCATENATE(H408,"-",J5)</f>
        <v>1700-złoty/mosiądz</v>
      </c>
      <c r="Z408" s="1" t="b">
        <f t="shared" si="8"/>
        <v>1</v>
      </c>
    </row>
    <row r="409" spans="1:26" s="417" customFormat="1" ht="15" customHeight="1" x14ac:dyDescent="0.3">
      <c r="A409" s="421">
        <v>89226</v>
      </c>
      <c r="B409" s="419"/>
      <c r="C409" s="417" t="str">
        <f>CONCATENATE(H409,"-",J4)</f>
        <v>2350-srebrny</v>
      </c>
      <c r="D409" s="421">
        <v>89226</v>
      </c>
      <c r="E409" s="419" t="str">
        <f>+VLOOKUP(A409,cennik!A:G,2,FALSE)</f>
        <v>SEVROLL listwa maskownica dolna 2,35m 10mm srebrny</v>
      </c>
      <c r="F409" s="419" t="str">
        <f>+VLOOKUP(A409,cennik!A:B,2,FALSE)</f>
        <v>SEVROLL listwa maskownica dolna 2,35m 10mm srebrny</v>
      </c>
      <c r="G409" s="417" t="e">
        <f>+VLOOKUP(A409,#REF!,4,FALSE)</f>
        <v>#REF!</v>
      </c>
      <c r="H409" s="417" t="s">
        <v>465</v>
      </c>
      <c r="I409" s="417" t="str">
        <f>CONCATENATE(H409,"-",J4)</f>
        <v>2350-srebrny</v>
      </c>
      <c r="Z409" s="1" t="b">
        <f t="shared" si="8"/>
        <v>1</v>
      </c>
    </row>
    <row r="410" spans="1:26" s="417" customFormat="1" ht="15" customHeight="1" x14ac:dyDescent="0.3">
      <c r="A410" s="421">
        <v>89227</v>
      </c>
      <c r="B410" s="419"/>
      <c r="C410" s="417" t="str">
        <f>CONCATENATE(H410,"-",J6)</f>
        <v>2350-j.brąz</v>
      </c>
      <c r="D410" s="421">
        <v>89227</v>
      </c>
      <c r="E410" s="419" t="str">
        <f>+VLOOKUP(A410,cennik!A:G,2,FALSE)</f>
        <v>SEVROLL maskownica dolna 2,35m 10mm jasny brąz</v>
      </c>
      <c r="F410" s="419" t="str">
        <f>+VLOOKUP(A410,cennik!A:B,2,FALSE)</f>
        <v>SEVROLL maskownica dolna 2,35m 10mm jasny brąz</v>
      </c>
      <c r="G410" s="417" t="e">
        <f>+VLOOKUP(A410,#REF!,4,FALSE)</f>
        <v>#REF!</v>
      </c>
      <c r="H410" s="417" t="s">
        <v>465</v>
      </c>
      <c r="I410" s="417" t="str">
        <f>CONCATENATE(H410,"-",J6)</f>
        <v>2350-j.brąz</v>
      </c>
      <c r="Z410" s="1" t="b">
        <f t="shared" si="8"/>
        <v>1</v>
      </c>
    </row>
    <row r="411" spans="1:26" s="417" customFormat="1" ht="15" customHeight="1" x14ac:dyDescent="0.3">
      <c r="A411" s="421">
        <v>542868</v>
      </c>
      <c r="B411" s="419"/>
      <c r="C411" s="417" t="str">
        <f>CONCATENATE(H411,"-",J5)</f>
        <v>2350-złoty/mosiądz</v>
      </c>
      <c r="D411" s="421">
        <v>542868</v>
      </c>
      <c r="E411" s="419" t="str">
        <f>+VLOOKUP(A411,cennik!A:G,2,FALSE)</f>
        <v>SEVROLL 06811 Gemini 10 listwa pozioma dolna 2,35m 10mm złoty/mosiądz</v>
      </c>
      <c r="F411" s="419" t="str">
        <f>+VLOOKUP(A411,cennik!A:B,2,FALSE)</f>
        <v>SEVROLL 06811 Gemini 10 listwa pozioma dolna 2,35m 10mm złoty/mosiądz</v>
      </c>
      <c r="G411" s="417" t="e">
        <f>+VLOOKUP(A411,#REF!,4,FALSE)</f>
        <v>#REF!</v>
      </c>
      <c r="H411" s="417" t="s">
        <v>465</v>
      </c>
      <c r="I411" s="417" t="str">
        <f>CONCATENATE(H411,"-",J5)</f>
        <v>2350-złoty/mosiądz</v>
      </c>
      <c r="Z411" s="1" t="b">
        <f t="shared" si="8"/>
        <v>1</v>
      </c>
    </row>
    <row r="412" spans="1:26" s="417" customFormat="1" ht="15" customHeight="1" x14ac:dyDescent="0.3">
      <c r="A412" s="421">
        <v>89224</v>
      </c>
      <c r="B412" s="419"/>
      <c r="C412" s="417" t="str">
        <f>CONCATENATE(H412,"-",J4)</f>
        <v>3000-srebrny</v>
      </c>
      <c r="D412" s="421">
        <v>89224</v>
      </c>
      <c r="E412" s="419" t="str">
        <f>+VLOOKUP(A412,cennik!A:G,2,FALSE)</f>
        <v>SEVROLL Gemini tor dolny 3m 10mm srebrny</v>
      </c>
      <c r="F412" s="419" t="str">
        <f>+VLOOKUP(A412,cennik!A:B,2,FALSE)</f>
        <v>SEVROLL Gemini tor dolny 3m 10mm srebrny</v>
      </c>
      <c r="G412" s="417" t="e">
        <f>+VLOOKUP(A412,#REF!,4,FALSE)</f>
        <v>#REF!</v>
      </c>
      <c r="H412" s="417" t="s">
        <v>466</v>
      </c>
      <c r="I412" s="417" t="str">
        <f>CONCATENATE(H412,"-",J4)</f>
        <v>3000-srebrny</v>
      </c>
      <c r="Z412" s="1" t="b">
        <f t="shared" si="8"/>
        <v>1</v>
      </c>
    </row>
    <row r="413" spans="1:26" s="417" customFormat="1" ht="15" customHeight="1" x14ac:dyDescent="0.3">
      <c r="A413" s="421">
        <v>89225</v>
      </c>
      <c r="B413" s="419"/>
      <c r="C413" s="417" t="str">
        <f>CONCATENATE(H413,"-",J6)</f>
        <v>3000-j.brąz</v>
      </c>
      <c r="D413" s="421">
        <v>89225</v>
      </c>
      <c r="E413" s="419" t="str">
        <f>+VLOOKUP(A413,cennik!A:G,2,FALSE)</f>
        <v>SEVROLL maskownica dolna 3m 10mm jasny brąz</v>
      </c>
      <c r="F413" s="419" t="str">
        <f>+VLOOKUP(A413,cennik!A:B,2,FALSE)</f>
        <v>SEVROLL maskownica dolna 3m 10mm jasny brąz</v>
      </c>
      <c r="G413" s="417" t="e">
        <f>+VLOOKUP(A413,#REF!,4,FALSE)</f>
        <v>#REF!</v>
      </c>
      <c r="H413" s="417" t="s">
        <v>466</v>
      </c>
      <c r="I413" s="417" t="str">
        <f>CONCATENATE(H413,"-",J6)</f>
        <v>3000-j.brąz</v>
      </c>
      <c r="Z413" s="1" t="b">
        <f t="shared" si="8"/>
        <v>1</v>
      </c>
    </row>
    <row r="414" spans="1:26" s="417" customFormat="1" ht="15" customHeight="1" x14ac:dyDescent="0.3">
      <c r="A414" s="421">
        <v>542869</v>
      </c>
      <c r="B414" s="419"/>
      <c r="C414" s="417" t="str">
        <f>CONCATENATE(H414,"-",J5)</f>
        <v>3000-złoty/mosiądz</v>
      </c>
      <c r="D414" s="421">
        <v>542869</v>
      </c>
      <c r="E414" s="419" t="str">
        <f>+VLOOKUP(A414,cennik!A:G,2,FALSE)</f>
        <v>SEVROLL 06812 Gemini 10 listwa pozioma dolna 3m 10mm złoty/mosiądz</v>
      </c>
      <c r="F414" s="419" t="str">
        <f>+VLOOKUP(A414,cennik!A:B,2,FALSE)</f>
        <v>SEVROLL 06812 Gemini 10 listwa pozioma dolna 3m 10mm złoty/mosiądz</v>
      </c>
      <c r="G414" s="417" t="e">
        <f>+VLOOKUP(A414,#REF!,4,FALSE)</f>
        <v>#REF!</v>
      </c>
      <c r="H414" s="417" t="s">
        <v>466</v>
      </c>
      <c r="I414" s="417" t="str">
        <f>CONCATENATE(H414,"-",J5)</f>
        <v>3000-złoty/mosiądz</v>
      </c>
      <c r="Z414" s="1" t="b">
        <f t="shared" si="8"/>
        <v>1</v>
      </c>
    </row>
    <row r="415" spans="1:26" s="417" customFormat="1" ht="15" customHeight="1" x14ac:dyDescent="0.3">
      <c r="A415" s="421">
        <v>422027</v>
      </c>
      <c r="B415" s="419"/>
      <c r="C415" s="417" t="str">
        <f>CONCATENATE(H415,"-",J17)</f>
        <v>1700- czarny mat</v>
      </c>
      <c r="D415" s="421">
        <v>422027</v>
      </c>
      <c r="E415" s="419" t="str">
        <f>+VLOOKUP(A415,cennik!A:G,2,FALSE)</f>
        <v>SEVROLL listwa pozioma dolna 1,7m 10mm czarny mat</v>
      </c>
      <c r="F415" s="419" t="str">
        <f>+VLOOKUP(A415,cennik!A:B,2,FALSE)</f>
        <v>SEVROLL listwa pozioma dolna 1,7m 10mm czarny mat</v>
      </c>
      <c r="H415" s="417">
        <v>1700</v>
      </c>
      <c r="I415" s="417" t="str">
        <f>CONCATENATE(H415,"-",J17)</f>
        <v>1700- czarny mat</v>
      </c>
      <c r="Z415" s="1" t="b">
        <f t="shared" si="8"/>
        <v>1</v>
      </c>
    </row>
    <row r="416" spans="1:26" s="417" customFormat="1" ht="15" customHeight="1" x14ac:dyDescent="0.3">
      <c r="A416" s="421">
        <v>422029</v>
      </c>
      <c r="B416" s="419"/>
      <c r="C416" s="417" t="str">
        <f>CONCATENATE(H416,"-",J17)</f>
        <v>2350- czarny mat</v>
      </c>
      <c r="D416" s="421">
        <v>422029</v>
      </c>
      <c r="E416" s="419" t="str">
        <f>+VLOOKUP(A416,cennik!A:G,2,FALSE)</f>
        <v>SEVROLL listwa pozioma dolna 2,35m 10mm czarny mat</v>
      </c>
      <c r="F416" s="419" t="str">
        <f>+VLOOKUP(A416,cennik!A:B,2,FALSE)</f>
        <v>SEVROLL listwa pozioma dolna 2,35m 10mm czarny mat</v>
      </c>
      <c r="H416" s="417">
        <v>2350</v>
      </c>
      <c r="I416" s="417" t="str">
        <f>CONCATENATE(H416,"-",J17)</f>
        <v>2350- czarny mat</v>
      </c>
      <c r="Z416" s="1" t="b">
        <f t="shared" si="8"/>
        <v>1</v>
      </c>
    </row>
    <row r="417" spans="1:26" s="417" customFormat="1" ht="15" customHeight="1" x14ac:dyDescent="0.3">
      <c r="A417" s="421">
        <v>422030</v>
      </c>
      <c r="B417" s="419"/>
      <c r="C417" s="417" t="str">
        <f>CONCATENATE(H417,"-",J17)</f>
        <v>3000- czarny mat</v>
      </c>
      <c r="D417" s="421">
        <v>422030</v>
      </c>
      <c r="E417" s="419" t="str">
        <f>+VLOOKUP(A417,cennik!A:G,2,FALSE)</f>
        <v>SEVROLL listaw pozioma dolna 3m 10mm czarny mat</v>
      </c>
      <c r="F417" s="419" t="str">
        <f>+VLOOKUP(A417,cennik!A:B,2,FALSE)</f>
        <v>SEVROLL listaw pozioma dolna 3m 10mm czarny mat</v>
      </c>
      <c r="H417" s="417">
        <v>3000</v>
      </c>
      <c r="I417" s="417" t="str">
        <f>CONCATENATE(H417,"-",J17)</f>
        <v>3000- czarny mat</v>
      </c>
      <c r="Z417" s="1" t="b">
        <f t="shared" si="8"/>
        <v>1</v>
      </c>
    </row>
    <row r="418" spans="1:26" s="417" customFormat="1" ht="15" customHeight="1" x14ac:dyDescent="0.3">
      <c r="A418" s="421">
        <v>119417</v>
      </c>
      <c r="B418" s="419"/>
      <c r="C418" s="417" t="str">
        <f>CONCATENATE(H418,"-",J7)</f>
        <v>1700-j.brąz szczotkowany</v>
      </c>
      <c r="D418" s="421">
        <v>119417</v>
      </c>
      <c r="E418" s="419" t="str">
        <f>+VLOOKUP(A418,cennik!A:G,2,FALSE)</f>
        <v>SEVROLL 02490-Y dolna listwa maskująca 1,7 m 10 mm, jasny brąz szczotkowany</v>
      </c>
      <c r="F418" s="419" t="str">
        <f>+VLOOKUP(A418,cennik!A:B,2,FALSE)</f>
        <v>SEVROLL 02490-Y dolna listwa maskująca 1,7 m 10 mm, jasny brąz szczotkowany</v>
      </c>
      <c r="G418" s="417" t="e">
        <f>+VLOOKUP(A418,#REF!,4,FALSE)</f>
        <v>#REF!</v>
      </c>
      <c r="H418" s="417" t="s">
        <v>464</v>
      </c>
      <c r="I418" s="417" t="str">
        <f>CONCATENATE(H418,"-",J7)</f>
        <v>1700-j.brąz szczotkowany</v>
      </c>
      <c r="Z418" s="1" t="b">
        <f t="shared" si="8"/>
        <v>1</v>
      </c>
    </row>
    <row r="419" spans="1:26" s="417" customFormat="1" ht="15" customHeight="1" x14ac:dyDescent="0.3">
      <c r="A419" s="421">
        <v>119421</v>
      </c>
      <c r="B419" s="419"/>
      <c r="C419" s="417" t="str">
        <f>CONCATENATE(H419,"-",J7)</f>
        <v>2350-j.brąz szczotkowany</v>
      </c>
      <c r="D419" s="421">
        <v>119421</v>
      </c>
      <c r="E419" s="419" t="str">
        <f>+VLOOKUP(A419,cennik!A:G,2,FALSE)</f>
        <v>SEVROLL 02491-Y dolna listwa maskująca 2,35 m 10 mm, jasny brąz szczotkowany</v>
      </c>
      <c r="F419" s="419" t="str">
        <f>+VLOOKUP(A419,cennik!A:B,2,FALSE)</f>
        <v>SEVROLL 02491-Y dolna listwa maskująca 2,35 m 10 mm, jasny brąz szczotkowany</v>
      </c>
      <c r="G419" s="417" t="e">
        <f>+VLOOKUP(A419,#REF!,4,FALSE)</f>
        <v>#REF!</v>
      </c>
      <c r="H419" s="417" t="s">
        <v>465</v>
      </c>
      <c r="I419" s="417" t="str">
        <f>CONCATENATE(H419,"-",J7)</f>
        <v>2350-j.brąz szczotkowany</v>
      </c>
      <c r="Z419" s="1" t="b">
        <f t="shared" si="8"/>
        <v>1</v>
      </c>
    </row>
    <row r="420" spans="1:26" s="417" customFormat="1" ht="15" customHeight="1" x14ac:dyDescent="0.3">
      <c r="A420" s="421">
        <v>119422</v>
      </c>
      <c r="B420" s="419"/>
      <c r="C420" s="417" t="str">
        <f>CONCATENATE(H420,"-",J7)</f>
        <v>3000-j.brąz szczotkowany</v>
      </c>
      <c r="D420" s="421">
        <v>119422</v>
      </c>
      <c r="E420" s="419" t="str">
        <f>+VLOOKUP(A420,cennik!A:G,2,FALSE)</f>
        <v>SEVROLL 02492-Y dolna listwa maskująca 3 m 10 mm, jasny brąz szczotkowany</v>
      </c>
      <c r="F420" s="419" t="str">
        <f>+VLOOKUP(A420,cennik!A:B,2,FALSE)</f>
        <v>SEVROLL 02492-Y dolna listwa maskująca 3 m 10 mm, jasny brąz szczotkowany</v>
      </c>
      <c r="G420" s="417" t="e">
        <f>+VLOOKUP(A420,#REF!,4,FALSE)</f>
        <v>#REF!</v>
      </c>
      <c r="H420" s="417" t="s">
        <v>466</v>
      </c>
      <c r="I420" s="417" t="str">
        <f>CONCATENATE(H420,"-",J7)</f>
        <v>3000-j.brąz szczotkowany</v>
      </c>
      <c r="Z420" s="1" t="b">
        <f t="shared" si="8"/>
        <v>1</v>
      </c>
    </row>
    <row r="421" spans="1:26" s="417" customFormat="1" ht="15" customHeight="1" x14ac:dyDescent="0.3">
      <c r="A421" s="196">
        <v>526476</v>
      </c>
      <c r="B421" s="419"/>
      <c r="C421" s="417" t="str">
        <f>CONCATENATE(H421,"-",J22)</f>
        <v>1700-czarny lakier strukturalny</v>
      </c>
      <c r="D421" s="196">
        <v>526476</v>
      </c>
      <c r="E421" s="419" t="str">
        <f>+VLOOKUP(A421,cennik!A:G,2,FALSE)</f>
        <v>SEVROLL 06439 listwa pozioma dolna 1,7m 10mm czarny lakier strukturalny</v>
      </c>
      <c r="F421" s="419" t="str">
        <f>+VLOOKUP(A421,cennik!A:B,2,FALSE)</f>
        <v>SEVROLL 06439 listwa pozioma dolna 1,7m 10mm czarny lakier strukturalny</v>
      </c>
      <c r="H421" s="417" t="s">
        <v>464</v>
      </c>
      <c r="I421" s="417" t="str">
        <f>CONCATENATE(H421,"-",J22)</f>
        <v>1700-czarny lakier strukturalny</v>
      </c>
      <c r="Z421" s="1"/>
    </row>
    <row r="422" spans="1:26" s="417" customFormat="1" ht="15" customHeight="1" x14ac:dyDescent="0.3">
      <c r="A422" s="196">
        <v>526477</v>
      </c>
      <c r="B422" s="419"/>
      <c r="C422" s="417" t="str">
        <f>CONCATENATE(H422,"-",J22)</f>
        <v>2350-czarny lakier strukturalny</v>
      </c>
      <c r="D422" s="196">
        <v>526477</v>
      </c>
      <c r="E422" s="419" t="str">
        <f>+VLOOKUP(A422,cennik!A:G,2,FALSE)</f>
        <v>SEVROLL 06440 listwa pozioma dolna 2,35m 10mm czarny lakier strukturalny</v>
      </c>
      <c r="F422" s="419" t="str">
        <f>+VLOOKUP(A422,cennik!A:B,2,FALSE)</f>
        <v>SEVROLL 06440 listwa pozioma dolna 2,35m 10mm czarny lakier strukturalny</v>
      </c>
      <c r="H422" s="417" t="s">
        <v>465</v>
      </c>
      <c r="I422" s="417" t="str">
        <f>CONCATENATE(H422,"-",J22)</f>
        <v>2350-czarny lakier strukturalny</v>
      </c>
      <c r="Z422" s="1"/>
    </row>
    <row r="423" spans="1:26" s="417" customFormat="1" ht="15" customHeight="1" x14ac:dyDescent="0.3">
      <c r="A423" s="196">
        <v>526478</v>
      </c>
      <c r="B423" s="419"/>
      <c r="C423" s="417" t="str">
        <f>CONCATENATE(H423,"-",J22)</f>
        <v>3000-czarny lakier strukturalny</v>
      </c>
      <c r="D423" s="196">
        <v>526478</v>
      </c>
      <c r="E423" s="419" t="str">
        <f>+VLOOKUP(A423,cennik!A:G,2,FALSE)</f>
        <v>SEVROLL 06123 listaw pozioma dolna 3m 10mm czarny lakier strukturalny</v>
      </c>
      <c r="F423" s="419" t="str">
        <f>+VLOOKUP(A423,cennik!A:B,2,FALSE)</f>
        <v>SEVROLL 06123 listaw pozioma dolna 3m 10mm czarny lakier strukturalny</v>
      </c>
      <c r="H423" s="417" t="s">
        <v>466</v>
      </c>
      <c r="I423" s="417" t="str">
        <f>CONCATENATE(H423,"-",J22)</f>
        <v>3000-czarny lakier strukturalny</v>
      </c>
      <c r="Z423" s="1"/>
    </row>
    <row r="424" spans="1:26" s="417" customFormat="1" ht="15" customHeight="1" x14ac:dyDescent="0.3">
      <c r="A424" s="421">
        <v>205170</v>
      </c>
      <c r="B424" s="419"/>
      <c r="C424" s="417" t="str">
        <f>CONCATENATE(H424,"-",J8)</f>
        <v>1700-szczot.oliwa ciemna</v>
      </c>
      <c r="D424" s="421">
        <v>205170</v>
      </c>
      <c r="E424" s="419" t="str">
        <f>+VLOOKUP(A424,cennik!A:G,2,FALSE)</f>
        <v>SEVROLL listwa pozioma dolna 1,7 m 10mm oliwka ciemna szczotkowana</v>
      </c>
      <c r="F424" s="419" t="str">
        <f>+VLOOKUP(A424,cennik!A:B,2,FALSE)</f>
        <v>SEVROLL listwa pozioma dolna 1,7 m 10mm oliwka ciemna szczotkowana</v>
      </c>
      <c r="G424" s="417" t="e">
        <f>+VLOOKUP(A424,#REF!,4,FALSE)</f>
        <v>#REF!</v>
      </c>
      <c r="H424" s="417" t="s">
        <v>464</v>
      </c>
      <c r="I424" s="417" t="str">
        <f>CONCATENATE(H424,"-",J8)</f>
        <v>1700-szczot.oliwa ciemna</v>
      </c>
      <c r="Z424" s="1" t="b">
        <f t="shared" si="8"/>
        <v>1</v>
      </c>
    </row>
    <row r="425" spans="1:26" s="417" customFormat="1" ht="15" customHeight="1" x14ac:dyDescent="0.3">
      <c r="A425" s="421">
        <v>205172</v>
      </c>
      <c r="B425" s="419"/>
      <c r="C425" s="417" t="str">
        <f>CONCATENATE(H425,"-",J8)</f>
        <v>2350-szczot.oliwa ciemna</v>
      </c>
      <c r="D425" s="421">
        <v>205172</v>
      </c>
      <c r="E425" s="419" t="str">
        <f>+VLOOKUP(A425,cennik!A:G,2,FALSE)</f>
        <v>SEVROLL listwa pozioma dolna 2,35 m oliwka ciemna szczotkowana</v>
      </c>
      <c r="F425" s="419" t="str">
        <f>+VLOOKUP(A425,cennik!A:B,2,FALSE)</f>
        <v>SEVROLL listwa pozioma dolna 2,35 m oliwka ciemna szczotkowana</v>
      </c>
      <c r="G425" s="417" t="e">
        <f>+VLOOKUP(A425,#REF!,4,FALSE)</f>
        <v>#REF!</v>
      </c>
      <c r="H425" s="417" t="s">
        <v>465</v>
      </c>
      <c r="I425" s="417" t="str">
        <f>CONCATENATE(H425,"-",J8)</f>
        <v>2350-szczot.oliwa ciemna</v>
      </c>
      <c r="Z425" s="1" t="b">
        <f t="shared" si="8"/>
        <v>1</v>
      </c>
    </row>
    <row r="426" spans="1:26" s="417" customFormat="1" ht="15" customHeight="1" x14ac:dyDescent="0.3">
      <c r="A426" s="421">
        <v>205174</v>
      </c>
      <c r="B426" s="419"/>
      <c r="C426" s="417" t="str">
        <f>CONCATENATE(H426,"-",J8)</f>
        <v>3000-szczot.oliwa ciemna</v>
      </c>
      <c r="D426" s="421">
        <v>205174</v>
      </c>
      <c r="E426" s="419" t="str">
        <f>+VLOOKUP(A426,cennik!A:G,2,FALSE)</f>
        <v>SEVROLL listwa pozioma dolna 3 m 10mm oliwka ciemna szczotkowana</v>
      </c>
      <c r="F426" s="419" t="str">
        <f>+VLOOKUP(A426,cennik!A:B,2,FALSE)</f>
        <v>SEVROLL listwa pozioma dolna 3 m 10mm oliwka ciemna szczotkowana</v>
      </c>
      <c r="G426" s="417" t="e">
        <f>+VLOOKUP(A426,#REF!,4,FALSE)</f>
        <v>#REF!</v>
      </c>
      <c r="H426" s="417" t="s">
        <v>466</v>
      </c>
      <c r="I426" s="417" t="str">
        <f>CONCATENATE(H426,"-",J8)</f>
        <v>3000-szczot.oliwa ciemna</v>
      </c>
      <c r="Z426" s="1" t="b">
        <f t="shared" si="8"/>
        <v>1</v>
      </c>
    </row>
    <row r="427" spans="1:26" s="417" customFormat="1" ht="15" customHeight="1" x14ac:dyDescent="0.3">
      <c r="A427" s="421">
        <v>205171</v>
      </c>
      <c r="B427" s="419"/>
      <c r="C427" s="417" t="str">
        <f>CONCATENATE(H427,"-",J9)</f>
        <v>1700-szczot.czarna</v>
      </c>
      <c r="D427" s="421">
        <v>205171</v>
      </c>
      <c r="E427" s="419" t="str">
        <f>+VLOOKUP(A427,cennik!A:G,2,FALSE)</f>
        <v>SEVROLL listwa pozioma dolna 1,7 m 10 mm czarna szczotkowana</v>
      </c>
      <c r="F427" s="419" t="str">
        <f>+VLOOKUP(A427,cennik!A:B,2,FALSE)</f>
        <v>SEVROLL listwa pozioma dolna 1,7 m 10 mm czarna szczotkowana</v>
      </c>
      <c r="H427" s="417" t="s">
        <v>464</v>
      </c>
      <c r="I427" s="417" t="str">
        <f>CONCATENATE(H427,"-",J9)</f>
        <v>1700-szczot.czarna</v>
      </c>
      <c r="Z427" s="1" t="b">
        <f t="shared" si="8"/>
        <v>1</v>
      </c>
    </row>
    <row r="428" spans="1:26" s="417" customFormat="1" ht="15" customHeight="1" x14ac:dyDescent="0.3">
      <c r="A428" s="421">
        <v>205173</v>
      </c>
      <c r="B428" s="419"/>
      <c r="C428" s="417" t="str">
        <f>CONCATENATE(H428,"-",J9)</f>
        <v>2350-szczot.czarna</v>
      </c>
      <c r="D428" s="421">
        <v>205173</v>
      </c>
      <c r="E428" s="419" t="str">
        <f>+VLOOKUP(A428,cennik!A:G,2,FALSE)</f>
        <v>SEVROLL listwa pozioma dolna 2,35 m 10 mm czarna szczotkowana</v>
      </c>
      <c r="F428" s="419" t="str">
        <f>+VLOOKUP(A428,cennik!A:B,2,FALSE)</f>
        <v>SEVROLL listwa pozioma dolna 2,35 m 10 mm czarna szczotkowana</v>
      </c>
      <c r="H428" s="417" t="s">
        <v>465</v>
      </c>
      <c r="I428" s="417" t="str">
        <f>CONCATENATE(H428,"-",J9)</f>
        <v>2350-szczot.czarna</v>
      </c>
      <c r="Z428" s="1" t="b">
        <f t="shared" si="8"/>
        <v>1</v>
      </c>
    </row>
    <row r="429" spans="1:26" s="417" customFormat="1" ht="15" customHeight="1" x14ac:dyDescent="0.3">
      <c r="A429" s="421">
        <v>205175</v>
      </c>
      <c r="B429" s="419"/>
      <c r="C429" s="417" t="str">
        <f>CONCATENATE(H429,"-",J9)</f>
        <v>3000-szczot.czarna</v>
      </c>
      <c r="D429" s="421">
        <v>205175</v>
      </c>
      <c r="E429" s="419" t="str">
        <f>+VLOOKUP(A429,cennik!A:G,2,FALSE)</f>
        <v>SEVROLL listwa pozioma dolna 3 m 10 mm czarna szczotkowana</v>
      </c>
      <c r="F429" s="419" t="str">
        <f>+VLOOKUP(A429,cennik!A:B,2,FALSE)</f>
        <v>SEVROLL listwa pozioma dolna 3 m 10 mm czarna szczotkowana</v>
      </c>
      <c r="H429" s="417" t="s">
        <v>466</v>
      </c>
      <c r="I429" s="417" t="str">
        <f>CONCATENATE(H429,"-",J9)</f>
        <v>3000-szczot.czarna</v>
      </c>
      <c r="Z429" s="1" t="b">
        <f t="shared" si="8"/>
        <v>1</v>
      </c>
    </row>
    <row r="430" spans="1:26" s="417" customFormat="1" ht="15" customHeight="1" x14ac:dyDescent="0.3">
      <c r="A430" s="421">
        <v>495473</v>
      </c>
      <c r="B430" s="419"/>
      <c r="C430" s="417" t="str">
        <f>CONCATENATE(H430,"-",J12)</f>
        <v>1700-grafit</v>
      </c>
      <c r="D430" s="421">
        <v>495473</v>
      </c>
      <c r="E430" s="419" t="str">
        <f>+VLOOKUP(A430,cennik!A:G,2,FALSE)</f>
        <v>SEVROLL 06037 listwa pozioma dolna 1,7m 10mm grafit</v>
      </c>
      <c r="F430" s="419" t="str">
        <f>+VLOOKUP(A430,cennik!A:B,2,FALSE)</f>
        <v>SEVROLL 06037 listwa pozioma dolna 1,7m 10mm grafit</v>
      </c>
      <c r="H430" s="417">
        <v>1700</v>
      </c>
      <c r="I430" s="417" t="str">
        <f>CONCATENATE(H430,"-",J12)</f>
        <v>1700-grafit</v>
      </c>
      <c r="Z430" s="1" t="b">
        <f t="shared" si="8"/>
        <v>1</v>
      </c>
    </row>
    <row r="431" spans="1:26" s="417" customFormat="1" ht="15" customHeight="1" x14ac:dyDescent="0.3">
      <c r="A431" s="421">
        <v>495474</v>
      </c>
      <c r="B431" s="419"/>
      <c r="C431" s="417" t="str">
        <f>CONCATENATE(H431,"-",J12)</f>
        <v>2350-grafit</v>
      </c>
      <c r="D431" s="421">
        <v>495474</v>
      </c>
      <c r="E431" s="419" t="str">
        <f>+VLOOKUP(A431,cennik!A:G,2,FALSE)</f>
        <v>SEVROLL 06038 listwa pozioma dolna 2,35m 10mm grafit</v>
      </c>
      <c r="F431" s="419" t="str">
        <f>+VLOOKUP(A431,cennik!A:B,2,FALSE)</f>
        <v>SEVROLL 06038 listwa pozioma dolna 2,35m 10mm grafit</v>
      </c>
      <c r="H431" s="417">
        <v>2350</v>
      </c>
      <c r="I431" s="417" t="str">
        <f>CONCATENATE(H431,"-",J12)</f>
        <v>2350-grafit</v>
      </c>
      <c r="Z431" s="1" t="b">
        <f t="shared" si="8"/>
        <v>1</v>
      </c>
    </row>
    <row r="432" spans="1:26" s="417" customFormat="1" ht="15" customHeight="1" x14ac:dyDescent="0.3">
      <c r="A432" s="421">
        <v>495475</v>
      </c>
      <c r="B432" s="419"/>
      <c r="C432" s="417" t="str">
        <f>CONCATENATE(H432,"-",J12)</f>
        <v>3000-grafit</v>
      </c>
      <c r="D432" s="421">
        <v>495475</v>
      </c>
      <c r="E432" s="419" t="str">
        <f>+VLOOKUP(A432,cennik!A:G,2,FALSE)</f>
        <v>SEVROLL 05967 listaw pozioma dolna 3m 10mm grafit</v>
      </c>
      <c r="F432" s="419" t="str">
        <f>+VLOOKUP(A432,cennik!A:B,2,FALSE)</f>
        <v>SEVROLL 05967 listaw pozioma dolna 3m 10mm grafit</v>
      </c>
      <c r="H432" s="417">
        <v>3000</v>
      </c>
      <c r="I432" s="417" t="str">
        <f>CONCATENATE(H432,"-",J12)</f>
        <v>3000-grafit</v>
      </c>
      <c r="Z432" s="1" t="b">
        <f t="shared" si="8"/>
        <v>1</v>
      </c>
    </row>
    <row r="433" spans="1:26" s="417" customFormat="1" ht="15" customHeight="1" x14ac:dyDescent="0.3">
      <c r="A433" s="421">
        <v>276736</v>
      </c>
      <c r="B433" s="419"/>
      <c r="C433" s="417" t="str">
        <f>CONCATENATE(H433,"-",J15)</f>
        <v>1700- biały połysk</v>
      </c>
      <c r="D433" s="421">
        <v>276736</v>
      </c>
      <c r="E433" s="419" t="str">
        <f>+VLOOKUP(A433,cennik!A:G,2,FALSE)</f>
        <v>SEVROLL 04062 Gemini 10 dolna maskownica 1,7 m 10 mm, biały połysk</v>
      </c>
      <c r="F433" s="419" t="str">
        <f>+VLOOKUP(A433,cennik!A:B,2,FALSE)</f>
        <v>SEVROLL 04062 Gemini 10 dolna maskownica 1,7 m 10 mm, biały połysk</v>
      </c>
      <c r="H433" s="417" t="s">
        <v>464</v>
      </c>
      <c r="I433" s="417" t="str">
        <f>CONCATENATE(H433,"-",J15)</f>
        <v>1700- biały połysk</v>
      </c>
      <c r="Z433" s="1" t="b">
        <f t="shared" si="8"/>
        <v>1</v>
      </c>
    </row>
    <row r="434" spans="1:26" s="417" customFormat="1" ht="15" customHeight="1" x14ac:dyDescent="0.3">
      <c r="A434" s="421">
        <v>267954</v>
      </c>
      <c r="B434" s="419"/>
      <c r="C434" s="417" t="str">
        <f>CONCATENATE(H434,"-",J15)</f>
        <v>2350- biały połysk</v>
      </c>
      <c r="D434" s="421">
        <v>267954</v>
      </c>
      <c r="E434" s="419" t="str">
        <f>+VLOOKUP(A434,cennik!A:G,2,FALSE)</f>
        <v>SEVROLL 04063 Gemini 10 dolna maskownica 2,35 m 10 mm, biały połysk</v>
      </c>
      <c r="F434" s="419" t="str">
        <f>+VLOOKUP(A434,cennik!A:B,2,FALSE)</f>
        <v>SEVROLL 04063 Gemini 10 dolna maskownica 2,35 m 10 mm, biały połysk</v>
      </c>
      <c r="H434" s="417" t="s">
        <v>465</v>
      </c>
      <c r="I434" s="417" t="str">
        <f>CONCATENATE(H434,"-",J15)</f>
        <v>2350- biały połysk</v>
      </c>
      <c r="Z434" s="1" t="b">
        <f t="shared" si="8"/>
        <v>1</v>
      </c>
    </row>
    <row r="435" spans="1:26" ht="15" customHeight="1" x14ac:dyDescent="0.3">
      <c r="A435" s="421">
        <v>265067</v>
      </c>
      <c r="B435" s="419"/>
      <c r="C435" s="417" t="str">
        <f>CONCATENATE(H435,"-",J15)</f>
        <v>3000- biały połysk</v>
      </c>
      <c r="D435" s="421">
        <v>265067</v>
      </c>
      <c r="E435" s="419" t="str">
        <f>+VLOOKUP(A435,cennik!A:G,2,FALSE)</f>
        <v>SEVROLL listwa pozioma dolna 3 m 10 mm, biały połysk</v>
      </c>
      <c r="F435" s="419" t="str">
        <f>+VLOOKUP(A435,cennik!A:B,2,FALSE)</f>
        <v>SEVROLL listwa pozioma dolna 3 m 10 mm, biały połysk</v>
      </c>
      <c r="G435" s="417"/>
      <c r="H435" s="417" t="s">
        <v>466</v>
      </c>
      <c r="I435" s="417" t="str">
        <f>CONCATENATE(H435,"-",J15)</f>
        <v>3000- biały połysk</v>
      </c>
      <c r="Z435" s="1" t="b">
        <f t="shared" si="8"/>
        <v>1</v>
      </c>
    </row>
    <row r="436" spans="1:26" s="425" customFormat="1" ht="15" customHeight="1" x14ac:dyDescent="0.3">
      <c r="A436" s="421">
        <v>278059</v>
      </c>
      <c r="B436" s="419"/>
      <c r="C436" s="417" t="str">
        <f>CONCATENATE(H436,"-",J4)</f>
        <v>3000-srebrny</v>
      </c>
      <c r="D436" s="421">
        <v>278059</v>
      </c>
      <c r="E436" s="419" t="str">
        <f>+VLOOKUP(A436,cennik!A:G,2,FALSE)</f>
        <v>SEVROLL 04095 Gemini 4 maskownica dolna 3 m 4 mm, srebrna</v>
      </c>
      <c r="F436" s="419" t="str">
        <f>+VLOOKUP(A436,cennik!A:B,2,FALSE)</f>
        <v>SEVROLL 04095 Gemini 4 maskownica dolna 3 m 4 mm, srebrna</v>
      </c>
      <c r="G436" s="417"/>
      <c r="H436" s="417" t="s">
        <v>466</v>
      </c>
      <c r="I436" s="417" t="str">
        <f>CONCATENATE(H436,"-",J4)</f>
        <v>3000-srebrny</v>
      </c>
      <c r="Z436" s="1" t="b">
        <f t="shared" si="8"/>
        <v>1</v>
      </c>
    </row>
    <row r="437" spans="1:26" s="425" customFormat="1" ht="15" customHeight="1" x14ac:dyDescent="0.3">
      <c r="A437" s="421">
        <v>284526</v>
      </c>
      <c r="B437" s="419"/>
      <c r="C437" s="417" t="str">
        <f>CONCATENATE(H437,"-",J15)</f>
        <v>3000- biały połysk</v>
      </c>
      <c r="D437" s="421">
        <v>284526</v>
      </c>
      <c r="E437" s="419" t="str">
        <f>+VLOOKUP(A437,cennik!A:G,2,FALSE)</f>
        <v>SEVROLL Pax maskownica dolna 3m 4mm biały połysk</v>
      </c>
      <c r="F437" s="419" t="str">
        <f>+VLOOKUP(A437,cennik!A:B,2,FALSE)</f>
        <v>SEVROLL Pax maskownica dolna 3m 4mm biały połysk</v>
      </c>
      <c r="G437" s="417"/>
      <c r="H437" s="417" t="s">
        <v>466</v>
      </c>
      <c r="I437" s="417" t="str">
        <f>CONCATENATE(H437,"-",J15)</f>
        <v>3000- biały połysk</v>
      </c>
      <c r="Z437" s="1" t="b">
        <f t="shared" si="8"/>
        <v>1</v>
      </c>
    </row>
    <row r="438" spans="1:26" s="425" customFormat="1" ht="15" customHeight="1" x14ac:dyDescent="0.3">
      <c r="A438" s="425">
        <v>422030</v>
      </c>
      <c r="C438" s="417" t="str">
        <f>CONCATENATE(H438,"-",J17)</f>
        <v>3000- czarny mat</v>
      </c>
      <c r="D438" s="425">
        <v>422030</v>
      </c>
      <c r="E438" s="426" t="s">
        <v>1290</v>
      </c>
      <c r="F438" s="426" t="s">
        <v>1290</v>
      </c>
      <c r="H438" s="425">
        <v>3000</v>
      </c>
      <c r="I438" s="417" t="str">
        <f>CONCATENATE(H438,"-",J17)</f>
        <v>3000- czarny mat</v>
      </c>
      <c r="Z438" s="1" t="b">
        <f t="shared" ref="Z438:Z505" si="9">A438=D438</f>
        <v>1</v>
      </c>
    </row>
    <row r="439" spans="1:26" s="425" customFormat="1" ht="15" customHeight="1" x14ac:dyDescent="0.3">
      <c r="A439" s="425">
        <v>422036</v>
      </c>
      <c r="C439" s="417" t="str">
        <f>CONCATENATE(H439,"-",J17)</f>
        <v>3000- czarny mat</v>
      </c>
      <c r="D439" s="425">
        <v>422036</v>
      </c>
      <c r="E439" s="426" t="s">
        <v>1292</v>
      </c>
      <c r="F439" s="426" t="s">
        <v>1292</v>
      </c>
      <c r="H439" s="425">
        <v>3000</v>
      </c>
      <c r="I439" s="417" t="str">
        <f>CONCATENATE(H439,"-",J17)</f>
        <v>3000- czarny mat</v>
      </c>
      <c r="Z439" s="1" t="b">
        <f t="shared" si="9"/>
        <v>1</v>
      </c>
    </row>
    <row r="440" spans="1:26" s="425" customFormat="1" ht="15" customHeight="1" x14ac:dyDescent="0.3">
      <c r="A440" s="427">
        <v>405369</v>
      </c>
      <c r="C440" s="417" t="str">
        <f>CONCATENATE(H440,"-",J16)</f>
        <v>1700-czarny połysk</v>
      </c>
      <c r="D440" s="427">
        <v>405369</v>
      </c>
      <c r="E440" s="426" t="s">
        <v>1453</v>
      </c>
      <c r="F440" s="426" t="s">
        <v>1453</v>
      </c>
      <c r="H440" s="425">
        <v>1700</v>
      </c>
      <c r="I440" s="417" t="str">
        <f>CONCATENATE(H440,"-",J17)</f>
        <v>1700- czarny mat</v>
      </c>
      <c r="Z440" s="1" t="b">
        <f t="shared" si="9"/>
        <v>1</v>
      </c>
    </row>
    <row r="441" spans="1:26" s="425" customFormat="1" ht="15" customHeight="1" x14ac:dyDescent="0.3">
      <c r="A441" s="427">
        <v>405375</v>
      </c>
      <c r="C441" s="417" t="str">
        <f>CONCATENATE(H441,"-",J16)</f>
        <v>1350-czarny połysk</v>
      </c>
      <c r="D441" s="427">
        <v>405375</v>
      </c>
      <c r="E441" s="426" t="s">
        <v>1454</v>
      </c>
      <c r="F441" s="426" t="s">
        <v>1454</v>
      </c>
      <c r="H441" s="425">
        <v>1350</v>
      </c>
      <c r="I441" s="417" t="str">
        <f>CONCATENATE(H441,"-",J17)</f>
        <v>1350- czarny mat</v>
      </c>
      <c r="Z441" s="1" t="b">
        <f t="shared" si="9"/>
        <v>1</v>
      </c>
    </row>
    <row r="442" spans="1:26" s="425" customFormat="1" ht="15" customHeight="1" x14ac:dyDescent="0.3">
      <c r="A442" s="427">
        <v>405376</v>
      </c>
      <c r="C442" s="417" t="str">
        <f>CONCATENATE(H442,"-",J16)</f>
        <v>3000-czarny połysk</v>
      </c>
      <c r="D442" s="427">
        <v>405376</v>
      </c>
      <c r="E442" s="426" t="s">
        <v>1455</v>
      </c>
      <c r="F442" s="426" t="s">
        <v>1455</v>
      </c>
      <c r="H442" s="425">
        <v>3000</v>
      </c>
      <c r="I442" s="417" t="str">
        <f>CONCATENATE(H442,"-",J17)</f>
        <v>3000- czarny mat</v>
      </c>
      <c r="Z442" s="1" t="b">
        <f t="shared" si="9"/>
        <v>1</v>
      </c>
    </row>
    <row r="443" spans="1:26" s="425" customFormat="1" ht="15" customHeight="1" x14ac:dyDescent="0.3">
      <c r="A443" s="427">
        <v>497666</v>
      </c>
      <c r="C443" s="417" t="str">
        <f>CONCATENATE(H443,"-",J18)</f>
        <v>1700-biały mat</v>
      </c>
      <c r="D443" s="427">
        <v>497666</v>
      </c>
      <c r="E443" s="419" t="str">
        <f>+VLOOKUP(A443,cennik!A:G,2,FALSE)</f>
        <v>SEVROLL 05939 Gemini 10 dolna maskownica 1,7 m 10 mm, biały mat</v>
      </c>
      <c r="F443" s="419" t="str">
        <f>+VLOOKUP(A443,cennik!A:B,2,FALSE)</f>
        <v>SEVROLL 05939 Gemini 10 dolna maskownica 1,7 m 10 mm, biały mat</v>
      </c>
      <c r="H443" s="425">
        <v>1700</v>
      </c>
      <c r="I443" s="417" t="str">
        <f>CONCATENATE(H443,"-",J18)</f>
        <v>1700-biały mat</v>
      </c>
      <c r="Z443" s="1"/>
    </row>
    <row r="444" spans="1:26" s="425" customFormat="1" ht="15" customHeight="1" x14ac:dyDescent="0.3">
      <c r="A444" s="427">
        <v>497668</v>
      </c>
      <c r="C444" s="417" t="str">
        <f>CONCATENATE(H444,"-",J18)</f>
        <v>2350-biały mat</v>
      </c>
      <c r="D444" s="427">
        <v>497668</v>
      </c>
      <c r="E444" s="419" t="str">
        <f>+VLOOKUP(A444,cennik!A:G,2,FALSE)</f>
        <v>SEVROLL 05940 Gemini 10 dolna maskownica 2,35 m 10 mm, biały mat</v>
      </c>
      <c r="F444" s="419" t="str">
        <f>+VLOOKUP(A444,cennik!A:B,2,FALSE)</f>
        <v>SEVROLL 05940 Gemini 10 dolna maskownica 2,35 m 10 mm, biały mat</v>
      </c>
      <c r="H444" s="425">
        <v>2350</v>
      </c>
      <c r="I444" s="417" t="str">
        <f>CONCATENATE(H444,"-",J18)</f>
        <v>2350-biały mat</v>
      </c>
      <c r="Z444" s="1"/>
    </row>
    <row r="445" spans="1:26" s="425" customFormat="1" ht="15" customHeight="1" x14ac:dyDescent="0.3">
      <c r="A445" s="427">
        <v>497669</v>
      </c>
      <c r="C445" s="417" t="str">
        <f>CONCATENATE(H445,"-",J18)</f>
        <v>3000-biały mat</v>
      </c>
      <c r="D445" s="427">
        <v>497669</v>
      </c>
      <c r="E445" s="419" t="str">
        <f>+VLOOKUP(A445,cennik!A:G,2,FALSE)</f>
        <v>SEVROLL 05941 listwa pozioma dolna 3 m 10 mm, biały mat</v>
      </c>
      <c r="F445" s="419" t="str">
        <f>+VLOOKUP(A445,cennik!A:B,2,FALSE)</f>
        <v>SEVROLL 05941 listwa pozioma dolna 3 m 10 mm, biały mat</v>
      </c>
      <c r="H445" s="425">
        <v>3000</v>
      </c>
      <c r="I445" s="417" t="str">
        <f>CONCATENATE(H445,"-",J18)</f>
        <v>3000-biały mat</v>
      </c>
      <c r="Z445" s="1"/>
    </row>
    <row r="446" spans="1:26" s="417" customFormat="1" ht="15" customHeight="1" x14ac:dyDescent="0.3">
      <c r="A446" s="425">
        <v>422027</v>
      </c>
      <c r="B446" s="425"/>
      <c r="C446" s="417" t="str">
        <f>CONCATENATE(H446,"-",J17)</f>
        <v>1700- czarny mat</v>
      </c>
      <c r="D446" s="425">
        <v>422027</v>
      </c>
      <c r="E446" s="426" t="s">
        <v>1288</v>
      </c>
      <c r="F446" s="426" t="s">
        <v>1288</v>
      </c>
      <c r="G446" s="425"/>
      <c r="H446" s="425">
        <v>1700</v>
      </c>
      <c r="I446" s="417" t="str">
        <f>CONCATENATE(H446,"-",J17)</f>
        <v>1700- czarny mat</v>
      </c>
      <c r="Z446" s="1" t="b">
        <f t="shared" si="9"/>
        <v>1</v>
      </c>
    </row>
    <row r="447" spans="1:26" s="417" customFormat="1" ht="15" customHeight="1" x14ac:dyDescent="0.3">
      <c r="A447" s="425">
        <v>422029</v>
      </c>
      <c r="B447" s="425"/>
      <c r="C447" s="417" t="str">
        <f>CONCATENATE(H447,"-",J17)</f>
        <v>2350- czarny mat</v>
      </c>
      <c r="D447" s="425">
        <v>422029</v>
      </c>
      <c r="E447" s="426" t="s">
        <v>1289</v>
      </c>
      <c r="F447" s="426" t="s">
        <v>1289</v>
      </c>
      <c r="G447" s="425"/>
      <c r="H447" s="425">
        <v>2350</v>
      </c>
      <c r="I447" s="417" t="str">
        <f>CONCATENATE(H447,"-",J17)</f>
        <v>2350- czarny mat</v>
      </c>
      <c r="Z447" s="1" t="b">
        <f t="shared" si="9"/>
        <v>1</v>
      </c>
    </row>
    <row r="448" spans="1:26" s="417" customFormat="1" ht="15" customHeight="1" x14ac:dyDescent="0.3">
      <c r="A448" s="425">
        <v>422032</v>
      </c>
      <c r="B448" s="425"/>
      <c r="C448" s="417" t="str">
        <f>CONCATENATE(H448,"-",J17)</f>
        <v>3000- czarny mat</v>
      </c>
      <c r="D448" s="425">
        <v>422032</v>
      </c>
      <c r="E448" s="426" t="s">
        <v>1291</v>
      </c>
      <c r="F448" s="426" t="s">
        <v>1291</v>
      </c>
      <c r="G448" s="425"/>
      <c r="H448" s="425">
        <v>3000</v>
      </c>
      <c r="I448" s="417" t="str">
        <f>CONCATENATE(H448,"-",J17)</f>
        <v>3000- czarny mat</v>
      </c>
      <c r="Z448" s="1" t="b">
        <f t="shared" si="9"/>
        <v>1</v>
      </c>
    </row>
    <row r="449" spans="1:26" s="417" customFormat="1" ht="15" customHeight="1" x14ac:dyDescent="0.3">
      <c r="A449" s="423">
        <v>452737</v>
      </c>
      <c r="B449" s="419"/>
      <c r="C449" s="417" t="str">
        <f>CONCATENATE(H449,"-",J17)</f>
        <v>3000- czarny mat</v>
      </c>
      <c r="D449" s="423">
        <v>452737</v>
      </c>
      <c r="E449" s="423" t="s">
        <v>1269</v>
      </c>
      <c r="F449" s="423" t="s">
        <v>1269</v>
      </c>
      <c r="H449" s="417">
        <v>3000</v>
      </c>
      <c r="I449" s="417" t="str">
        <f>CONCATENATE(H449,"-",J16)</f>
        <v>3000-czarny połysk</v>
      </c>
      <c r="Z449" s="1" t="b">
        <f t="shared" si="9"/>
        <v>1</v>
      </c>
    </row>
    <row r="450" spans="1:26" ht="15" customHeight="1" x14ac:dyDescent="0.3">
      <c r="A450" s="196">
        <v>526476</v>
      </c>
      <c r="B450" s="419"/>
      <c r="C450" s="417" t="str">
        <f>CONCATENATE(H450,"-",J22)</f>
        <v>1700-czarny lakier strukturalny</v>
      </c>
      <c r="D450" s="196">
        <v>526476</v>
      </c>
      <c r="E450" s="419" t="str">
        <f>+VLOOKUP(A450,cennik!A:G,2,FALSE)</f>
        <v>SEVROLL 06439 listwa pozioma dolna 1,7m 10mm czarny lakier strukturalny</v>
      </c>
      <c r="F450" s="419" t="str">
        <f>+VLOOKUP(A450,cennik!A:B,2,FALSE)</f>
        <v>SEVROLL 06439 listwa pozioma dolna 1,7m 10mm czarny lakier strukturalny</v>
      </c>
      <c r="G450" s="417"/>
      <c r="H450" s="417">
        <v>1700</v>
      </c>
      <c r="I450" s="417" t="str">
        <f>CONCATENATE(H450,"-",J22)</f>
        <v>1700-czarny lakier strukturalny</v>
      </c>
      <c r="Z450" s="1" t="b">
        <f t="shared" si="9"/>
        <v>1</v>
      </c>
    </row>
    <row r="451" spans="1:26" ht="15" customHeight="1" x14ac:dyDescent="0.3">
      <c r="A451" s="196">
        <v>526477</v>
      </c>
      <c r="B451" s="419"/>
      <c r="C451" s="417" t="str">
        <f>CONCATENATE(H451,"-",J22)</f>
        <v>2350-czarny lakier strukturalny</v>
      </c>
      <c r="D451" s="196">
        <v>526477</v>
      </c>
      <c r="E451" s="419" t="str">
        <f>+VLOOKUP(A451,cennik!A:G,2,FALSE)</f>
        <v>SEVROLL 06440 listwa pozioma dolna 2,35m 10mm czarny lakier strukturalny</v>
      </c>
      <c r="F451" s="419" t="str">
        <f>+VLOOKUP(A451,cennik!A:B,2,FALSE)</f>
        <v>SEVROLL 06440 listwa pozioma dolna 2,35m 10mm czarny lakier strukturalny</v>
      </c>
      <c r="G451" s="417"/>
      <c r="H451" s="417">
        <v>2350</v>
      </c>
      <c r="I451" s="417" t="str">
        <f>CONCATENATE(H451,"-",J22)</f>
        <v>2350-czarny lakier strukturalny</v>
      </c>
      <c r="Z451" s="1" t="b">
        <f t="shared" si="9"/>
        <v>1</v>
      </c>
    </row>
    <row r="452" spans="1:26" ht="15" customHeight="1" x14ac:dyDescent="0.3">
      <c r="A452" s="196">
        <v>526478</v>
      </c>
      <c r="B452" s="419"/>
      <c r="C452" s="417" t="str">
        <f>CONCATENATE(H452,"-",J22)</f>
        <v>3000-czarny lakier strukturalny</v>
      </c>
      <c r="D452" s="196">
        <v>526478</v>
      </c>
      <c r="E452" s="419" t="str">
        <f>+VLOOKUP(A452,cennik!A:G,2,FALSE)</f>
        <v>SEVROLL 06123 listaw pozioma dolna 3m 10mm czarny lakier strukturalny</v>
      </c>
      <c r="F452" s="419" t="str">
        <f>+VLOOKUP(A452,cennik!A:B,2,FALSE)</f>
        <v>SEVROLL 06123 listaw pozioma dolna 3m 10mm czarny lakier strukturalny</v>
      </c>
      <c r="G452" s="417"/>
      <c r="H452" s="417">
        <v>3000</v>
      </c>
      <c r="I452" s="417" t="str">
        <f>CONCATENATE(H452,"-",J22)</f>
        <v>3000-czarny lakier strukturalny</v>
      </c>
      <c r="Z452" s="1" t="b">
        <f t="shared" si="9"/>
        <v>1</v>
      </c>
    </row>
    <row r="453" spans="1:26" s="430" customFormat="1" ht="15" customHeight="1" x14ac:dyDescent="0.3">
      <c r="A453" s="1"/>
      <c r="B453" s="48" t="s">
        <v>834</v>
      </c>
      <c r="C453" s="1"/>
      <c r="D453" s="1"/>
      <c r="E453" s="48"/>
      <c r="F453" s="48"/>
      <c r="G453" s="1"/>
      <c r="H453" s="1"/>
      <c r="I453" s="1"/>
      <c r="Z453" s="1" t="b">
        <f t="shared" si="9"/>
        <v>1</v>
      </c>
    </row>
    <row r="454" spans="1:26" s="430" customFormat="1" ht="15" customHeight="1" x14ac:dyDescent="0.3">
      <c r="A454" s="49">
        <v>278056</v>
      </c>
      <c r="B454" s="48"/>
      <c r="C454" s="1" t="str">
        <f>J4</f>
        <v>srebrny</v>
      </c>
      <c r="D454" s="49">
        <v>278056</v>
      </c>
      <c r="E454" s="48" t="str">
        <f>+VLOOKUP(A454,cennik!A:G,2,FALSE)</f>
        <v>SEVROLL Pax rączka 2,7m srebrny</v>
      </c>
      <c r="F454" s="48" t="str">
        <f>+VLOOKUP(A454,cennik!A:B,2,FALSE)</f>
        <v>SEVROLL Pax rączka 2,7m srebrny</v>
      </c>
      <c r="G454" s="1"/>
      <c r="H454" s="1">
        <v>2700</v>
      </c>
      <c r="I454" s="1" t="str">
        <f>J4</f>
        <v>srebrny</v>
      </c>
      <c r="Z454" s="1" t="b">
        <f t="shared" si="9"/>
        <v>1</v>
      </c>
    </row>
    <row r="455" spans="1:26" ht="15" customHeight="1" x14ac:dyDescent="0.3">
      <c r="A455" s="49">
        <v>284521</v>
      </c>
      <c r="B455" s="161"/>
      <c r="C455" s="1" t="str">
        <f>J15</f>
        <v> biały połysk</v>
      </c>
      <c r="D455" s="49">
        <v>284521</v>
      </c>
      <c r="E455" s="48" t="str">
        <f>+VLOOKUP(A455,cennik!A:G,2,FALSE)</f>
        <v>SEVROLL Pax rączka 2,7 m, biały połysk</v>
      </c>
      <c r="F455" s="48" t="str">
        <f>+VLOOKUP(A455,cennik!A:B,2,FALSE)</f>
        <v>SEVROLL Pax rączka 2,7 m, biały połysk</v>
      </c>
      <c r="H455" s="1">
        <v>2700</v>
      </c>
      <c r="I455" s="1" t="str">
        <f>J15</f>
        <v> biały połysk</v>
      </c>
      <c r="Z455" s="1" t="b">
        <f t="shared" si="9"/>
        <v>1</v>
      </c>
    </row>
    <row r="456" spans="1:26" ht="15" customHeight="1" x14ac:dyDescent="0.3">
      <c r="A456" s="431">
        <v>456332</v>
      </c>
      <c r="B456" s="430"/>
      <c r="C456" s="430" t="str">
        <f>J17</f>
        <v> czarny mat</v>
      </c>
      <c r="D456" s="431">
        <v>456332</v>
      </c>
      <c r="E456" s="48" t="str">
        <f>+VLOOKUP(A456,cennik!A:G,2,FALSE)</f>
        <v>SEVROLL Pax rączka 2,7 m, czarny mat</v>
      </c>
      <c r="F456" s="48" t="str">
        <f>+VLOOKUP(A456,cennik!A:B,2,FALSE)</f>
        <v>SEVROLL Pax rączka 2,7 m, czarny mat</v>
      </c>
      <c r="G456" s="430"/>
      <c r="H456" s="430">
        <v>2700</v>
      </c>
      <c r="I456" s="430" t="str">
        <f>J17</f>
        <v> czarny mat</v>
      </c>
      <c r="Z456" s="1" t="b">
        <f t="shared" si="9"/>
        <v>1</v>
      </c>
    </row>
    <row r="457" spans="1:26" s="430" customFormat="1" ht="15" customHeight="1" x14ac:dyDescent="0.3">
      <c r="A457" s="431"/>
      <c r="D457" s="431"/>
      <c r="E457" s="48"/>
      <c r="F457" s="48"/>
      <c r="Z457" s="1" t="b">
        <f t="shared" si="9"/>
        <v>1</v>
      </c>
    </row>
    <row r="458" spans="1:26" s="430" customFormat="1" ht="15" customHeight="1" x14ac:dyDescent="0.3">
      <c r="A458" s="49">
        <v>278057</v>
      </c>
      <c r="B458" s="161"/>
      <c r="C458" s="1" t="str">
        <f>J4</f>
        <v>srebrny</v>
      </c>
      <c r="D458" s="49">
        <v>278057</v>
      </c>
      <c r="E458" s="48" t="str">
        <f>+VLOOKUP(A458,cennik!A:G,2,FALSE)</f>
        <v>SEVROLL Pax rączka 3m srebrny</v>
      </c>
      <c r="F458" s="48" t="str">
        <f>+VLOOKUP(A458,cennik!A:B,2,FALSE)</f>
        <v>SEVROLL Pax rączka 3m srebrny</v>
      </c>
      <c r="G458" s="1"/>
      <c r="H458" s="1">
        <v>3000</v>
      </c>
      <c r="I458" s="1" t="str">
        <f>J4</f>
        <v>srebrny</v>
      </c>
      <c r="Z458" s="1" t="b">
        <f t="shared" si="9"/>
        <v>1</v>
      </c>
    </row>
    <row r="459" spans="1:26" ht="15" customHeight="1" x14ac:dyDescent="0.3">
      <c r="A459" s="49">
        <v>284523</v>
      </c>
      <c r="B459" s="161"/>
      <c r="C459" s="1" t="str">
        <f>J15</f>
        <v> biały połysk</v>
      </c>
      <c r="D459" s="49">
        <v>284523</v>
      </c>
      <c r="E459" s="48" t="str">
        <f>+VLOOKUP(A459,cennik!A:G,2,FALSE)</f>
        <v>SEVROLL Pax rączka 3 m, biały połysk</v>
      </c>
      <c r="F459" s="48" t="str">
        <f>+VLOOKUP(A459,cennik!A:B,2,FALSE)</f>
        <v>SEVROLL Pax rączka 3 m, biały połysk</v>
      </c>
      <c r="H459" s="1">
        <v>3000</v>
      </c>
      <c r="I459" s="1" t="str">
        <f>J15</f>
        <v> biały połysk</v>
      </c>
      <c r="Z459" s="1" t="b">
        <f t="shared" si="9"/>
        <v>1</v>
      </c>
    </row>
    <row r="460" spans="1:26" ht="15" customHeight="1" x14ac:dyDescent="0.3">
      <c r="A460" s="431">
        <v>456333</v>
      </c>
      <c r="B460" s="430"/>
      <c r="C460" s="430" t="str">
        <f>J17</f>
        <v> czarny mat</v>
      </c>
      <c r="D460" s="431">
        <v>456333</v>
      </c>
      <c r="E460" s="48" t="str">
        <f>+VLOOKUP(A460,cennik!A:G,2,FALSE)</f>
        <v>SEVROLL Pax rączka 3m, czarny mat</v>
      </c>
      <c r="F460" s="48" t="str">
        <f>+VLOOKUP(A460,cennik!A:B,2,FALSE)</f>
        <v>SEVROLL Pax rączka 3m, czarny mat</v>
      </c>
      <c r="G460" s="430"/>
      <c r="H460" s="430">
        <v>3000</v>
      </c>
      <c r="I460" s="430" t="str">
        <f>J17</f>
        <v> czarny mat</v>
      </c>
      <c r="Z460" s="1" t="b">
        <f t="shared" si="9"/>
        <v>1</v>
      </c>
    </row>
    <row r="461" spans="1:26" ht="15" customHeight="1" x14ac:dyDescent="0.3">
      <c r="A461" s="431"/>
      <c r="B461" s="430"/>
      <c r="C461" s="430"/>
      <c r="D461" s="431"/>
      <c r="E461" s="48"/>
      <c r="F461" s="48"/>
      <c r="G461" s="430"/>
      <c r="H461" s="430"/>
      <c r="I461" s="430"/>
      <c r="Z461" s="1" t="b">
        <f t="shared" si="9"/>
        <v>1</v>
      </c>
    </row>
    <row r="462" spans="1:26" ht="14.25" customHeight="1" x14ac:dyDescent="0.3">
      <c r="A462" s="49">
        <v>278058</v>
      </c>
      <c r="B462" s="161" t="s">
        <v>838</v>
      </c>
      <c r="C462" s="1" t="str">
        <f>CONCATENATE(H462,"-",K15)</f>
        <v>3000-bílá lesk</v>
      </c>
      <c r="D462" s="49">
        <v>278058</v>
      </c>
      <c r="E462" s="48" t="str">
        <f>+VLOOKUP(A462,cennik!A:G,2,FALSE)</f>
        <v>SEVROLL Pax listwa pozioma górna 3m srebrny</v>
      </c>
      <c r="F462" s="48" t="str">
        <f>+VLOOKUP(A462,cennik!A:B,2,FALSE)</f>
        <v>SEVROLL Pax listwa pozioma górna 3m srebrny</v>
      </c>
      <c r="H462" s="1">
        <v>3000</v>
      </c>
      <c r="I462" s="1" t="str">
        <f>J4</f>
        <v>srebrny</v>
      </c>
      <c r="Z462" s="1" t="b">
        <f t="shared" si="9"/>
        <v>1</v>
      </c>
    </row>
    <row r="463" spans="1:26" ht="15" customHeight="1" x14ac:dyDescent="0.3">
      <c r="A463" s="49">
        <v>284525</v>
      </c>
      <c r="B463" s="161"/>
      <c r="C463" s="1" t="str">
        <f>CONCATENATE(H463,"-",K15)</f>
        <v>3000-bílá lesk</v>
      </c>
      <c r="D463" s="49">
        <v>284525</v>
      </c>
      <c r="E463" s="48" t="str">
        <f>+VLOOKUP(A463,cennik!A:G,2,FALSE)</f>
        <v>SEVROLL Pax tor dolny 3m biały połysk</v>
      </c>
      <c r="F463" s="48" t="str">
        <f>+VLOOKUP(A463,cennik!A:B,2,FALSE)</f>
        <v>SEVROLL Pax tor dolny 3m biały połysk</v>
      </c>
      <c r="H463" s="1">
        <v>3000</v>
      </c>
      <c r="I463" s="1" t="str">
        <f>K15</f>
        <v>bílá lesk</v>
      </c>
      <c r="Z463" s="1" t="b">
        <f t="shared" si="9"/>
        <v>1</v>
      </c>
    </row>
    <row r="464" spans="1:26" ht="15" customHeight="1" x14ac:dyDescent="0.3">
      <c r="A464" s="49">
        <v>278059</v>
      </c>
      <c r="B464" s="161" t="s">
        <v>839</v>
      </c>
      <c r="C464" s="1" t="str">
        <f>CONCATENATE(H464,"-",K15)</f>
        <v>3000-bílá lesk</v>
      </c>
      <c r="D464" s="49">
        <v>278059</v>
      </c>
      <c r="E464" s="48" t="str">
        <f>+VLOOKUP(A464,cennik!A:G,2,FALSE)</f>
        <v>SEVROLL 04095 Gemini 4 maskownica dolna 3 m 4 mm, srebrna</v>
      </c>
      <c r="F464" s="48" t="str">
        <f>+VLOOKUP(A464,cennik!A:B,2,FALSE)</f>
        <v>SEVROLL 04095 Gemini 4 maskownica dolna 3 m 4 mm, srebrna</v>
      </c>
      <c r="H464" s="1">
        <v>3000</v>
      </c>
      <c r="I464" s="1" t="str">
        <f>J4</f>
        <v>srebrny</v>
      </c>
      <c r="Z464" s="1" t="b">
        <f t="shared" si="9"/>
        <v>1</v>
      </c>
    </row>
    <row r="465" spans="1:26" s="434" customFormat="1" ht="15" customHeight="1" x14ac:dyDescent="0.3">
      <c r="A465" s="49">
        <v>284526</v>
      </c>
      <c r="B465" s="161"/>
      <c r="C465" s="1" t="str">
        <f>CONCATENATE(H465,"-",K15)</f>
        <v>3000-bílá lesk</v>
      </c>
      <c r="D465" s="49">
        <v>284526</v>
      </c>
      <c r="E465" s="48" t="str">
        <f>+VLOOKUP(A465,cennik!A:G,2,FALSE)</f>
        <v>SEVROLL Pax maskownica dolna 3m 4mm biały połysk</v>
      </c>
      <c r="F465" s="48" t="str">
        <f>+VLOOKUP(A465,cennik!A:B,2,FALSE)</f>
        <v>SEVROLL Pax maskownica dolna 3m 4mm biały połysk</v>
      </c>
      <c r="G465" s="1"/>
      <c r="H465" s="1">
        <v>3000</v>
      </c>
      <c r="I465" s="1" t="str">
        <f>K15</f>
        <v>bílá lesk</v>
      </c>
      <c r="Z465" s="1" t="b">
        <f t="shared" si="9"/>
        <v>1</v>
      </c>
    </row>
    <row r="466" spans="1:26" s="434" customFormat="1" ht="15" customHeight="1" x14ac:dyDescent="0.3">
      <c r="A466" s="49">
        <v>288126</v>
      </c>
      <c r="B466" s="161" t="s">
        <v>841</v>
      </c>
      <c r="C466" s="143" t="str">
        <f>J4</f>
        <v>srebrny</v>
      </c>
      <c r="D466" s="49">
        <v>288126</v>
      </c>
      <c r="E466" s="48" t="str">
        <f>+VLOOKUP(A466,cennik!A:G,2,FALSE)</f>
        <v>SEVROLL Pax uchwyt przyklejany srebrny</v>
      </c>
      <c r="F466" s="48" t="str">
        <f>+VLOOKUP(A466,cennik!A:B,2,FALSE)</f>
        <v>SEVROLL Pax uchwyt przyklejany srebrny</v>
      </c>
      <c r="G466" s="1"/>
      <c r="H466" s="1"/>
      <c r="I466" s="1" t="str">
        <f>J4</f>
        <v>srebrny</v>
      </c>
      <c r="Z466" s="1" t="b">
        <f t="shared" si="9"/>
        <v>1</v>
      </c>
    </row>
    <row r="467" spans="1:26" ht="15" customHeight="1" x14ac:dyDescent="0.3">
      <c r="A467" s="49">
        <v>288125</v>
      </c>
      <c r="B467" s="48"/>
      <c r="C467" s="143" t="str">
        <f>J15</f>
        <v> biały połysk</v>
      </c>
      <c r="D467" s="49">
        <v>288125</v>
      </c>
      <c r="E467" s="48" t="str">
        <f>+VLOOKUP(A467,cennik!A:G,2,FALSE)</f>
        <v>SEVROLL Pax uchwyt przyklejany biały</v>
      </c>
      <c r="F467" s="48" t="str">
        <f>+VLOOKUP(A467,cennik!A:B,2,FALSE)</f>
        <v>SEVROLL Pax uchwyt przyklejany biały</v>
      </c>
      <c r="I467" s="1" t="str">
        <f>J15</f>
        <v> biały połysk</v>
      </c>
      <c r="Z467" s="1" t="b">
        <f t="shared" si="9"/>
        <v>1</v>
      </c>
    </row>
    <row r="468" spans="1:26" ht="15" customHeight="1" x14ac:dyDescent="0.3">
      <c r="A468" s="435">
        <v>278060</v>
      </c>
      <c r="B468" s="433" t="s">
        <v>840</v>
      </c>
      <c r="C468" s="434" t="str">
        <f>J4</f>
        <v>srebrny</v>
      </c>
      <c r="D468" s="435">
        <v>278060</v>
      </c>
      <c r="E468" s="432" t="str">
        <f>+VLOOKUP(A468,cennik!A:G,2,FALSE)</f>
        <v>SEVROLL Pax záslepka do rączki (4 szt) srebrny</v>
      </c>
      <c r="F468" s="432" t="str">
        <f>+VLOOKUP(A468,cennik!A:B,2,FALSE)</f>
        <v>SEVROLL Pax záslepka do rączki (4 szt) srebrny</v>
      </c>
      <c r="G468" s="434"/>
      <c r="H468" s="434"/>
      <c r="I468" s="434" t="str">
        <f>J4</f>
        <v>srebrny</v>
      </c>
      <c r="Z468" s="1" t="b">
        <f t="shared" si="9"/>
        <v>1</v>
      </c>
    </row>
    <row r="469" spans="1:26" ht="15" customHeight="1" x14ac:dyDescent="0.3">
      <c r="A469" s="435">
        <v>284529</v>
      </c>
      <c r="B469" s="433"/>
      <c r="C469" s="434" t="str">
        <f>J15</f>
        <v> biały połysk</v>
      </c>
      <c r="D469" s="435">
        <v>284529</v>
      </c>
      <c r="E469" s="432" t="str">
        <f>+VLOOKUP(A469,cennik!A:G,2,FALSE)</f>
        <v>SEVROLL Pax zaślepka do rączki (4 szt), biały połysk</v>
      </c>
      <c r="F469" s="432" t="str">
        <f>+VLOOKUP(A469,cennik!A:B,2,FALSE)</f>
        <v>SEVROLL Pax zaślepka do rączki (4 szt), biały połysk</v>
      </c>
      <c r="G469" s="434"/>
      <c r="H469" s="434"/>
      <c r="I469" s="434" t="str">
        <f>K15</f>
        <v>bílá lesk</v>
      </c>
      <c r="Z469" s="1" t="b">
        <f t="shared" si="9"/>
        <v>1</v>
      </c>
    </row>
    <row r="470" spans="1:26" ht="15" customHeight="1" x14ac:dyDescent="0.3">
      <c r="A470" s="1">
        <v>422012</v>
      </c>
      <c r="C470" s="1" t="str">
        <f>J17</f>
        <v> czarny mat</v>
      </c>
      <c r="D470" s="1">
        <v>422012</v>
      </c>
      <c r="E470" s="48" t="str">
        <f>+VLOOKUP(A470,cennik!A:G,2,FALSE)</f>
        <v>SEVROLL Pax zaślepka do rączki (4 szt.), czarny mat</v>
      </c>
      <c r="F470" s="48" t="str">
        <f>+VLOOKUP(A470,cennik!A:B,2,FALSE)</f>
        <v>SEVROLL Pax zaślepka do rączki (4 szt.), czarny mat</v>
      </c>
      <c r="I470" s="1" t="str">
        <f>J17</f>
        <v> czarny mat</v>
      </c>
      <c r="Z470" s="1" t="b">
        <f t="shared" si="9"/>
        <v>1</v>
      </c>
    </row>
    <row r="471" spans="1:26" ht="15" customHeight="1" x14ac:dyDescent="0.3">
      <c r="A471" s="49"/>
      <c r="B471" s="161"/>
      <c r="D471" s="49"/>
      <c r="E471" s="48"/>
      <c r="F471" s="48"/>
      <c r="Z471" s="1" t="b">
        <f t="shared" si="9"/>
        <v>1</v>
      </c>
    </row>
    <row r="472" spans="1:26" ht="15" customHeight="1" x14ac:dyDescent="0.3">
      <c r="A472" s="49">
        <v>212616</v>
      </c>
      <c r="B472" s="48"/>
      <c r="D472" s="49">
        <v>212616</v>
      </c>
      <c r="E472" s="48" t="str">
        <f>+VLOOKUP(A472,cennik!A:G,2,FALSE)</f>
        <v>SEVROLL stoper do torów Hide N i M</v>
      </c>
      <c r="F472" s="48" t="str">
        <f>+VLOOKUP(A472,cennik!A:B,2,FALSE)</f>
        <v>SEVROLL stoper do torów Hide N i M</v>
      </c>
      <c r="Z472" s="1" t="b">
        <f t="shared" si="9"/>
        <v>1</v>
      </c>
    </row>
    <row r="473" spans="1:26" ht="15" customHeight="1" x14ac:dyDescent="0.3">
      <c r="A473" s="49">
        <v>283904</v>
      </c>
      <c r="B473" s="48"/>
      <c r="C473" s="1" t="str">
        <f>CONCATENATE(H473,"-",J4)</f>
        <v>3000-srebrny</v>
      </c>
      <c r="D473" s="49">
        <v>283904</v>
      </c>
      <c r="E473" s="48" t="str">
        <f>+VLOOKUP(A473,cennik!A:G,2,FALSE)</f>
        <v>SEVROLL Pax listwa montażowa 3m srebrny</v>
      </c>
      <c r="F473" s="48" t="str">
        <f>+VLOOKUP(A473,cennik!A:B,2,FALSE)</f>
        <v>SEVROLL Pax listwa montażowa 3m srebrny</v>
      </c>
      <c r="H473" s="1">
        <v>3000</v>
      </c>
      <c r="I473" s="1" t="str">
        <f>J4</f>
        <v>srebrny</v>
      </c>
      <c r="Z473" s="1" t="b">
        <f t="shared" si="9"/>
        <v>1</v>
      </c>
    </row>
    <row r="474" spans="1:26" ht="15" customHeight="1" x14ac:dyDescent="0.3">
      <c r="A474" s="49"/>
      <c r="B474" s="48"/>
      <c r="D474" s="49"/>
      <c r="E474" s="48"/>
      <c r="F474" s="48"/>
      <c r="Z474" s="1" t="b">
        <f t="shared" si="9"/>
        <v>1</v>
      </c>
    </row>
    <row r="475" spans="1:26" ht="15" customHeight="1" x14ac:dyDescent="0.3">
      <c r="A475" s="49"/>
      <c r="B475" s="162" t="s">
        <v>951</v>
      </c>
      <c r="D475" s="49"/>
      <c r="E475" s="48"/>
      <c r="F475" s="48"/>
      <c r="G475" s="1" t="e">
        <f>+VLOOKUP(A475,#REF!,4,FALSE)</f>
        <v>#REF!</v>
      </c>
      <c r="H475" s="1" t="s">
        <v>68</v>
      </c>
      <c r="Z475" s="1" t="b">
        <f t="shared" si="9"/>
        <v>1</v>
      </c>
    </row>
    <row r="476" spans="1:26" ht="15" customHeight="1" x14ac:dyDescent="0.3">
      <c r="A476" s="49">
        <v>224152</v>
      </c>
      <c r="B476" s="162"/>
      <c r="C476" s="1" t="str">
        <f>CONCATENATE(H476,"-",J4)</f>
        <v>1500-srebrny</v>
      </c>
      <c r="D476" s="49">
        <v>224152</v>
      </c>
      <c r="E476" s="48" t="str">
        <f>+VLOOKUP(A476,cennik!A:G,2,FALSE)</f>
        <v>SEVROLL maskownica dolna Simple/Blue 1,5m (do płyty laminowanej 10mm) srebrny</v>
      </c>
      <c r="F476" s="48" t="str">
        <f>+VLOOKUP(A476,cennik!A:B,2,FALSE)</f>
        <v>SEVROLL maskownica dolna Simple/Blue 1,5m (do płyty laminowanej 10mm) srebrny</v>
      </c>
      <c r="H476" s="1">
        <v>1500</v>
      </c>
      <c r="I476" s="1" t="str">
        <f>CONCATENATE(H476,"-",J4)</f>
        <v>1500-srebrny</v>
      </c>
      <c r="Z476" s="1" t="b">
        <f t="shared" si="9"/>
        <v>1</v>
      </c>
    </row>
    <row r="477" spans="1:26" ht="15" customHeight="1" x14ac:dyDescent="0.3">
      <c r="A477" s="49">
        <v>224153</v>
      </c>
      <c r="B477" s="162"/>
      <c r="C477" s="1" t="str">
        <f>CONCATENATE(H477,"-",J4)</f>
        <v>2000-srebrny</v>
      </c>
      <c r="D477" s="49">
        <v>224153</v>
      </c>
      <c r="E477" s="48" t="str">
        <f>+VLOOKUP(A477,cennik!A:G,2,FALSE)</f>
        <v>SEVROLL maskownica dolna Simple/Blue 2m (do płyty laminowanej 10mm) srebrny</v>
      </c>
      <c r="F477" s="48" t="str">
        <f>+VLOOKUP(A477,cennik!A:B,2,FALSE)</f>
        <v>SEVROLL maskownica dolna Simple/Blue 2m (do płyty laminowanej 10mm) srebrny</v>
      </c>
      <c r="H477" s="1">
        <v>2000</v>
      </c>
      <c r="I477" s="1" t="str">
        <f>CONCATENATE(H477,"-",J4)</f>
        <v>2000-srebrny</v>
      </c>
      <c r="Z477" s="1" t="b">
        <f t="shared" si="9"/>
        <v>1</v>
      </c>
    </row>
    <row r="478" spans="1:26" ht="15" customHeight="1" x14ac:dyDescent="0.3">
      <c r="A478" s="49">
        <v>222574</v>
      </c>
      <c r="B478" s="163"/>
      <c r="C478" s="1" t="str">
        <f>CONCATENATE(H478,"-",J4)</f>
        <v>3000-srebrny</v>
      </c>
      <c r="D478" s="49">
        <v>222574</v>
      </c>
      <c r="E478" s="48" t="str">
        <f>+VLOOKUP(A478,cennik!A:G,2,FALSE)</f>
        <v>SEVROLL maskownica dolna Simple/Blue 3m (do płyty laminowanej 10mm) srebrny</v>
      </c>
      <c r="F478" s="48" t="str">
        <f>+VLOOKUP(A478,cennik!A:B,2,FALSE)</f>
        <v>SEVROLL maskownica dolna Simple/Blue 3m (do płyty laminowanej 10mm) srebrny</v>
      </c>
      <c r="H478" s="1">
        <v>3000</v>
      </c>
      <c r="I478" s="1" t="str">
        <f>CONCATENATE(H478,"-",J4)</f>
        <v>3000-srebrny</v>
      </c>
      <c r="Z478" s="1" t="b">
        <f t="shared" si="9"/>
        <v>1</v>
      </c>
    </row>
    <row r="479" spans="1:26" ht="15" customHeight="1" x14ac:dyDescent="0.3">
      <c r="A479" s="49">
        <v>224155</v>
      </c>
      <c r="B479" s="163"/>
      <c r="C479" s="1" t="str">
        <f>CONCATENATE(H479,"-",J6)</f>
        <v>1500-j.brąz</v>
      </c>
      <c r="D479" s="49">
        <v>224155</v>
      </c>
      <c r="E479" s="48" t="str">
        <f>+VLOOKUP(A479,cennik!A:G,2,FALSE)</f>
        <v>SEVROLL maskownica dolna Simple/Blue 1,5 m (do płyty laminowanej 10 mm) oliwka</v>
      </c>
      <c r="F479" s="48" t="str">
        <f>+VLOOKUP(A479,cennik!A:B,2,FALSE)</f>
        <v>SEVROLL maskownica dolna Simple/Blue 1,5 m (do płyty laminowanej 10 mm) oliwka</v>
      </c>
      <c r="H479" s="1">
        <v>1500</v>
      </c>
      <c r="I479" s="1" t="str">
        <f>CONCATENATE(H479,"-",J6)</f>
        <v>1500-j.brąz</v>
      </c>
      <c r="Z479" s="1" t="b">
        <f t="shared" si="9"/>
        <v>1</v>
      </c>
    </row>
    <row r="480" spans="1:26" ht="15" customHeight="1" x14ac:dyDescent="0.3">
      <c r="A480" s="49">
        <v>224156</v>
      </c>
      <c r="B480" s="163"/>
      <c r="C480" s="1" t="str">
        <f>CONCATENATE(H480,"-",J6)</f>
        <v>2000-j.brąz</v>
      </c>
      <c r="D480" s="49">
        <v>224156</v>
      </c>
      <c r="E480" s="48" t="str">
        <f>+VLOOKUP(A480,cennik!A:G,2,FALSE)</f>
        <v>SEVROLL maskownica dolna Simple/Blue 2 m (do płyty laminowanej 10 mm) oliwka</v>
      </c>
      <c r="F480" s="48" t="str">
        <f>+VLOOKUP(A480,cennik!A:B,2,FALSE)</f>
        <v>SEVROLL maskownica dolna Simple/Blue 2 m (do płyty laminowanej 10 mm) oliwka</v>
      </c>
      <c r="H480" s="1">
        <v>2000</v>
      </c>
      <c r="I480" s="1" t="str">
        <f>CONCATENATE(H480,"-",J6)</f>
        <v>2000-j.brąz</v>
      </c>
      <c r="Z480" s="1" t="b">
        <f t="shared" si="9"/>
        <v>1</v>
      </c>
    </row>
    <row r="481" spans="1:26" ht="15" customHeight="1" x14ac:dyDescent="0.3">
      <c r="A481" s="49">
        <v>223564</v>
      </c>
      <c r="B481" s="163"/>
      <c r="C481" s="1" t="str">
        <f>CONCATENATE(H481,"-",J6)</f>
        <v>3000-j.brąz</v>
      </c>
      <c r="D481" s="49">
        <v>223564</v>
      </c>
      <c r="E481" s="48" t="str">
        <f>+VLOOKUP(A481,cennik!A:G,2,FALSE)</f>
        <v>SEVROLL maskownica dolna Simple/Blue 3m (do płyty laminowanej 10mm) jasny brąz</v>
      </c>
      <c r="F481" s="48" t="str">
        <f>+VLOOKUP(A481,cennik!A:B,2,FALSE)</f>
        <v>SEVROLL maskownica dolna Simple/Blue 3m (do płyty laminowanej 10mm) jasny brąz</v>
      </c>
      <c r="H481" s="1">
        <v>3000</v>
      </c>
      <c r="I481" s="1" t="str">
        <f>CONCATENATE(H481,"-",J6)</f>
        <v>3000-j.brąz</v>
      </c>
      <c r="Z481" s="1" t="b">
        <f t="shared" si="9"/>
        <v>1</v>
      </c>
    </row>
    <row r="482" spans="1:26" ht="15" customHeight="1" x14ac:dyDescent="0.3">
      <c r="A482" s="49"/>
      <c r="B482" s="162" t="s">
        <v>952</v>
      </c>
      <c r="D482" s="49"/>
      <c r="E482" s="48" t="e">
        <f>+VLOOKUP(A482,cennik!A:G,2,FALSE)</f>
        <v>#N/A</v>
      </c>
      <c r="F482" s="48" t="e">
        <f>+VLOOKUP(A482,cennik!A:B,2,FALSE)</f>
        <v>#N/A</v>
      </c>
      <c r="Z482" s="1" t="b">
        <f t="shared" si="9"/>
        <v>1</v>
      </c>
    </row>
    <row r="483" spans="1:26" ht="15" customHeight="1" x14ac:dyDescent="0.3">
      <c r="A483" s="49">
        <v>224137</v>
      </c>
      <c r="B483" s="162"/>
      <c r="C483" s="1" t="str">
        <f>CONCATENATE(H483,"-",J4)</f>
        <v>1500-srebrny</v>
      </c>
      <c r="D483" s="49">
        <v>224137</v>
      </c>
      <c r="E483" s="48" t="str">
        <f>+VLOOKUP(A483,cennik!A:G,2,FALSE)</f>
        <v>SEVROLL maskownica dolna Simple/Blue 1,5m (do płyty laminowanej 18mm) srebrny</v>
      </c>
      <c r="F483" s="48" t="str">
        <f>+VLOOKUP(A483,cennik!A:B,2,FALSE)</f>
        <v>SEVROLL maskownica dolna Simple/Blue 1,5m (do płyty laminowanej 18mm) srebrny</v>
      </c>
      <c r="H483" s="1">
        <v>1500</v>
      </c>
      <c r="I483" s="1" t="str">
        <f>CONCATENATE(H483,"-",J4)</f>
        <v>1500-srebrny</v>
      </c>
      <c r="Z483" s="1" t="b">
        <f t="shared" si="9"/>
        <v>1</v>
      </c>
    </row>
    <row r="484" spans="1:26" ht="15" customHeight="1" x14ac:dyDescent="0.3">
      <c r="A484" s="49">
        <v>224138</v>
      </c>
      <c r="B484" s="162"/>
      <c r="C484" s="1" t="str">
        <f>CONCATENATE(H484,"-",J4)</f>
        <v>2000-srebrny</v>
      </c>
      <c r="D484" s="49">
        <v>224138</v>
      </c>
      <c r="E484" s="48" t="str">
        <f>+VLOOKUP(A484,cennik!A:G,2,FALSE)</f>
        <v>SEVROLL maskownica dolna Simple/Blue 2m (do płyty laminowanej 18mm) srebrny</v>
      </c>
      <c r="F484" s="48" t="str">
        <f>+VLOOKUP(A484,cennik!A:B,2,FALSE)</f>
        <v>SEVROLL maskownica dolna Simple/Blue 2m (do płyty laminowanej 18mm) srebrny</v>
      </c>
      <c r="H484" s="1">
        <v>2000</v>
      </c>
      <c r="I484" s="1" t="str">
        <f>CONCATENATE(H484,"-",J4)</f>
        <v>2000-srebrny</v>
      </c>
      <c r="Z484" s="1" t="b">
        <f t="shared" si="9"/>
        <v>1</v>
      </c>
    </row>
    <row r="485" spans="1:26" ht="15" customHeight="1" x14ac:dyDescent="0.3">
      <c r="A485" s="49">
        <v>222572</v>
      </c>
      <c r="B485" s="163"/>
      <c r="C485" s="1" t="str">
        <f>CONCATENATE(H485,"-",J4)</f>
        <v>3000-srebrny</v>
      </c>
      <c r="D485" s="49">
        <v>222572</v>
      </c>
      <c r="E485" s="48" t="str">
        <f>+VLOOKUP(A485,cennik!A:G,2,FALSE)</f>
        <v>SEVROLL maskownica dolna Simple/Blue 3m (do płyty laminowanej 18mm) srebrny</v>
      </c>
      <c r="F485" s="48" t="str">
        <f>+VLOOKUP(A485,cennik!A:B,2,FALSE)</f>
        <v>SEVROLL maskownica dolna Simple/Blue 3m (do płyty laminowanej 18mm) srebrny</v>
      </c>
      <c r="H485" s="1">
        <v>3000</v>
      </c>
      <c r="I485" s="1" t="str">
        <f>CONCATENATE(H485,"-",J4)</f>
        <v>3000-srebrny</v>
      </c>
      <c r="Z485" s="1" t="b">
        <f t="shared" si="9"/>
        <v>1</v>
      </c>
    </row>
    <row r="486" spans="1:26" ht="15" customHeight="1" x14ac:dyDescent="0.3">
      <c r="A486" s="1">
        <v>488235</v>
      </c>
      <c r="B486" s="445"/>
      <c r="C486" s="1" t="str">
        <f>CONCATENATE(H486,"-",J17)</f>
        <v>1500- czarny mat</v>
      </c>
      <c r="D486" s="1">
        <v>488235</v>
      </c>
      <c r="E486" s="48" t="str">
        <f>+VLOOKUP(A486,cennik!A:G,2,FALSE)</f>
        <v>SEVROLL 05747 dolna maskownica Simple/Blue 2m (do lamina18mm), czarny mat</v>
      </c>
      <c r="F486" s="48" t="str">
        <f>+VLOOKUP(A486,cennik!A:B,2,FALSE)</f>
        <v>SEVROLL 05747 dolna maskownica Simple/Blue 2m (do lamina18mm), czarny mat</v>
      </c>
      <c r="H486" s="1">
        <v>1500</v>
      </c>
      <c r="I486" s="1" t="str">
        <f>CONCATENATE(H486,"-",J17)</f>
        <v>1500- czarny mat</v>
      </c>
      <c r="Z486" s="1" t="b">
        <f t="shared" si="9"/>
        <v>1</v>
      </c>
    </row>
    <row r="487" spans="1:26" ht="15" customHeight="1" x14ac:dyDescent="0.3">
      <c r="A487" s="1">
        <v>488235</v>
      </c>
      <c r="B487" s="445"/>
      <c r="C487" s="1" t="str">
        <f>CONCATENATE(H487,"-",J17)</f>
        <v>2000- czarny mat</v>
      </c>
      <c r="D487" s="1">
        <v>488235</v>
      </c>
      <c r="E487" s="48" t="str">
        <f>+VLOOKUP(A487,cennik!A:G,2,FALSE)</f>
        <v>SEVROLL 05747 dolna maskownica Simple/Blue 2m (do lamina18mm), czarny mat</v>
      </c>
      <c r="F487" s="48" t="str">
        <f>+VLOOKUP(A487,cennik!A:B,2,FALSE)</f>
        <v>SEVROLL 05747 dolna maskownica Simple/Blue 2m (do lamina18mm), czarny mat</v>
      </c>
      <c r="H487" s="1">
        <v>2000</v>
      </c>
      <c r="I487" s="1" t="str">
        <f>CONCATENATE(H487,"-",J17)</f>
        <v>2000- czarny mat</v>
      </c>
      <c r="Z487" s="1" t="b">
        <f t="shared" si="9"/>
        <v>1</v>
      </c>
    </row>
    <row r="488" spans="1:26" ht="15" customHeight="1" x14ac:dyDescent="0.3">
      <c r="A488" s="1">
        <v>488236</v>
      </c>
      <c r="B488" s="445"/>
      <c r="C488" s="1" t="str">
        <f>CONCATENATE(H488,"-",J17)</f>
        <v>3000- czarny mat</v>
      </c>
      <c r="D488" s="1">
        <v>488236</v>
      </c>
      <c r="E488" s="48" t="str">
        <f>+VLOOKUP(A488,cennik!A:G,2,FALSE)</f>
        <v>SEVROLL 05748 maskownica dolna Simple/Blue 3m (do płyty 18mm) czarny mat</v>
      </c>
      <c r="F488" s="48" t="str">
        <f>+VLOOKUP(A488,cennik!A:B,2,FALSE)</f>
        <v>SEVROLL 05748 maskownica dolna Simple/Blue 3m (do płyty 18mm) czarny mat</v>
      </c>
      <c r="H488" s="1">
        <v>3000</v>
      </c>
      <c r="I488" s="1" t="str">
        <f>CONCATENATE(H488,"-",J17)</f>
        <v>3000- czarny mat</v>
      </c>
      <c r="Z488" s="1" t="b">
        <f t="shared" si="9"/>
        <v>1</v>
      </c>
    </row>
    <row r="489" spans="1:26" ht="15" customHeight="1" x14ac:dyDescent="0.3">
      <c r="A489" s="434">
        <v>394231</v>
      </c>
      <c r="B489" s="434"/>
      <c r="C489" s="434" t="str">
        <f>CONCATENATE(H489,"-",J15)</f>
        <v>1500- biały połysk</v>
      </c>
      <c r="D489" s="434">
        <v>394231</v>
      </c>
      <c r="E489" s="432" t="str">
        <f>+VLOOKUP(A489,cennik!A:G,2,FALSE)</f>
        <v>SEVROLL dolna listwa maskująca Simple/Blue 2m(do lam.18mm) biały błyszczący</v>
      </c>
      <c r="F489" s="432" t="str">
        <f>+VLOOKUP(A489,cennik!A:B,2,FALSE)</f>
        <v>SEVROLL dolna listwa maskująca Simple/Blue 2m(do lam.18mm) biały błyszczący</v>
      </c>
      <c r="G489" s="434"/>
      <c r="H489" s="434">
        <v>1500</v>
      </c>
      <c r="I489" s="434" t="str">
        <f>CONCATENATE(H489,"-",J15)</f>
        <v>1500- biały połysk</v>
      </c>
      <c r="Z489" s="1" t="b">
        <f t="shared" si="9"/>
        <v>1</v>
      </c>
    </row>
    <row r="490" spans="1:26" ht="15" customHeight="1" x14ac:dyDescent="0.3">
      <c r="A490" s="434">
        <v>394231</v>
      </c>
      <c r="B490" s="434"/>
      <c r="C490" s="434" t="str">
        <f>CONCATENATE(H490,"-",J15)</f>
        <v>2000- biały połysk</v>
      </c>
      <c r="D490" s="434">
        <v>394231</v>
      </c>
      <c r="E490" s="432" t="str">
        <f>+VLOOKUP(A490,cennik!A:G,2,FALSE)</f>
        <v>SEVROLL dolna listwa maskująca Simple/Blue 2m(do lam.18mm) biały błyszczący</v>
      </c>
      <c r="F490" s="432" t="str">
        <f>+VLOOKUP(A490,cennik!A:B,2,FALSE)</f>
        <v>SEVROLL dolna listwa maskująca Simple/Blue 2m(do lam.18mm) biały błyszczący</v>
      </c>
      <c r="G490" s="434"/>
      <c r="H490" s="434">
        <v>2000</v>
      </c>
      <c r="I490" s="434" t="str">
        <f>CONCATENATE(H490,"-",J15)</f>
        <v>2000- biały połysk</v>
      </c>
      <c r="Z490" s="1" t="b">
        <f t="shared" si="9"/>
        <v>1</v>
      </c>
    </row>
    <row r="491" spans="1:26" ht="15" customHeight="1" x14ac:dyDescent="0.3">
      <c r="A491" s="434">
        <v>394265</v>
      </c>
      <c r="B491" s="434"/>
      <c r="C491" s="434" t="str">
        <f>CONCATENATE(H491,"-",J15)</f>
        <v>3000- biały połysk</v>
      </c>
      <c r="D491" s="434">
        <v>394265</v>
      </c>
      <c r="E491" s="432" t="str">
        <f>+VLOOKUP(A491,cennik!A:G,2,FALSE)</f>
        <v>SEVROLL maskownica dolna Simple/Blue 3m (do płyty laminowanej 18mm) biały połysk</v>
      </c>
      <c r="F491" s="432" t="str">
        <f>+VLOOKUP(A491,cennik!A:B,2,FALSE)</f>
        <v>SEVROLL maskownica dolna Simple/Blue 3m (do płyty laminowanej 18mm) biały połysk</v>
      </c>
      <c r="G491" s="434"/>
      <c r="H491" s="434">
        <v>3000</v>
      </c>
      <c r="I491" s="434" t="str">
        <f>CONCATENATE(H491,"-",J15)</f>
        <v>3000- biały połysk</v>
      </c>
      <c r="Z491" s="1" t="b">
        <f t="shared" si="9"/>
        <v>1</v>
      </c>
    </row>
    <row r="492" spans="1:26" ht="15" customHeight="1" x14ac:dyDescent="0.3">
      <c r="A492" s="49">
        <v>224141</v>
      </c>
      <c r="B492" s="163"/>
      <c r="C492" s="1" t="str">
        <f>CONCATENATE(H492,"-",J6)</f>
        <v>1500-j.brąz</v>
      </c>
      <c r="D492" s="49">
        <v>224141</v>
      </c>
      <c r="E492" s="48" t="str">
        <f>+VLOOKUP(A492,cennik!A:G,2,FALSE)</f>
        <v>SEVROLL maskownica dolna Simple/Blue 2m (do płyty laminowanej 18mm) jasny brąz</v>
      </c>
      <c r="F492" s="48" t="str">
        <f>+VLOOKUP(A492,cennik!A:B,2,FALSE)</f>
        <v>SEVROLL maskownica dolna Simple/Blue 2m (do płyty laminowanej 18mm) jasny brąz</v>
      </c>
      <c r="H492" s="1">
        <v>1500</v>
      </c>
      <c r="I492" s="1" t="str">
        <f>CONCATENATE(H492,"-",J6)</f>
        <v>1500-j.brąz</v>
      </c>
      <c r="Z492" s="1" t="b">
        <f t="shared" si="9"/>
        <v>1</v>
      </c>
    </row>
    <row r="493" spans="1:26" s="425" customFormat="1" ht="15" customHeight="1" x14ac:dyDescent="0.3">
      <c r="A493" s="49">
        <v>224141</v>
      </c>
      <c r="B493" s="163"/>
      <c r="C493" s="1" t="str">
        <f>CONCATENATE(H493,"-",J6)</f>
        <v>2000-j.brąz</v>
      </c>
      <c r="D493" s="49">
        <v>224141</v>
      </c>
      <c r="E493" s="48" t="str">
        <f>+VLOOKUP(A493,cennik!A:G,2,FALSE)</f>
        <v>SEVROLL maskownica dolna Simple/Blue 2m (do płyty laminowanej 18mm) jasny brąz</v>
      </c>
      <c r="F493" s="48" t="str">
        <f>+VLOOKUP(A493,cennik!A:B,2,FALSE)</f>
        <v>SEVROLL maskownica dolna Simple/Blue 2m (do płyty laminowanej 18mm) jasny brąz</v>
      </c>
      <c r="G493" s="1"/>
      <c r="H493" s="1">
        <v>2000</v>
      </c>
      <c r="I493" s="1" t="str">
        <f>CONCATENATE(H493,"-",J6)</f>
        <v>2000-j.brąz</v>
      </c>
      <c r="Z493" s="1" t="b">
        <f t="shared" si="9"/>
        <v>1</v>
      </c>
    </row>
    <row r="494" spans="1:26" s="425" customFormat="1" ht="15" customHeight="1" x14ac:dyDescent="0.3">
      <c r="A494" s="49">
        <v>223562</v>
      </c>
      <c r="B494" s="163"/>
      <c r="C494" s="1" t="str">
        <f>CONCATENATE(H494,"-",J6)</f>
        <v>3000-j.brąz</v>
      </c>
      <c r="D494" s="49">
        <v>223562</v>
      </c>
      <c r="E494" s="48" t="str">
        <f>+VLOOKUP(A494,cennik!A:G,2,FALSE)</f>
        <v>SEVROLL maskownica dolna Simple/Blue 3m (do płyty laminowanej 18mm) jasny brąz</v>
      </c>
      <c r="F494" s="48" t="str">
        <f>+VLOOKUP(A494,cennik!A:B,2,FALSE)</f>
        <v>SEVROLL maskownica dolna Simple/Blue 3m (do płyty laminowanej 18mm) jasny brąz</v>
      </c>
      <c r="G494" s="1"/>
      <c r="H494" s="1">
        <v>3000</v>
      </c>
      <c r="I494" s="1" t="str">
        <f>CONCATENATE(H494,"-",J6)</f>
        <v>3000-j.brąz</v>
      </c>
      <c r="Z494" s="1" t="b">
        <f t="shared" si="9"/>
        <v>1</v>
      </c>
    </row>
    <row r="495" spans="1:26" s="425" customFormat="1" ht="15" customHeight="1" x14ac:dyDescent="0.3">
      <c r="A495" s="49"/>
      <c r="B495" s="48"/>
      <c r="C495" s="1"/>
      <c r="D495" s="49"/>
      <c r="E495" s="48" t="e">
        <f>+VLOOKUP(A495,cennik!A:G,2,FALSE)</f>
        <v>#N/A</v>
      </c>
      <c r="F495" s="48" t="e">
        <f>+VLOOKUP(A495,cennik!A:B,2,FALSE)</f>
        <v>#N/A</v>
      </c>
      <c r="G495" s="1" t="e">
        <f>+VLOOKUP(A495,#REF!,4,FALSE)</f>
        <v>#REF!</v>
      </c>
      <c r="H495" s="1" t="s">
        <v>68</v>
      </c>
      <c r="I495" s="1"/>
      <c r="Z495" s="1" t="b">
        <f t="shared" si="9"/>
        <v>1</v>
      </c>
    </row>
    <row r="496" spans="1:26" s="425" customFormat="1" ht="15" customHeight="1" x14ac:dyDescent="0.3">
      <c r="A496" s="428">
        <v>89236</v>
      </c>
      <c r="B496" s="426" t="s">
        <v>29</v>
      </c>
      <c r="C496" s="425" t="str">
        <f t="shared" ref="C496:C501" si="10">J4</f>
        <v>srebrny</v>
      </c>
      <c r="D496" s="428">
        <v>89236</v>
      </c>
      <c r="E496" s="426" t="str">
        <f>+VLOOKUP(A496,cennik!A:G,2,FALSE)</f>
        <v>SEVROLL listwa łącząca H10 3m srebrna</v>
      </c>
      <c r="F496" s="426" t="str">
        <f>+VLOOKUP(A496,cennik!A:B,2,FALSE)</f>
        <v>SEVROLL listwa łącząca H10 3m srebrna</v>
      </c>
      <c r="G496" s="425" t="e">
        <f>+VLOOKUP(A496,#REF!,4,FALSE)</f>
        <v>#REF!</v>
      </c>
      <c r="I496" s="425" t="str">
        <f t="shared" ref="I496:I501" si="11">J4</f>
        <v>srebrny</v>
      </c>
      <c r="Z496" s="1" t="b">
        <f t="shared" si="9"/>
        <v>1</v>
      </c>
    </row>
    <row r="497" spans="1:26" s="425" customFormat="1" ht="15" customHeight="1" x14ac:dyDescent="0.3">
      <c r="A497" s="428">
        <v>542870</v>
      </c>
      <c r="B497" s="426"/>
      <c r="C497" s="425" t="str">
        <f t="shared" si="10"/>
        <v>złoty/mosiądz</v>
      </c>
      <c r="D497" s="428">
        <v>542870</v>
      </c>
      <c r="E497" s="426" t="str">
        <f>+VLOOKUP(A497,cennik!A:G,2,FALSE)</f>
        <v>SEVROLL 06793 listwa łącząca H10 3m złoty/mosiądz</v>
      </c>
      <c r="F497" s="426" t="str">
        <f>+VLOOKUP(A497,cennik!A:B,2,FALSE)</f>
        <v>SEVROLL 06793 listwa łącząca H10 3m złoty/mosiądz</v>
      </c>
      <c r="G497" s="425" t="e">
        <f>+VLOOKUP(A497,#REF!,4,FALSE)</f>
        <v>#REF!</v>
      </c>
      <c r="I497" s="425" t="str">
        <f t="shared" si="11"/>
        <v>złoty/mosiądz</v>
      </c>
      <c r="Z497" s="1" t="b">
        <f t="shared" si="9"/>
        <v>1</v>
      </c>
    </row>
    <row r="498" spans="1:26" s="425" customFormat="1" ht="15" customHeight="1" x14ac:dyDescent="0.3">
      <c r="A498" s="428">
        <v>89237</v>
      </c>
      <c r="B498" s="426"/>
      <c r="C498" s="425" t="str">
        <f t="shared" si="10"/>
        <v>j.brąz</v>
      </c>
      <c r="D498" s="428">
        <v>89237</v>
      </c>
      <c r="E498" s="426" t="str">
        <f>+VLOOKUP(A498,cennik!A:G,2,FALSE)</f>
        <v>SEVROLL listwa łącząca H10 3m jasny brąz</v>
      </c>
      <c r="F498" s="426" t="str">
        <f>+VLOOKUP(A498,cennik!A:B,2,FALSE)</f>
        <v>SEVROLL listwa łącząca H10 3m jasny brąz</v>
      </c>
      <c r="G498" s="425" t="e">
        <f>+VLOOKUP(A498,#REF!,4,FALSE)</f>
        <v>#REF!</v>
      </c>
      <c r="I498" s="425" t="str">
        <f t="shared" si="11"/>
        <v>j.brąz</v>
      </c>
      <c r="Z498" s="1" t="b">
        <f t="shared" si="9"/>
        <v>1</v>
      </c>
    </row>
    <row r="499" spans="1:26" s="425" customFormat="1" ht="15" customHeight="1" x14ac:dyDescent="0.3">
      <c r="A499" s="428">
        <v>121028</v>
      </c>
      <c r="B499" s="426"/>
      <c r="C499" s="425" t="str">
        <f t="shared" si="10"/>
        <v>j.brąz szczotkowany</v>
      </c>
      <c r="D499" s="428">
        <v>121028</v>
      </c>
      <c r="E499" s="426" t="str">
        <f>+VLOOKUP(A499,cennik!A:G,2,FALSE)</f>
        <v>SEVROLL 02493-Y Listwa łącząca H10 3m jasny brąz szczotkowany</v>
      </c>
      <c r="F499" s="426" t="str">
        <f>+VLOOKUP(A499,cennik!A:B,2,FALSE)</f>
        <v>SEVROLL 02493-Y Listwa łącząca H10 3m jasny brąz szczotkowany</v>
      </c>
      <c r="I499" s="425" t="str">
        <f t="shared" si="11"/>
        <v>j.brąz szczotkowany</v>
      </c>
      <c r="Z499" s="1" t="b">
        <f t="shared" si="9"/>
        <v>1</v>
      </c>
    </row>
    <row r="500" spans="1:26" s="425" customFormat="1" ht="15" customHeight="1" x14ac:dyDescent="0.3">
      <c r="A500" s="428">
        <v>205160</v>
      </c>
      <c r="B500" s="426"/>
      <c r="C500" s="425" t="str">
        <f t="shared" si="10"/>
        <v>szczot.oliwa ciemna</v>
      </c>
      <c r="D500" s="428">
        <v>205160</v>
      </c>
      <c r="E500" s="426" t="str">
        <f>+VLOOKUP(A500,cennik!A:G,2,FALSE)</f>
        <v>SEVROLL listwa łącząca H10 3 m oliwka ciemna szczotkowana</v>
      </c>
      <c r="F500" s="426" t="str">
        <f>+VLOOKUP(A500,cennik!A:B,2,FALSE)</f>
        <v>SEVROLL listwa łącząca H10 3 m oliwka ciemna szczotkowana</v>
      </c>
      <c r="I500" s="425" t="str">
        <f t="shared" si="11"/>
        <v>szczot.oliwa ciemna</v>
      </c>
      <c r="Z500" s="1" t="b">
        <f t="shared" si="9"/>
        <v>1</v>
      </c>
    </row>
    <row r="501" spans="1:26" s="425" customFormat="1" ht="15" customHeight="1" x14ac:dyDescent="0.3">
      <c r="A501" s="428">
        <v>205161</v>
      </c>
      <c r="B501" s="426"/>
      <c r="C501" s="425" t="str">
        <f t="shared" si="10"/>
        <v>szczot.czarna</v>
      </c>
      <c r="D501" s="428">
        <v>205161</v>
      </c>
      <c r="E501" s="426" t="str">
        <f>+VLOOKUP(A501,cennik!A:G,2,FALSE)</f>
        <v>SEVROLL listwa łącząca H10 3m czarna szczotkowana</v>
      </c>
      <c r="F501" s="426" t="str">
        <f>+VLOOKUP(A501,cennik!A:B,2,FALSE)</f>
        <v>SEVROLL listwa łącząca H10 3m czarna szczotkowana</v>
      </c>
      <c r="I501" s="425" t="str">
        <f t="shared" si="11"/>
        <v>szczot.czarna</v>
      </c>
      <c r="Z501" s="1" t="b">
        <f t="shared" si="9"/>
        <v>1</v>
      </c>
    </row>
    <row r="502" spans="1:26" ht="15" customHeight="1" x14ac:dyDescent="0.3">
      <c r="A502" s="428">
        <v>276739</v>
      </c>
      <c r="B502" s="426"/>
      <c r="C502" s="425" t="str">
        <f>J15</f>
        <v> biały połysk</v>
      </c>
      <c r="D502" s="428">
        <v>276739</v>
      </c>
      <c r="E502" s="426" t="str">
        <f>+VLOOKUP(A502,cennik!A:G,2,FALSE)</f>
        <v>SEVROLL listwa łącząca H10 3m biały połysk</v>
      </c>
      <c r="F502" s="426" t="str">
        <f>+VLOOKUP(A502,cennik!A:B,2,FALSE)</f>
        <v>SEVROLL listwa łącząca H10 3m biały połysk</v>
      </c>
      <c r="G502" s="425"/>
      <c r="H502" s="425"/>
      <c r="I502" s="425" t="str">
        <f>J15</f>
        <v> biały połysk</v>
      </c>
      <c r="Z502" s="1" t="b">
        <f t="shared" si="9"/>
        <v>1</v>
      </c>
    </row>
    <row r="503" spans="1:26" ht="15" customHeight="1" x14ac:dyDescent="0.3">
      <c r="A503" s="427">
        <v>497953</v>
      </c>
      <c r="B503" s="425"/>
      <c r="C503" s="425" t="str">
        <f>J18</f>
        <v>biały mat</v>
      </c>
      <c r="D503" s="427">
        <v>497953</v>
      </c>
      <c r="E503" s="426" t="str">
        <f>+VLOOKUP(A503,cennik!A:G,2,FALSE)</f>
        <v>SEVROLL 05181 listwa łącząca H10 3m biały mat</v>
      </c>
      <c r="F503" s="426" t="str">
        <f>+VLOOKUP(A503,cennik!A:B,2,FALSE)</f>
        <v>SEVROLL 05181 listwa łącząca H10 3m biały mat</v>
      </c>
      <c r="G503" s="425"/>
      <c r="H503" s="425"/>
      <c r="I503" s="425" t="str">
        <f>J18</f>
        <v>biały mat</v>
      </c>
    </row>
    <row r="504" spans="1:26" ht="15" customHeight="1" x14ac:dyDescent="0.3">
      <c r="A504" s="427">
        <v>395508</v>
      </c>
      <c r="B504" s="425"/>
      <c r="C504" s="425" t="str">
        <f>J16</f>
        <v>czarny połysk</v>
      </c>
      <c r="D504" s="427">
        <v>395508</v>
      </c>
      <c r="E504" s="426" t="str">
        <f>+VLOOKUP(A504,cennik!A:G,2,FALSE)</f>
        <v>SEVROLL listwa łącząca H10 3m czarny połysk</v>
      </c>
      <c r="F504" s="426" t="str">
        <f>+VLOOKUP(A504,cennik!A:B,2,FALSE)</f>
        <v>SEVROLL listwa łącząca H10 3m czarny połysk</v>
      </c>
      <c r="G504" s="426" t="e">
        <f>+VLOOKUP(C504,cennik!A:G,2,FALSE)</f>
        <v>#N/A</v>
      </c>
      <c r="H504" s="425"/>
      <c r="I504" s="425" t="str">
        <f>J16</f>
        <v>czarny połysk</v>
      </c>
      <c r="Z504" s="1" t="b">
        <f t="shared" si="9"/>
        <v>1</v>
      </c>
    </row>
    <row r="505" spans="1:26" ht="15" customHeight="1" x14ac:dyDescent="0.3">
      <c r="A505" s="427">
        <v>496358</v>
      </c>
      <c r="B505" s="425"/>
      <c r="C505" s="425" t="str">
        <f>J12</f>
        <v>grafit</v>
      </c>
      <c r="D505" s="427">
        <v>496358</v>
      </c>
      <c r="E505" s="426" t="str">
        <f>+VLOOKUP(A505,cennik!A:G,2,FALSE)</f>
        <v>SEVROLL 05971 listwa łącząca H10 3m grafit</v>
      </c>
      <c r="F505" s="426" t="str">
        <f>+VLOOKUP(A505,cennik!A:B,2,FALSE)</f>
        <v>SEVROLL 05971 listwa łącząca H10 3m grafit</v>
      </c>
      <c r="G505" s="425"/>
      <c r="H505" s="425"/>
      <c r="I505" s="425" t="str">
        <f>J12</f>
        <v>grafit</v>
      </c>
      <c r="Z505" s="1" t="b">
        <f t="shared" si="9"/>
        <v>1</v>
      </c>
    </row>
    <row r="506" spans="1:26" ht="15" customHeight="1" x14ac:dyDescent="0.3">
      <c r="A506" s="427">
        <v>452761</v>
      </c>
      <c r="B506" s="425"/>
      <c r="C506" s="425" t="str">
        <f>J17</f>
        <v> czarny mat</v>
      </c>
      <c r="D506" s="427">
        <v>452761</v>
      </c>
      <c r="E506" s="426" t="str">
        <f>+VLOOKUP(A506,cennik!A:G,2,FALSE)</f>
        <v>SEVROLL listwa łącząca H10 3m czarny mat</v>
      </c>
      <c r="F506" s="426" t="str">
        <f>+VLOOKUP(A506,cennik!A:B,2,FALSE)</f>
        <v>SEVROLL listwa łącząca H10 3m czarny mat</v>
      </c>
      <c r="G506" s="425"/>
      <c r="H506" s="425"/>
      <c r="I506" s="425" t="str">
        <f>J17</f>
        <v> czarny mat</v>
      </c>
      <c r="Z506" s="1" t="b">
        <f t="shared" ref="Z506:Z570" si="12">A506=D506</f>
        <v>1</v>
      </c>
    </row>
    <row r="507" spans="1:26" ht="15" customHeight="1" x14ac:dyDescent="0.3">
      <c r="A507" s="196">
        <v>526501</v>
      </c>
      <c r="B507" s="425"/>
      <c r="C507" s="425" t="str">
        <f>J22</f>
        <v>czarny lakier strukturalny</v>
      </c>
      <c r="D507" s="196">
        <v>526501</v>
      </c>
      <c r="E507" s="426" t="str">
        <f>+VLOOKUP(A507,cennik!A:G,2,FALSE)</f>
        <v>SEVROLL 06125 listwa łącząca H10 3m czarny lakier strukturalny</v>
      </c>
      <c r="F507" s="426" t="str">
        <f>+VLOOKUP(A507,cennik!A:B,2,FALSE)</f>
        <v>SEVROLL 06125 listwa łącząca H10 3m czarny lakier strukturalny</v>
      </c>
      <c r="G507" s="425"/>
      <c r="H507" s="425"/>
      <c r="I507" s="425" t="str">
        <f>J22</f>
        <v>czarny lakier strukturalny</v>
      </c>
    </row>
    <row r="508" spans="1:26" ht="15" customHeight="1" x14ac:dyDescent="0.3">
      <c r="A508" s="49">
        <v>89069</v>
      </c>
      <c r="B508" s="48" t="s">
        <v>30</v>
      </c>
      <c r="C508" s="1" t="str">
        <f t="shared" ref="C508:C513" si="13">J4</f>
        <v>srebrny</v>
      </c>
      <c r="D508" s="49">
        <v>89069</v>
      </c>
      <c r="E508" s="48" t="str">
        <f>+VLOOKUP(A508,cennik!A:G,2,FALSE)</f>
        <v>SEVROLL 00222 spojovací lišta H30 3m stříbrná</v>
      </c>
      <c r="F508" s="48" t="str">
        <f>+VLOOKUP(A508,cennik!A:B,2,FALSE)</f>
        <v>SEVROLL 00222 spojovací lišta H30 3m stříbrná</v>
      </c>
      <c r="G508" s="1" t="e">
        <f>+VLOOKUP(A508,#REF!,4,FALSE)</f>
        <v>#REF!</v>
      </c>
      <c r="I508" s="1" t="str">
        <f t="shared" ref="I508:I513" si="14">J4</f>
        <v>srebrny</v>
      </c>
      <c r="Z508" s="1" t="b">
        <f t="shared" si="12"/>
        <v>1</v>
      </c>
    </row>
    <row r="509" spans="1:26" ht="15" customHeight="1" x14ac:dyDescent="0.3">
      <c r="A509" s="49" t="s">
        <v>111</v>
      </c>
      <c r="B509" s="48"/>
      <c r="C509" s="1" t="str">
        <f t="shared" si="13"/>
        <v>złoty/mosiądz</v>
      </c>
      <c r="D509" s="49" t="s">
        <v>111</v>
      </c>
      <c r="E509" s="48" t="e">
        <f>+VLOOKUP(A509,cennik!A:G,2,FALSE)</f>
        <v>#N/A</v>
      </c>
      <c r="F509" s="48" t="e">
        <f>+VLOOKUP(A509,cennik!A:B,2,FALSE)</f>
        <v>#N/A</v>
      </c>
      <c r="G509" s="1" t="e">
        <f>+VLOOKUP(A509,#REF!,4,FALSE)</f>
        <v>#REF!</v>
      </c>
      <c r="I509" s="1" t="str">
        <f t="shared" si="14"/>
        <v>złoty/mosiądz</v>
      </c>
      <c r="Z509" s="1" t="b">
        <f t="shared" si="12"/>
        <v>1</v>
      </c>
    </row>
    <row r="510" spans="1:26" ht="15" customHeight="1" x14ac:dyDescent="0.3">
      <c r="A510" s="49">
        <v>89071</v>
      </c>
      <c r="B510" s="48"/>
      <c r="C510" s="1" t="str">
        <f t="shared" si="13"/>
        <v>j.brąz</v>
      </c>
      <c r="D510" s="49">
        <v>89071</v>
      </c>
      <c r="E510" s="48" t="str">
        <f>+VLOOKUP(A510,cennik!A:G,2,FALSE)</f>
        <v>SEVROLL 00219 spojovací lišta H30 3m oliva</v>
      </c>
      <c r="F510" s="48" t="str">
        <f>+VLOOKUP(A510,cennik!A:B,2,FALSE)</f>
        <v>SEVROLL 00219 spojovací lišta H30 3m oliva</v>
      </c>
      <c r="G510" s="1" t="e">
        <f>+VLOOKUP(A510,#REF!,4,FALSE)</f>
        <v>#REF!</v>
      </c>
      <c r="I510" s="1" t="str">
        <f t="shared" si="14"/>
        <v>j.brąz</v>
      </c>
      <c r="Z510" s="1" t="b">
        <f t="shared" si="12"/>
        <v>1</v>
      </c>
    </row>
    <row r="511" spans="1:26" ht="15" customHeight="1" x14ac:dyDescent="0.3">
      <c r="A511" s="49" t="s">
        <v>111</v>
      </c>
      <c r="B511" s="48"/>
      <c r="C511" s="1" t="str">
        <f t="shared" si="13"/>
        <v>j.brąz szczotkowany</v>
      </c>
      <c r="D511" s="49" t="s">
        <v>111</v>
      </c>
      <c r="E511" s="48" t="e">
        <f>+VLOOKUP(A511,cennik!A:G,2,FALSE)</f>
        <v>#N/A</v>
      </c>
      <c r="F511" s="48" t="e">
        <f>+VLOOKUP(A511,cennik!A:B,2,FALSE)</f>
        <v>#N/A</v>
      </c>
      <c r="G511" s="1" t="e">
        <f>+VLOOKUP(A511,#REF!,4,FALSE)</f>
        <v>#REF!</v>
      </c>
      <c r="I511" s="1" t="str">
        <f t="shared" si="14"/>
        <v>j.brąz szczotkowany</v>
      </c>
      <c r="Z511" s="1" t="b">
        <f t="shared" si="12"/>
        <v>1</v>
      </c>
    </row>
    <row r="512" spans="1:26" s="425" customFormat="1" ht="15" customHeight="1" x14ac:dyDescent="0.3">
      <c r="A512" s="49" t="s">
        <v>111</v>
      </c>
      <c r="B512" s="48"/>
      <c r="C512" s="1" t="str">
        <f t="shared" si="13"/>
        <v>szczot.oliwa ciemna</v>
      </c>
      <c r="D512" s="49" t="s">
        <v>111</v>
      </c>
      <c r="E512" s="48" t="e">
        <f>+VLOOKUP(A512,cennik!A:G,2,FALSE)</f>
        <v>#N/A</v>
      </c>
      <c r="F512" s="48" t="e">
        <f>+VLOOKUP(A512,cennik!A:B,2,FALSE)</f>
        <v>#N/A</v>
      </c>
      <c r="G512" s="1"/>
      <c r="H512" s="1"/>
      <c r="I512" s="1" t="str">
        <f t="shared" si="14"/>
        <v>szczot.oliwa ciemna</v>
      </c>
      <c r="Z512" s="1" t="b">
        <f t="shared" si="12"/>
        <v>1</v>
      </c>
    </row>
    <row r="513" spans="1:26" ht="15" customHeight="1" x14ac:dyDescent="0.3">
      <c r="A513" s="49" t="s">
        <v>111</v>
      </c>
      <c r="B513" s="48"/>
      <c r="C513" s="1" t="str">
        <f t="shared" si="13"/>
        <v>szczot.czarna</v>
      </c>
      <c r="D513" s="49" t="s">
        <v>111</v>
      </c>
      <c r="E513" s="48" t="e">
        <f>+VLOOKUP(A513,cennik!A:G,2,FALSE)</f>
        <v>#N/A</v>
      </c>
      <c r="F513" s="48" t="e">
        <f>+VLOOKUP(A513,cennik!A:B,2,FALSE)</f>
        <v>#N/A</v>
      </c>
      <c r="I513" s="1" t="str">
        <f t="shared" si="14"/>
        <v>szczot.czarna</v>
      </c>
      <c r="Z513" s="1" t="b">
        <f t="shared" si="12"/>
        <v>1</v>
      </c>
    </row>
    <row r="514" spans="1:26" ht="15" customHeight="1" x14ac:dyDescent="0.3">
      <c r="A514" s="49">
        <v>308627</v>
      </c>
      <c r="B514" s="48"/>
      <c r="C514" s="1" t="str">
        <f>J15</f>
        <v> biały połysk</v>
      </c>
      <c r="D514" s="49">
        <v>308627</v>
      </c>
      <c r="E514" s="48" t="str">
        <f>+VLOOKUP(A514,cennik!A:G,2,FALSE)</f>
        <v>SEVROLL listwa łącząca H30 3m biały połysk</v>
      </c>
      <c r="F514" s="48" t="str">
        <f>+VLOOKUP(A514,cennik!A:B,2,FALSE)</f>
        <v>SEVROLL listwa łącząca H30 3m biały połysk</v>
      </c>
      <c r="I514" s="1" t="str">
        <f>J15</f>
        <v> biały połysk</v>
      </c>
      <c r="Z514" s="1" t="b">
        <f t="shared" si="12"/>
        <v>1</v>
      </c>
    </row>
    <row r="515" spans="1:26" ht="15" customHeight="1" x14ac:dyDescent="0.3">
      <c r="A515" s="425">
        <v>452604</v>
      </c>
      <c r="B515" s="425"/>
      <c r="C515" s="425" t="str">
        <f>J17</f>
        <v> czarny mat</v>
      </c>
      <c r="D515" s="425">
        <v>452604</v>
      </c>
      <c r="E515" s="426" t="str">
        <f>+VLOOKUP(A515,cennik!A:G,2,FALSE)</f>
        <v>SEVROLL listwa łącząca H30 3m czarny mat</v>
      </c>
      <c r="F515" s="426" t="str">
        <f>+VLOOKUP(A515,cennik!A:B,2,FALSE)</f>
        <v>SEVROLL listwa łącząca H30 3m czarny mat</v>
      </c>
      <c r="G515" s="425"/>
      <c r="H515" s="425"/>
      <c r="I515" s="425" t="str">
        <f>J17</f>
        <v> czarny mat</v>
      </c>
      <c r="Z515" s="1" t="b">
        <f t="shared" si="12"/>
        <v>1</v>
      </c>
    </row>
    <row r="516" spans="1:26" s="434" customFormat="1" ht="15" customHeight="1" x14ac:dyDescent="0.3">
      <c r="A516" s="49" t="s">
        <v>111</v>
      </c>
      <c r="B516" s="48"/>
      <c r="C516" s="425" t="str">
        <f>J16</f>
        <v>czarny połysk</v>
      </c>
      <c r="D516" s="49" t="s">
        <v>111</v>
      </c>
      <c r="E516" s="48"/>
      <c r="F516" s="48"/>
      <c r="G516" s="1"/>
      <c r="H516" s="1"/>
      <c r="I516" s="425" t="str">
        <f>J16</f>
        <v>czarny połysk</v>
      </c>
      <c r="Z516" s="1" t="b">
        <f t="shared" si="12"/>
        <v>1</v>
      </c>
    </row>
    <row r="517" spans="1:26" ht="15" customHeight="1" x14ac:dyDescent="0.3">
      <c r="A517" s="49">
        <v>336796</v>
      </c>
      <c r="B517" s="162" t="s">
        <v>953</v>
      </c>
      <c r="C517" s="1" t="str">
        <f>J4</f>
        <v>srebrny</v>
      </c>
      <c r="D517" s="49">
        <v>336796</v>
      </c>
      <c r="E517" s="48" t="str">
        <f>+VLOOKUP(A517,cennik!A:G,2,FALSE)</f>
        <v>SEVROLL listwa łącząca Simple/Blue H21 3m (do płyty laminowanej 18mm) srebrny</v>
      </c>
      <c r="F517" s="48" t="str">
        <f>+VLOOKUP(A517,cennik!A:B,2,FALSE)</f>
        <v>SEVROLL listwa łącząca Simple/Blue H21 3m (do płyty laminowanej 18mm) srebrny</v>
      </c>
      <c r="I517" s="1" t="str">
        <f>J4</f>
        <v>srebrny</v>
      </c>
      <c r="Z517" s="1" t="b">
        <f t="shared" si="12"/>
        <v>1</v>
      </c>
    </row>
    <row r="518" spans="1:26" ht="15" customHeight="1" x14ac:dyDescent="0.3">
      <c r="A518" s="2">
        <v>488239</v>
      </c>
      <c r="B518" s="444"/>
      <c r="C518" s="1" t="str">
        <f>J17</f>
        <v> czarny mat</v>
      </c>
      <c r="D518" s="2">
        <v>488239</v>
      </c>
      <c r="E518" s="48" t="str">
        <f>+VLOOKUP(A518,cennik!A:G,2,FALSE)</f>
        <v>SEVROLL 05746 listwa łącząca Simple/Blue H21 3m (do płyty 18mm) czarny mat</v>
      </c>
      <c r="F518" s="48" t="str">
        <f>+VLOOKUP(A518,cennik!A:B,2,FALSE)</f>
        <v>SEVROLL 05746 listwa łącząca Simple/Blue H21 3m (do płyty 18mm) czarny mat</v>
      </c>
      <c r="I518" s="1" t="str">
        <f>J17</f>
        <v> czarny mat</v>
      </c>
      <c r="Z518" s="1" t="b">
        <f t="shared" si="12"/>
        <v>1</v>
      </c>
    </row>
    <row r="519" spans="1:26" ht="15" customHeight="1" x14ac:dyDescent="0.3">
      <c r="A519" s="434">
        <v>394273</v>
      </c>
      <c r="B519" s="434"/>
      <c r="C519" s="434" t="str">
        <f>J15</f>
        <v> biały połysk</v>
      </c>
      <c r="D519" s="434">
        <v>394273</v>
      </c>
      <c r="E519" s="432" t="str">
        <f>+VLOOKUP(A519,cennik!A:G,2,FALSE)</f>
        <v>SEVROLL listwa łącząca Simple/Blue H21 3m (do płyty laminowanej 18mm) biały poły</v>
      </c>
      <c r="F519" s="432" t="str">
        <f>+VLOOKUP(A519,cennik!A:B,2,FALSE)</f>
        <v>SEVROLL listwa łącząca Simple/Blue H21 3m (do płyty laminowanej 18mm) biały poły</v>
      </c>
      <c r="G519" s="434"/>
      <c r="H519" s="434"/>
      <c r="I519" s="434" t="str">
        <f>J15</f>
        <v> biały połysk</v>
      </c>
      <c r="Z519" s="1" t="b">
        <f t="shared" si="12"/>
        <v>1</v>
      </c>
    </row>
    <row r="520" spans="1:26" ht="15" customHeight="1" x14ac:dyDescent="0.3">
      <c r="A520" s="49">
        <v>224158</v>
      </c>
      <c r="B520" s="163"/>
      <c r="C520" s="1" t="str">
        <f>J6</f>
        <v>j.brąz</v>
      </c>
      <c r="D520" s="49">
        <v>224158</v>
      </c>
      <c r="E520" s="48" t="str">
        <f>+VLOOKUP(A520,cennik!A:G,2,FALSE)</f>
        <v>SEVROLL listwa łącząca Simple/Blue H21 3m (do płyty laminowanej 18mm) jasny brąz</v>
      </c>
      <c r="F520" s="48" t="str">
        <f>+VLOOKUP(A520,cennik!A:B,2,FALSE)</f>
        <v>SEVROLL listwa łącząca Simple/Blue H21 3m (do płyty laminowanej 18mm) jasny brąz</v>
      </c>
      <c r="I520" s="1" t="str">
        <f>J6</f>
        <v>j.brąz</v>
      </c>
      <c r="Z520" s="1" t="b">
        <f t="shared" si="12"/>
        <v>1</v>
      </c>
    </row>
    <row r="521" spans="1:26" ht="15" customHeight="1" x14ac:dyDescent="0.3">
      <c r="A521" s="49">
        <v>328825</v>
      </c>
      <c r="B521" s="162" t="s">
        <v>954</v>
      </c>
      <c r="C521" s="1" t="str">
        <f>J4</f>
        <v>srebrny</v>
      </c>
      <c r="D521" s="49">
        <v>328825</v>
      </c>
      <c r="E521" s="48" t="str">
        <f>+VLOOKUP(A521,cennik!A:G,2,FALSE)</f>
        <v>SEVROLL listwa łącząca Simple/Blue H28 3m (do płyty laminowanej 18mm) srebrny</v>
      </c>
      <c r="F521" s="48" t="str">
        <f>+VLOOKUP(A521,cennik!A:B,2,FALSE)</f>
        <v>SEVROLL listwa łącząca Simple/Blue H28 3m (do płyty laminowanej 18mm) srebrny</v>
      </c>
      <c r="I521" s="1" t="str">
        <f>J4</f>
        <v>srebrny</v>
      </c>
      <c r="Z521" s="1" t="b">
        <f t="shared" si="12"/>
        <v>1</v>
      </c>
    </row>
    <row r="522" spans="1:26" ht="15" customHeight="1" x14ac:dyDescent="0.3">
      <c r="A522" s="434">
        <v>394281</v>
      </c>
      <c r="B522" s="434"/>
      <c r="C522" s="434" t="str">
        <f>J15</f>
        <v> biały połysk</v>
      </c>
      <c r="D522" s="434">
        <v>394281</v>
      </c>
      <c r="E522" s="432" t="str">
        <f>+VLOOKUP(A522,cennik!A:G,2,FALSE)</f>
        <v>SEVROLL listwa łącząca Simple/Blue H28 3m (do płyty laminowanej 18mm) biały poły</v>
      </c>
      <c r="F522" s="432" t="str">
        <f>+VLOOKUP(A522,cennik!A:B,2,FALSE)</f>
        <v>SEVROLL listwa łącząca Simple/Blue H28 3m (do płyty laminowanej 18mm) biały poły</v>
      </c>
      <c r="G522" s="434"/>
      <c r="H522" s="434"/>
      <c r="I522" s="434" t="str">
        <f>J15</f>
        <v> biały połysk</v>
      </c>
      <c r="Z522" s="1" t="b">
        <f t="shared" si="12"/>
        <v>1</v>
      </c>
    </row>
    <row r="523" spans="1:26" ht="15" customHeight="1" x14ac:dyDescent="0.3">
      <c r="A523" s="49">
        <v>223560</v>
      </c>
      <c r="B523" s="163"/>
      <c r="C523" s="1" t="str">
        <f>J6</f>
        <v>j.brąz</v>
      </c>
      <c r="D523" s="49">
        <v>223560</v>
      </c>
      <c r="E523" s="48" t="str">
        <f>+VLOOKUP(A523,cennik!A:G,2,FALSE)</f>
        <v>SEVROLL listwa łącząca Simple/Blue H28 3m (do płyty laminowanej 18mm) jasny brąz</v>
      </c>
      <c r="F523" s="48" t="str">
        <f>+VLOOKUP(A523,cennik!A:B,2,FALSE)</f>
        <v>SEVROLL listwa łącząca Simple/Blue H28 3m (do płyty laminowanej 18mm) jasny brąz</v>
      </c>
      <c r="I523" s="1" t="str">
        <f>J6</f>
        <v>j.brąz</v>
      </c>
      <c r="Z523" s="1" t="b">
        <f t="shared" si="12"/>
        <v>1</v>
      </c>
    </row>
    <row r="524" spans="1:26" ht="15" customHeight="1" x14ac:dyDescent="0.3">
      <c r="A524" s="446" t="s">
        <v>111</v>
      </c>
      <c r="B524" s="48"/>
      <c r="C524" s="1" t="str">
        <f>J17</f>
        <v> czarny mat</v>
      </c>
      <c r="D524" s="446" t="s">
        <v>111</v>
      </c>
      <c r="E524" s="48"/>
      <c r="F524" s="48"/>
      <c r="Z524" s="1" t="b">
        <f t="shared" si="12"/>
        <v>1</v>
      </c>
    </row>
    <row r="525" spans="1:26" ht="15" customHeight="1" x14ac:dyDescent="0.3">
      <c r="A525" s="49">
        <v>98070</v>
      </c>
      <c r="B525" s="48" t="s">
        <v>31</v>
      </c>
      <c r="C525" s="1" t="str">
        <f>J4</f>
        <v>srebrny</v>
      </c>
      <c r="D525" s="49">
        <v>98070</v>
      </c>
      <c r="E525" s="48" t="str">
        <f>+VLOOKUP(A525,cennik!A:G,2,FALSE)</f>
        <v>SEVROLL Gemini-2 rączka 2,7m srebrny</v>
      </c>
      <c r="F525" s="48" t="str">
        <f>+VLOOKUP(A525,cennik!A:B,2,FALSE)</f>
        <v>SEVROLL Gemini-2 rączka 2,7m srebrny</v>
      </c>
      <c r="G525" s="1" t="e">
        <f>+VLOOKUP(A525,#REF!,4,FALSE)</f>
        <v>#REF!</v>
      </c>
      <c r="I525" s="1" t="str">
        <f>J4</f>
        <v>srebrny</v>
      </c>
      <c r="Z525" s="1" t="b">
        <f t="shared" si="12"/>
        <v>1</v>
      </c>
    </row>
    <row r="526" spans="1:26" ht="15" customHeight="1" x14ac:dyDescent="0.3">
      <c r="A526" s="49">
        <v>278164</v>
      </c>
      <c r="B526" s="48"/>
      <c r="C526" s="1" t="str">
        <f>J17</f>
        <v> czarny mat</v>
      </c>
      <c r="D526" s="49">
        <v>278164</v>
      </c>
      <c r="E526" s="48" t="str">
        <f>+VLOOKUP(A526,cennik!A:G,2,FALSE)</f>
        <v>SEVROLL Gemini rączka 2,7m czarny mat</v>
      </c>
      <c r="F526" s="48" t="str">
        <f>+VLOOKUP(A526,cennik!A:B,2,FALSE)</f>
        <v>SEVROLL Gemini rączka 2,7m czarny mat</v>
      </c>
      <c r="Z526" s="1" t="b">
        <f t="shared" si="12"/>
        <v>1</v>
      </c>
    </row>
    <row r="527" spans="1:26" ht="15" customHeight="1" x14ac:dyDescent="0.3">
      <c r="A527" s="49">
        <v>98071</v>
      </c>
      <c r="B527" s="48"/>
      <c r="C527" s="1" t="str">
        <f>J6</f>
        <v>j.brąz</v>
      </c>
      <c r="D527" s="49">
        <v>98071</v>
      </c>
      <c r="E527" s="48" t="str">
        <f>+VLOOKUP(A527,cennik!A:G,2,FALSE)</f>
        <v>SEVROLL Gemini-2 rączka 2,7m jasny brąz</v>
      </c>
      <c r="F527" s="48" t="str">
        <f>+VLOOKUP(A527,cennik!A:B,2,FALSE)</f>
        <v>SEVROLL Gemini-2 rączka 2,7m jasny brąz</v>
      </c>
      <c r="G527" s="1" t="e">
        <f>+VLOOKUP(A527,#REF!,4,FALSE)</f>
        <v>#REF!</v>
      </c>
      <c r="I527" s="1" t="str">
        <f>J6</f>
        <v>j.brąz</v>
      </c>
      <c r="Z527" s="1" t="b">
        <f t="shared" si="12"/>
        <v>1</v>
      </c>
    </row>
    <row r="528" spans="1:26" ht="15" customHeight="1" x14ac:dyDescent="0.3">
      <c r="A528" s="48">
        <v>394690</v>
      </c>
      <c r="B528" s="161" t="s">
        <v>2625</v>
      </c>
      <c r="C528" s="1" t="str">
        <f>J4</f>
        <v>srebrny</v>
      </c>
      <c r="D528" s="48">
        <v>394690</v>
      </c>
      <c r="E528" s="48" t="str">
        <f>+VLOOKUP(A528,cennik!A:G,2,FALSE)</f>
        <v>SEVROLL 04920 Lynx Rączka 2,7m srebrna</v>
      </c>
      <c r="F528" s="48" t="str">
        <f>+VLOOKUP(A528,cennik!A:B,2,FALSE)</f>
        <v>SEVROLL 04920 Lynx Rączka 2,7m srebrna</v>
      </c>
      <c r="I528" s="1" t="str">
        <f>J4</f>
        <v>srebrny</v>
      </c>
      <c r="Z528" s="1" t="b">
        <f t="shared" si="12"/>
        <v>1</v>
      </c>
    </row>
    <row r="529" spans="1:26" ht="15" customHeight="1" x14ac:dyDescent="0.3">
      <c r="A529" s="48">
        <v>394691</v>
      </c>
      <c r="B529" s="48"/>
      <c r="C529" s="1" t="str">
        <f>J6</f>
        <v>j.brąz</v>
      </c>
      <c r="D529" s="48">
        <v>394691</v>
      </c>
      <c r="E529" s="48" t="str">
        <f>+VLOOKUP(A529,cennik!A:G,2,FALSE)</f>
        <v>SEVROLL Rączka Lynx 2,7m oliwka</v>
      </c>
      <c r="F529" s="48" t="str">
        <f>+VLOOKUP(A529,cennik!A:B,2,FALSE)</f>
        <v>SEVROLL Rączka Lynx 2,7m oliwka</v>
      </c>
      <c r="I529" s="1" t="str">
        <f>J6</f>
        <v>j.brąz</v>
      </c>
      <c r="Z529" s="1" t="b">
        <f t="shared" si="12"/>
        <v>1</v>
      </c>
    </row>
    <row r="530" spans="1:26" ht="15" customHeight="1" x14ac:dyDescent="0.3">
      <c r="A530" s="49">
        <v>542873</v>
      </c>
      <c r="B530" s="48"/>
      <c r="C530" s="1" t="str">
        <f>J5</f>
        <v>złoty/mosiądz</v>
      </c>
      <c r="D530" s="49">
        <v>542873</v>
      </c>
      <c r="E530" s="48" t="str">
        <f>+VLOOKUP(A530,cennik!A:G,2,FALSE)</f>
        <v>SEVROLL 06822 Gemini rączka 2,7m złoty/mosiądz</v>
      </c>
      <c r="F530" s="48" t="str">
        <f>+VLOOKUP(A530,cennik!A:B,2,FALSE)</f>
        <v>SEVROLL 06822 Gemini rączka 2,7m złoty/mosiądz</v>
      </c>
      <c r="G530" s="1" t="e">
        <f>+VLOOKUP(A530,#REF!,4,FALSE)</f>
        <v>#REF!</v>
      </c>
      <c r="I530" s="1" t="str">
        <f>J5</f>
        <v>złoty/mosiądz</v>
      </c>
      <c r="Z530" s="1" t="b">
        <f t="shared" si="12"/>
        <v>1</v>
      </c>
    </row>
    <row r="531" spans="1:26" ht="15" customHeight="1" x14ac:dyDescent="0.3">
      <c r="A531" s="196">
        <v>525015</v>
      </c>
      <c r="B531" s="48"/>
      <c r="C531" s="1" t="str">
        <f>J22</f>
        <v>czarny lakier strukturalny</v>
      </c>
      <c r="D531" s="196">
        <v>525015</v>
      </c>
      <c r="E531" s="48" t="str">
        <f>+VLOOKUP(A531,cennik!A:G,2,FALSE)</f>
        <v>SEVROLL 06370 Gemini rączka 2,7m czarny lakier strukturalny</v>
      </c>
      <c r="F531" s="48" t="str">
        <f>+VLOOKUP(A531,cennik!A:B,2,FALSE)</f>
        <v>SEVROLL 06370 Gemini rączka 2,7m czarny lakier strukturalny</v>
      </c>
      <c r="G531" s="1" t="e">
        <f>+VLOOKUP(A531,#REF!,4,FALSE)</f>
        <v>#REF!</v>
      </c>
      <c r="I531" s="1" t="str">
        <f>J22</f>
        <v>czarny lakier strukturalny</v>
      </c>
      <c r="Z531" s="1" t="b">
        <f t="shared" si="12"/>
        <v>1</v>
      </c>
    </row>
    <row r="532" spans="1:26" ht="15" customHeight="1" x14ac:dyDescent="0.3">
      <c r="A532" s="49">
        <v>135366</v>
      </c>
      <c r="B532" s="48" t="s">
        <v>32</v>
      </c>
      <c r="C532" s="1" t="str">
        <f>J4</f>
        <v>srebrny</v>
      </c>
      <c r="D532" s="49">
        <v>135366</v>
      </c>
      <c r="E532" s="48" t="str">
        <f>+VLOOKUP(A532,cennik!A:G,2,FALSE)</f>
        <v>SEVROLL Romeo II rączka 2,7m srebrna</v>
      </c>
      <c r="F532" s="48" t="str">
        <f>+VLOOKUP(A532,cennik!A:B,2,FALSE)</f>
        <v>SEVROLL Romeo II rączka 2,7m srebrna</v>
      </c>
      <c r="G532" s="1" t="e">
        <f>+VLOOKUP(A532,#REF!,4,FALSE)</f>
        <v>#REF!</v>
      </c>
      <c r="I532" s="1" t="str">
        <f>J4</f>
        <v>srebrny</v>
      </c>
      <c r="Z532" s="1" t="b">
        <f t="shared" si="12"/>
        <v>1</v>
      </c>
    </row>
    <row r="533" spans="1:26" ht="15" customHeight="1" x14ac:dyDescent="0.3">
      <c r="A533" s="49">
        <v>135365</v>
      </c>
      <c r="B533" s="48"/>
      <c r="C533" s="1" t="str">
        <f>J6</f>
        <v>j.brąz</v>
      </c>
      <c r="D533" s="49">
        <v>135365</v>
      </c>
      <c r="E533" s="48" t="str">
        <f>+VLOOKUP(A533,cennik!A:G,2,FALSE)</f>
        <v>SEVROLL Romeo II rączka 2,7m jasny brąz</v>
      </c>
      <c r="F533" s="48" t="str">
        <f>+VLOOKUP(A533,cennik!A:B,2,FALSE)</f>
        <v>SEVROLL Romeo II rączka 2,7m jasny brąz</v>
      </c>
      <c r="G533" s="1" t="e">
        <f>+VLOOKUP(A533,#REF!,4,FALSE)</f>
        <v>#REF!</v>
      </c>
      <c r="I533" s="1" t="str">
        <f>J6</f>
        <v>j.brąz</v>
      </c>
      <c r="Z533" s="1" t="b">
        <f t="shared" si="12"/>
        <v>1</v>
      </c>
    </row>
    <row r="534" spans="1:26" ht="15" customHeight="1" x14ac:dyDescent="0.3">
      <c r="A534" s="49"/>
      <c r="B534" s="48"/>
      <c r="D534" s="49"/>
      <c r="E534" s="48" t="e">
        <f>+VLOOKUP(A534,cennik!A:G,2,FALSE)</f>
        <v>#N/A</v>
      </c>
      <c r="F534" s="48" t="e">
        <f>+VLOOKUP(A534,cennik!A:B,2,FALSE)</f>
        <v>#N/A</v>
      </c>
      <c r="G534" s="1" t="e">
        <f>+VLOOKUP(A534,#REF!,4,FALSE)</f>
        <v>#REF!</v>
      </c>
      <c r="Z534" s="1" t="b">
        <f t="shared" si="12"/>
        <v>1</v>
      </c>
    </row>
    <row r="535" spans="1:26" ht="15" customHeight="1" x14ac:dyDescent="0.3">
      <c r="A535" s="49">
        <v>135344</v>
      </c>
      <c r="B535" s="161" t="s">
        <v>955</v>
      </c>
      <c r="C535" s="1" t="str">
        <f>J4</f>
        <v>srebrny</v>
      </c>
      <c r="D535" s="49">
        <v>135344</v>
      </c>
      <c r="E535" s="48" t="str">
        <f>+VLOOKUP(A535,cennik!A:G,2,FALSE)</f>
        <v>SEVROLL 02713 Julia II rączka 2,7m srebrna</v>
      </c>
      <c r="F535" s="48" t="str">
        <f>+VLOOKUP(A535,cennik!A:B,2,FALSE)</f>
        <v>SEVROLL 02713 Julia II rączka 2,7m srebrna</v>
      </c>
      <c r="G535" s="1" t="e">
        <f>+VLOOKUP(A535,#REF!,4,FALSE)</f>
        <v>#REF!</v>
      </c>
      <c r="I535" s="1" t="str">
        <f>J4</f>
        <v>srebrny</v>
      </c>
      <c r="Z535" s="1" t="b">
        <f t="shared" si="12"/>
        <v>1</v>
      </c>
    </row>
    <row r="536" spans="1:26" ht="15" customHeight="1" x14ac:dyDescent="0.3">
      <c r="A536" s="49">
        <v>135342</v>
      </c>
      <c r="B536" s="48"/>
      <c r="C536" s="1" t="str">
        <f>J6</f>
        <v>j.brąz</v>
      </c>
      <c r="D536" s="49">
        <v>135342</v>
      </c>
      <c r="E536" s="48" t="str">
        <f>+VLOOKUP(A536,cennik!A:G,2,FALSE)</f>
        <v>SEVROLL 02711 Julia II rączka 2,7m Oliwka</v>
      </c>
      <c r="F536" s="48" t="str">
        <f>+VLOOKUP(A536,cennik!A:B,2,FALSE)</f>
        <v>SEVROLL 02711 Julia II rączka 2,7m Oliwka</v>
      </c>
      <c r="G536" s="1" t="e">
        <f>+VLOOKUP(A536,#REF!,4,FALSE)</f>
        <v>#REF!</v>
      </c>
      <c r="I536" s="1" t="str">
        <f>J6</f>
        <v>j.brąz</v>
      </c>
      <c r="Z536" s="1" t="b">
        <f t="shared" si="12"/>
        <v>1</v>
      </c>
    </row>
    <row r="537" spans="1:26" ht="15" customHeight="1" x14ac:dyDescent="0.3">
      <c r="A537" s="2"/>
      <c r="B537" s="48"/>
      <c r="E537" s="48"/>
      <c r="F537" s="48"/>
      <c r="Z537" s="1" t="b">
        <f t="shared" si="12"/>
        <v>1</v>
      </c>
    </row>
    <row r="538" spans="1:26" ht="15" customHeight="1" x14ac:dyDescent="0.3">
      <c r="A538" s="195">
        <v>223573</v>
      </c>
      <c r="B538" s="161" t="s">
        <v>829</v>
      </c>
      <c r="C538" s="1" t="str">
        <f>J6</f>
        <v>j.brąz</v>
      </c>
      <c r="D538" s="195">
        <v>223573</v>
      </c>
      <c r="E538" s="48" t="str">
        <f>+VLOOKUP(A538,cennik!A:G,2,FALSE)</f>
        <v>SEVROLL Rączka Karat 2,7 m oliwka</v>
      </c>
      <c r="F538" s="48" t="str">
        <f>+VLOOKUP(A538,cennik!A:B,2,FALSE)</f>
        <v>SEVROLL Rączka Karat 2,7 m oliwka</v>
      </c>
      <c r="I538" s="1" t="str">
        <f>J6</f>
        <v>j.brąz</v>
      </c>
      <c r="Z538" s="1" t="b">
        <f t="shared" si="12"/>
        <v>1</v>
      </c>
    </row>
    <row r="539" spans="1:26" ht="15" customHeight="1" x14ac:dyDescent="0.3">
      <c r="A539" s="195">
        <v>223572</v>
      </c>
      <c r="B539" s="48"/>
      <c r="C539" s="1" t="str">
        <f>J4</f>
        <v>srebrny</v>
      </c>
      <c r="D539" s="195">
        <v>223572</v>
      </c>
      <c r="E539" s="48" t="str">
        <f>+VLOOKUP(A539,cennik!A:G,2,FALSE)</f>
        <v>SEVROLL Karat rączka 2,7m srebrny</v>
      </c>
      <c r="F539" s="48" t="str">
        <f>+VLOOKUP(A539,cennik!A:B,2,FALSE)</f>
        <v>SEVROLL Karat rączka 2,7m srebrny</v>
      </c>
      <c r="I539" s="1" t="str">
        <f>J4</f>
        <v>srebrny</v>
      </c>
      <c r="Z539" s="1" t="b">
        <f t="shared" si="12"/>
        <v>1</v>
      </c>
    </row>
    <row r="540" spans="1:26" ht="15" customHeight="1" x14ac:dyDescent="0.3">
      <c r="A540" s="49"/>
      <c r="B540" s="48"/>
      <c r="D540" s="49"/>
      <c r="E540" s="48"/>
      <c r="F540" s="48"/>
      <c r="Z540" s="1" t="b">
        <f t="shared" si="12"/>
        <v>1</v>
      </c>
    </row>
    <row r="541" spans="1:26" ht="15" customHeight="1" x14ac:dyDescent="0.3">
      <c r="A541" s="49"/>
      <c r="B541" s="48"/>
      <c r="D541" s="49"/>
      <c r="E541" s="48"/>
      <c r="F541" s="48"/>
      <c r="Z541" s="1" t="b">
        <f t="shared" si="12"/>
        <v>1</v>
      </c>
    </row>
    <row r="542" spans="1:26" ht="15" customHeight="1" x14ac:dyDescent="0.3">
      <c r="A542" s="49">
        <v>179229</v>
      </c>
      <c r="B542" s="161" t="s">
        <v>699</v>
      </c>
      <c r="C542" s="1" t="str">
        <f>J4</f>
        <v>srebrny</v>
      </c>
      <c r="D542" s="49">
        <v>179229</v>
      </c>
      <c r="E542" s="48" t="str">
        <f>+VLOOKUP(A542,cennik!A:G,2,FALSE)</f>
        <v>SEVROLL 03048 Future II rączka 2,7m srebrna</v>
      </c>
      <c r="F542" s="48" t="str">
        <f>+VLOOKUP(A542,cennik!A:B,2,FALSE)</f>
        <v>SEVROLL 03048 Future II rączka 2,7m srebrna</v>
      </c>
      <c r="G542" s="1" t="e">
        <f>+VLOOKUP(A542,#REF!,4,FALSE)</f>
        <v>#REF!</v>
      </c>
      <c r="I542" s="1" t="str">
        <f>J4</f>
        <v>srebrny</v>
      </c>
      <c r="Z542" s="1" t="b">
        <f t="shared" si="12"/>
        <v>1</v>
      </c>
    </row>
    <row r="543" spans="1:26" ht="15" customHeight="1" x14ac:dyDescent="0.3">
      <c r="A543" s="49">
        <v>179230</v>
      </c>
      <c r="B543" s="48"/>
      <c r="C543" s="1" t="str">
        <f>J6</f>
        <v>j.brąz</v>
      </c>
      <c r="D543" s="49">
        <v>179230</v>
      </c>
      <c r="E543" s="48" t="str">
        <f>+VLOOKUP(A543,cennik!A:G,2,FALSE)</f>
        <v>SEVROLL Future II rączka 2,7m jasny brąz</v>
      </c>
      <c r="F543" s="48" t="str">
        <f>+VLOOKUP(A543,cennik!A:B,2,FALSE)</f>
        <v>SEVROLL Future II rączka 2,7m jasny brąz</v>
      </c>
      <c r="G543" s="1" t="e">
        <f>+VLOOKUP(A543,#REF!,4,FALSE)</f>
        <v>#REF!</v>
      </c>
      <c r="I543" s="1" t="str">
        <f>J6</f>
        <v>j.brąz</v>
      </c>
      <c r="Z543" s="1" t="b">
        <f t="shared" si="12"/>
        <v>1</v>
      </c>
    </row>
    <row r="544" spans="1:26" ht="15" customHeight="1" x14ac:dyDescent="0.3">
      <c r="A544" s="2"/>
      <c r="B544" s="48"/>
      <c r="E544" s="48"/>
      <c r="F544" s="48"/>
      <c r="Z544" s="1" t="b">
        <f t="shared" si="12"/>
        <v>1</v>
      </c>
    </row>
    <row r="545" spans="1:26" ht="15" customHeight="1" x14ac:dyDescent="0.3">
      <c r="A545" s="58">
        <v>179224</v>
      </c>
      <c r="B545" s="48" t="s">
        <v>84</v>
      </c>
      <c r="C545" s="1" t="str">
        <f>J4</f>
        <v>srebrny</v>
      </c>
      <c r="D545" s="58">
        <v>179224</v>
      </c>
      <c r="E545" s="48" t="str">
        <f>+VLOOKUP(A545,cennik!A:G,2,FALSE)</f>
        <v>SEVROLL 03049 Future II rączka 3,5m srebrna</v>
      </c>
      <c r="F545" s="48" t="str">
        <f>+VLOOKUP(A545,cennik!A:B,2,FALSE)</f>
        <v>SEVROLL 03049 Future II rączka 3,5m srebrna</v>
      </c>
      <c r="I545" s="1" t="str">
        <f>J4</f>
        <v>srebrny</v>
      </c>
      <c r="Z545" s="1" t="b">
        <f t="shared" si="12"/>
        <v>1</v>
      </c>
    </row>
    <row r="546" spans="1:26" ht="15" customHeight="1" x14ac:dyDescent="0.3">
      <c r="A546" s="58">
        <v>179227</v>
      </c>
      <c r="B546" s="48"/>
      <c r="C546" s="1" t="str">
        <f>J6</f>
        <v>j.brąz</v>
      </c>
      <c r="D546" s="58">
        <v>179227</v>
      </c>
      <c r="E546" s="48" t="str">
        <f>+VLOOKUP(A546,cennik!A:G,2,FALSE)</f>
        <v>SEVROLL Future II rączka 3,5m jasny brąz</v>
      </c>
      <c r="F546" s="48" t="str">
        <f>+VLOOKUP(A546,cennik!A:B,2,FALSE)</f>
        <v>SEVROLL Future II rączka 3,5m jasny brąz</v>
      </c>
      <c r="I546" s="1" t="str">
        <f>J6</f>
        <v>j.brąz</v>
      </c>
      <c r="Z546" s="1" t="b">
        <f t="shared" si="12"/>
        <v>1</v>
      </c>
    </row>
    <row r="547" spans="1:26" ht="15" customHeight="1" x14ac:dyDescent="0.3">
      <c r="A547" s="58"/>
      <c r="B547" s="48"/>
      <c r="D547" s="58"/>
      <c r="E547" s="48"/>
      <c r="F547" s="48"/>
      <c r="Z547" s="1" t="b">
        <f t="shared" si="12"/>
        <v>1</v>
      </c>
    </row>
    <row r="548" spans="1:26" ht="15" customHeight="1" x14ac:dyDescent="0.3">
      <c r="A548" s="169">
        <v>100102</v>
      </c>
      <c r="B548" s="161" t="s">
        <v>679</v>
      </c>
      <c r="C548" s="1" t="str">
        <f>J4</f>
        <v>srebrny</v>
      </c>
      <c r="D548" s="169">
        <v>100102</v>
      </c>
      <c r="E548" s="48" t="str">
        <f>+VLOOKUP(A548,cennik!A:G,2,FALSE)</f>
        <v>SEVROLL Master rączka 2,7m srebrna</v>
      </c>
      <c r="F548" s="48" t="str">
        <f>+VLOOKUP(A548,cennik!A:B,2,FALSE)</f>
        <v>SEVROLL Master rączka 2,7m srebrna</v>
      </c>
      <c r="I548" s="1" t="str">
        <f>J4</f>
        <v>srebrny</v>
      </c>
      <c r="Z548" s="1" t="b">
        <f t="shared" si="12"/>
        <v>1</v>
      </c>
    </row>
    <row r="549" spans="1:26" ht="15" customHeight="1" x14ac:dyDescent="0.3">
      <c r="A549" s="169">
        <v>100103</v>
      </c>
      <c r="B549" s="48"/>
      <c r="C549" s="1" t="str">
        <f>J6</f>
        <v>j.brąz</v>
      </c>
      <c r="D549" s="169">
        <v>100103</v>
      </c>
      <c r="E549" s="48" t="str">
        <f>+VLOOKUP(A549,cennik!A:G,2,FALSE)</f>
        <v>SEVROLL Master rączka 2,7m jasny brąz</v>
      </c>
      <c r="F549" s="48" t="str">
        <f>+VLOOKUP(A549,cennik!A:B,2,FALSE)</f>
        <v>SEVROLL Master rączka 2,7m jasny brąz</v>
      </c>
      <c r="I549" s="1" t="str">
        <f>J6</f>
        <v>j.brąz</v>
      </c>
      <c r="Z549" s="1" t="b">
        <f t="shared" si="12"/>
        <v>1</v>
      </c>
    </row>
    <row r="550" spans="1:26" ht="15" customHeight="1" x14ac:dyDescent="0.3">
      <c r="A550" s="169">
        <v>100105</v>
      </c>
      <c r="B550" s="161" t="s">
        <v>680</v>
      </c>
      <c r="C550" s="1" t="str">
        <f>J4</f>
        <v>srebrny</v>
      </c>
      <c r="D550" s="169">
        <v>100105</v>
      </c>
      <c r="E550" s="48" t="str">
        <f>+VLOOKUP(A550,cennik!A:G,2,FALSE)</f>
        <v>SEVROLL 02379 Master rączka 3m srebrna</v>
      </c>
      <c r="F550" s="48" t="str">
        <f>+VLOOKUP(A550,cennik!A:B,2,FALSE)</f>
        <v>SEVROLL 02379 Master rączka 3m srebrna</v>
      </c>
      <c r="I550" s="1" t="str">
        <f>J4</f>
        <v>srebrny</v>
      </c>
      <c r="Z550" s="1" t="b">
        <f t="shared" si="12"/>
        <v>1</v>
      </c>
    </row>
    <row r="551" spans="1:26" ht="15" customHeight="1" x14ac:dyDescent="0.3">
      <c r="A551" s="169">
        <v>100106</v>
      </c>
      <c r="B551" s="48"/>
      <c r="C551" s="1" t="str">
        <f>J6</f>
        <v>j.brąz</v>
      </c>
      <c r="D551" s="169">
        <v>100106</v>
      </c>
      <c r="E551" s="48" t="str">
        <f>+VLOOKUP(A551,cennik!A:G,2,FALSE)</f>
        <v>SEVROLL Master rączka 3 m jasny brąz</v>
      </c>
      <c r="F551" s="48" t="str">
        <f>+VLOOKUP(A551,cennik!A:B,2,FALSE)</f>
        <v>SEVROLL Master rączka 3 m jasny brąz</v>
      </c>
      <c r="I551" s="1" t="str">
        <f>J6</f>
        <v>j.brąz</v>
      </c>
      <c r="Z551" s="1" t="b">
        <f t="shared" si="12"/>
        <v>1</v>
      </c>
    </row>
    <row r="552" spans="1:26" ht="15" customHeight="1" x14ac:dyDescent="0.3">
      <c r="A552" s="169"/>
      <c r="B552" s="161" t="s">
        <v>987</v>
      </c>
      <c r="D552" s="169"/>
      <c r="E552" s="48"/>
      <c r="F552" s="48"/>
      <c r="Z552" s="1" t="b">
        <f t="shared" si="12"/>
        <v>1</v>
      </c>
    </row>
    <row r="553" spans="1:26" ht="15" customHeight="1" x14ac:dyDescent="0.3">
      <c r="A553" s="169">
        <v>215234</v>
      </c>
      <c r="B553" s="48"/>
      <c r="C553" s="1" t="str">
        <f>J4</f>
        <v>srebrny</v>
      </c>
      <c r="D553" s="169">
        <v>215234</v>
      </c>
      <c r="E553" s="48" t="str">
        <f>+VLOOKUP(A553,cennik!A:G,2,FALSE)</f>
        <v>SEVROLL Polo rączka 10mm 2,70m srebrny</v>
      </c>
      <c r="F553" s="48" t="str">
        <f>+VLOOKUP(A553,cennik!A:B,2,FALSE)</f>
        <v>SEVROLL Polo rączka 10mm 2,70m srebrny</v>
      </c>
      <c r="I553" s="1" t="str">
        <f>J4</f>
        <v>srebrny</v>
      </c>
      <c r="Z553" s="1" t="b">
        <f t="shared" si="12"/>
        <v>1</v>
      </c>
    </row>
    <row r="554" spans="1:26" ht="15" customHeight="1" x14ac:dyDescent="0.3">
      <c r="A554">
        <v>223551</v>
      </c>
      <c r="B554" s="48"/>
      <c r="C554" s="1" t="str">
        <f>J6</f>
        <v>j.brąz</v>
      </c>
      <c r="D554">
        <v>223551</v>
      </c>
      <c r="E554" s="48" t="str">
        <f>+VLOOKUP(A554,cennik!A:G,2,FALSE)</f>
        <v>SEVROLL Polo rączka 10mm 2,70m jasny brąz</v>
      </c>
      <c r="F554" s="48" t="str">
        <f>+VLOOKUP(A554,cennik!A:B,2,FALSE)</f>
        <v>SEVROLL Polo rączka 10mm 2,70m jasny brąz</v>
      </c>
      <c r="I554" s="1" t="str">
        <f>J6</f>
        <v>j.brąz</v>
      </c>
      <c r="Z554" s="1" t="b">
        <f t="shared" si="12"/>
        <v>1</v>
      </c>
    </row>
    <row r="555" spans="1:26" ht="15" customHeight="1" x14ac:dyDescent="0.3">
      <c r="A555" s="169"/>
      <c r="B555" s="161" t="s">
        <v>977</v>
      </c>
      <c r="D555" s="169"/>
      <c r="E555" s="48"/>
      <c r="F555" s="48"/>
      <c r="Z555" s="1" t="b">
        <f t="shared" si="12"/>
        <v>1</v>
      </c>
    </row>
    <row r="556" spans="1:26" ht="15" customHeight="1" x14ac:dyDescent="0.3">
      <c r="A556" s="169">
        <v>215233</v>
      </c>
      <c r="B556" s="48"/>
      <c r="C556" s="1" t="str">
        <f>J4</f>
        <v>srebrny</v>
      </c>
      <c r="D556" s="169">
        <v>215233</v>
      </c>
      <c r="E556" s="48" t="str">
        <f>+VLOOKUP(A556,cennik!A:G,2,FALSE)</f>
        <v>SEVROLL Fala rączka 10mm 2,70m srebrny</v>
      </c>
      <c r="F556" s="48" t="str">
        <f>+VLOOKUP(A556,cennik!A:B,2,FALSE)</f>
        <v>SEVROLL Fala rączka 10mm 2,70m srebrny</v>
      </c>
      <c r="I556" s="1" t="str">
        <f>J4</f>
        <v>srebrny</v>
      </c>
      <c r="Z556" s="1" t="b">
        <f t="shared" si="12"/>
        <v>1</v>
      </c>
    </row>
    <row r="557" spans="1:26" ht="15" customHeight="1" x14ac:dyDescent="0.3">
      <c r="A557" s="169">
        <v>223550</v>
      </c>
      <c r="B557" s="48"/>
      <c r="C557" s="1" t="str">
        <f>J6</f>
        <v>j.brąz</v>
      </c>
      <c r="D557" s="169">
        <v>223550</v>
      </c>
      <c r="E557" s="48" t="str">
        <f>+VLOOKUP(A557,cennik!A:G,2,FALSE)</f>
        <v>SEVROLL Fala rączka 10mm 2,70m jasny brąz</v>
      </c>
      <c r="F557" s="48" t="str">
        <f>+VLOOKUP(A557,cennik!A:B,2,FALSE)</f>
        <v>SEVROLL Fala rączka 10mm 2,70m jasny brąz</v>
      </c>
      <c r="I557" s="1" t="str">
        <f>J6</f>
        <v>j.brąz</v>
      </c>
      <c r="Z557" s="1" t="b">
        <f t="shared" si="12"/>
        <v>1</v>
      </c>
    </row>
    <row r="558" spans="1:26" ht="15" customHeight="1" x14ac:dyDescent="0.3">
      <c r="A558" s="169"/>
      <c r="B558" s="161" t="s">
        <v>985</v>
      </c>
      <c r="D558" s="169"/>
      <c r="E558" s="48"/>
      <c r="F558" s="48"/>
      <c r="Z558" s="1" t="b">
        <f t="shared" si="12"/>
        <v>1</v>
      </c>
    </row>
    <row r="559" spans="1:26" ht="15" customHeight="1" x14ac:dyDescent="0.3">
      <c r="A559" s="169">
        <v>349474</v>
      </c>
      <c r="B559" s="48"/>
      <c r="C559" s="1" t="str">
        <f>J4</f>
        <v>srebrny</v>
      </c>
      <c r="D559" s="169">
        <v>349474</v>
      </c>
      <c r="E559" s="48" t="str">
        <f>+VLOOKUP(A559,cennik!A:G,2,FALSE)</f>
        <v>SEVROLL Era rączka 18 mm 2,70 m, srebrna</v>
      </c>
      <c r="F559" s="48" t="str">
        <f>+VLOOKUP(A559,cennik!A:B,2,FALSE)</f>
        <v>SEVROLL Era rączka 18 mm 2,70 m, srebrna</v>
      </c>
      <c r="I559" s="1" t="str">
        <f>J4</f>
        <v>srebrny</v>
      </c>
      <c r="Z559" s="1" t="b">
        <f t="shared" si="12"/>
        <v>1</v>
      </c>
    </row>
    <row r="560" spans="1:26" ht="15" customHeight="1" x14ac:dyDescent="0.3">
      <c r="A560" s="58">
        <v>488246</v>
      </c>
      <c r="C560" s="1" t="str">
        <f>J17</f>
        <v> czarny mat</v>
      </c>
      <c r="D560" s="58">
        <v>488246</v>
      </c>
      <c r="E560" s="48" t="str">
        <f>+VLOOKUP(A560,cennik!A:G,2,FALSE)</f>
        <v>SEVROLL 05745 Rączka Era 18 mm 2,70 m czarny mat</v>
      </c>
      <c r="F560" s="48" t="str">
        <f>+VLOOKUP(A560,cennik!A:B,2,FALSE)</f>
        <v>SEVROLL 05745 Rączka Era 18 mm 2,70 m czarny mat</v>
      </c>
      <c r="Z560" s="1" t="b">
        <f t="shared" si="12"/>
        <v>1</v>
      </c>
    </row>
    <row r="561" spans="1:26" ht="15" customHeight="1" x14ac:dyDescent="0.3">
      <c r="A561" s="434">
        <v>372603</v>
      </c>
      <c r="B561" s="434"/>
      <c r="C561" s="434" t="str">
        <f>J15</f>
        <v> biały połysk</v>
      </c>
      <c r="D561" s="434">
        <v>372603</v>
      </c>
      <c r="E561" s="432" t="str">
        <f>+VLOOKUP(A561,cennik!A:G,2,FALSE)</f>
        <v>Sevroll Rączka Era 18 mm 2,70 m, biała połysk</v>
      </c>
      <c r="F561" s="432" t="str">
        <f>+VLOOKUP(A561,cennik!A:B,2,FALSE)</f>
        <v>Sevroll Rączka Era 18 mm 2,70 m, biała połysk</v>
      </c>
      <c r="G561" s="434"/>
      <c r="H561" s="434"/>
      <c r="I561" s="434" t="str">
        <f>J15</f>
        <v> biały połysk</v>
      </c>
      <c r="Z561" s="1" t="b">
        <f t="shared" si="12"/>
        <v>1</v>
      </c>
    </row>
    <row r="562" spans="1:26" ht="15" customHeight="1" x14ac:dyDescent="0.3">
      <c r="A562" s="169">
        <v>349794</v>
      </c>
      <c r="B562" s="48"/>
      <c r="C562" s="1" t="str">
        <f>J6</f>
        <v>j.brąz</v>
      </c>
      <c r="D562" s="169">
        <v>349794</v>
      </c>
      <c r="E562" s="48" t="str">
        <f>+VLOOKUP(A562,cennik!A:G,2,FALSE)</f>
        <v>SEVROLL Era rączka 18mm 2,70m, jasny brąz</v>
      </c>
      <c r="F562" s="48" t="str">
        <f>+VLOOKUP(A562,cennik!A:B,2,FALSE)</f>
        <v>SEVROLL Era rączka 18mm 2,70m, jasny brąz</v>
      </c>
      <c r="I562" s="1" t="str">
        <f>J6</f>
        <v>j.brąz</v>
      </c>
      <c r="Z562" s="1" t="b">
        <f t="shared" si="12"/>
        <v>1</v>
      </c>
    </row>
    <row r="563" spans="1:26" ht="15" customHeight="1" x14ac:dyDescent="0.3">
      <c r="A563"/>
      <c r="B563" s="161" t="s">
        <v>986</v>
      </c>
      <c r="D563"/>
      <c r="E563" s="48"/>
      <c r="F563" s="48"/>
      <c r="Z563" s="1" t="b">
        <f t="shared" si="12"/>
        <v>1</v>
      </c>
    </row>
    <row r="564" spans="1:26" ht="15" customHeight="1" x14ac:dyDescent="0.3">
      <c r="A564" s="169">
        <v>341559</v>
      </c>
      <c r="B564" s="48"/>
      <c r="C564" s="1" t="str">
        <f>J4</f>
        <v>srebrny</v>
      </c>
      <c r="D564" s="169">
        <v>341559</v>
      </c>
      <c r="E564" s="48" t="str">
        <f>+VLOOKUP(A564,cennik!A:G,2,FALSE)</f>
        <v>SEVROLL Rekord rączka 18 mm 2,70 m, srebrna</v>
      </c>
      <c r="F564" s="48" t="str">
        <f>+VLOOKUP(A564,cennik!A:B,2,FALSE)</f>
        <v>SEVROLL Rekord rączka 18 mm 2,70 m, srebrna</v>
      </c>
      <c r="I564" s="1" t="str">
        <f>J4</f>
        <v>srebrny</v>
      </c>
      <c r="Z564" s="1" t="b">
        <f t="shared" si="12"/>
        <v>1</v>
      </c>
    </row>
    <row r="565" spans="1:26" ht="15" customHeight="1" x14ac:dyDescent="0.3">
      <c r="A565" s="169">
        <v>488247</v>
      </c>
      <c r="B565" s="48"/>
      <c r="C565" s="1" t="str">
        <f>J17</f>
        <v> czarny mat</v>
      </c>
      <c r="D565" s="169">
        <v>488247</v>
      </c>
      <c r="E565" s="48" t="str">
        <f>+VLOOKUP(A565,cennik!A:G,2,FALSE)</f>
        <v>SEVROLL 05909 Rekord rączka 18mm 2,70m czarny mat</v>
      </c>
      <c r="F565" s="48" t="str">
        <f>+VLOOKUP(A565,cennik!A:B,2,FALSE)</f>
        <v>SEVROLL 05909 Rekord rączka 18mm 2,70m czarny mat</v>
      </c>
      <c r="Z565" s="1" t="b">
        <f t="shared" si="12"/>
        <v>1</v>
      </c>
    </row>
    <row r="566" spans="1:26" s="437" customFormat="1" ht="15" customHeight="1" x14ac:dyDescent="0.3">
      <c r="A566" s="169">
        <v>341560</v>
      </c>
      <c r="B566" s="48"/>
      <c r="C566" s="1" t="str">
        <f>J6</f>
        <v>j.brąz</v>
      </c>
      <c r="D566" s="169">
        <v>341560</v>
      </c>
      <c r="E566" s="48" t="str">
        <f>+VLOOKUP(A566,cennik!A:G,2,FALSE)</f>
        <v>SEVROLL Rekord rączka 18mm 2,70m jasny brąz</v>
      </c>
      <c r="F566" s="48" t="str">
        <f>+VLOOKUP(A566,cennik!A:B,2,FALSE)</f>
        <v>SEVROLL Rekord rączka 18mm 2,70m jasny brąz</v>
      </c>
      <c r="G566" s="1"/>
      <c r="H566" s="1"/>
      <c r="I566" s="1" t="str">
        <f>J6</f>
        <v>j.brąz</v>
      </c>
      <c r="Z566" s="1" t="b">
        <f t="shared" si="12"/>
        <v>1</v>
      </c>
    </row>
    <row r="567" spans="1:26" s="437" customFormat="1" ht="15" customHeight="1" x14ac:dyDescent="0.3">
      <c r="A567" s="169"/>
      <c r="B567" s="48"/>
      <c r="C567" s="1"/>
      <c r="D567" s="169"/>
      <c r="E567" s="48"/>
      <c r="F567" s="48"/>
      <c r="G567" s="1"/>
      <c r="H567" s="1"/>
      <c r="I567" s="1"/>
      <c r="Z567" s="1" t="b">
        <f t="shared" si="12"/>
        <v>1</v>
      </c>
    </row>
    <row r="568" spans="1:26" s="437" customFormat="1" ht="15" customHeight="1" x14ac:dyDescent="0.3">
      <c r="A568" s="439">
        <v>222788</v>
      </c>
      <c r="B568" s="440" t="s">
        <v>707</v>
      </c>
      <c r="C568" s="437" t="str">
        <f>J4</f>
        <v>srebrny</v>
      </c>
      <c r="D568" s="439">
        <v>222788</v>
      </c>
      <c r="E568" s="438" t="str">
        <f>+VLOOKUP(A568,cennik!A:G,2,FALSE)</f>
        <v>SEVROLL Alfa II rączka 18mm 2,70m srebrny</v>
      </c>
      <c r="F568" s="438" t="str">
        <f>+VLOOKUP(A568,cennik!A:B,2,FALSE)</f>
        <v>SEVROLL Alfa II rączka 18mm 2,70m srebrny</v>
      </c>
      <c r="I568" s="437" t="str">
        <f>J4</f>
        <v>srebrny</v>
      </c>
      <c r="Z568" s="1" t="b">
        <f t="shared" si="12"/>
        <v>1</v>
      </c>
    </row>
    <row r="569" spans="1:26" s="437" customFormat="1" ht="15" customHeight="1" x14ac:dyDescent="0.3">
      <c r="A569" s="439">
        <v>222789</v>
      </c>
      <c r="B569" s="438"/>
      <c r="C569" s="437" t="str">
        <f>J6</f>
        <v>j.brąz</v>
      </c>
      <c r="D569" s="439">
        <v>222789</v>
      </c>
      <c r="E569" s="438" t="str">
        <f>+VLOOKUP(A569,cennik!A:G,2,FALSE)</f>
        <v>SEVROLL Alfa II rączka 18mm 2,70m jasny brąz</v>
      </c>
      <c r="F569" s="438" t="str">
        <f>+VLOOKUP(A569,cennik!A:B,2,FALSE)</f>
        <v>SEVROLL Alfa II rączka 18mm 2,70m jasny brąz</v>
      </c>
      <c r="I569" s="437" t="str">
        <f>J6</f>
        <v>j.brąz</v>
      </c>
      <c r="Z569" s="1" t="b">
        <f t="shared" si="12"/>
        <v>1</v>
      </c>
    </row>
    <row r="570" spans="1:26" s="437" customFormat="1" ht="15" customHeight="1" x14ac:dyDescent="0.3">
      <c r="A570" s="439">
        <v>542574</v>
      </c>
      <c r="B570" s="438"/>
      <c r="C570" s="437" t="str">
        <f>J5</f>
        <v>złoty/mosiądz</v>
      </c>
      <c r="D570" s="439">
        <v>542574</v>
      </c>
      <c r="E570" s="438" t="str">
        <f>+VLOOKUP(A570,cennik!A:G,2,FALSE)</f>
        <v>SEVROLL 06816 Alfa II rączka 16/18 mm 2,70 m złota/mosiądz</v>
      </c>
      <c r="F570" s="438" t="str">
        <f>+VLOOKUP(A570,cennik!A:B,2,FALSE)</f>
        <v>SEVROLL 06816 Alfa II rączka 16/18 mm 2,70 m złota/mosiądz</v>
      </c>
      <c r="I570" s="437" t="str">
        <f>J5</f>
        <v>złoty/mosiądz</v>
      </c>
      <c r="Z570" s="1" t="b">
        <f t="shared" si="12"/>
        <v>1</v>
      </c>
    </row>
    <row r="571" spans="1:26" s="437" customFormat="1" ht="15" customHeight="1" x14ac:dyDescent="0.3">
      <c r="A571" s="439">
        <v>276730</v>
      </c>
      <c r="B571" s="438"/>
      <c r="C571" s="437" t="str">
        <f>J15</f>
        <v> biały połysk</v>
      </c>
      <c r="D571" s="439">
        <v>276730</v>
      </c>
      <c r="E571" s="438" t="str">
        <f>+VLOOKUP(A571,cennik!A:G,2,FALSE)</f>
        <v>SEVROLL Alfa II rączka 18mm 2,7m biały połysk</v>
      </c>
      <c r="F571" s="438" t="str">
        <f>+VLOOKUP(A571,cennik!A:B,2,FALSE)</f>
        <v>SEVROLL Alfa II rączka 18mm 2,7m biały połysk</v>
      </c>
      <c r="I571" s="437" t="str">
        <f>J15</f>
        <v> biały połysk</v>
      </c>
      <c r="Z571" s="1" t="b">
        <f t="shared" ref="Z571:Z635" si="15">A571=D571</f>
        <v>1</v>
      </c>
    </row>
    <row r="572" spans="1:26" s="437" customFormat="1" ht="15" customHeight="1" x14ac:dyDescent="0.3">
      <c r="A572" s="2">
        <v>395495</v>
      </c>
      <c r="B572" s="1"/>
      <c r="C572" s="1" t="str">
        <f>J16</f>
        <v>czarny połysk</v>
      </c>
      <c r="D572" s="2">
        <v>395495</v>
      </c>
      <c r="E572" s="48" t="str">
        <f>+VLOOKUP(A572,cennik!A:G,2,FALSE)</f>
        <v>SEVROLL Alfa II rączka 18mm 2,7m czarny połysk</v>
      </c>
      <c r="F572" s="48" t="str">
        <f>+VLOOKUP(A572,cennik!A:B,2,FALSE)</f>
        <v>SEVROLL Alfa II rączka 18mm 2,7m czarny połysk</v>
      </c>
      <c r="G572" s="1"/>
      <c r="H572" s="1"/>
      <c r="I572" s="1" t="str">
        <f>J16</f>
        <v>czarny połysk</v>
      </c>
      <c r="Z572" s="1" t="b">
        <f t="shared" si="15"/>
        <v>1</v>
      </c>
    </row>
    <row r="573" spans="1:26" s="437" customFormat="1" ht="15" customHeight="1" x14ac:dyDescent="0.3">
      <c r="A573" s="2">
        <v>494667</v>
      </c>
      <c r="B573" s="1"/>
      <c r="C573" s="1" t="str">
        <f>J12</f>
        <v>grafit</v>
      </c>
      <c r="D573" s="2">
        <v>494667</v>
      </c>
      <c r="E573" s="48" t="str">
        <f>+VLOOKUP(A573,cennik!A:G,2,FALSE)</f>
        <v>SEVROLL 06053 Alfa II rączka 18mm 2,7m grafit</v>
      </c>
      <c r="F573" s="48" t="str">
        <f>+VLOOKUP(A573,cennik!A:B,2,FALSE)</f>
        <v>SEVROLL 06053 Alfa II rączka 18mm 2,7m grafit</v>
      </c>
      <c r="G573" s="1"/>
      <c r="H573" s="1"/>
      <c r="I573" s="1"/>
      <c r="Z573" s="1" t="b">
        <f t="shared" si="15"/>
        <v>1</v>
      </c>
    </row>
    <row r="574" spans="1:26" ht="15" customHeight="1" x14ac:dyDescent="0.3">
      <c r="A574" s="1">
        <v>288252</v>
      </c>
      <c r="C574" s="1" t="str">
        <f>J17</f>
        <v> czarny mat</v>
      </c>
      <c r="D574" s="1">
        <v>288252</v>
      </c>
      <c r="E574" s="48" t="str">
        <f>+VLOOKUP(A574,cennik!A:G,2,FALSE)</f>
        <v>SEVROLL Alfa II rączka 18mm 2,7m czarny mat</v>
      </c>
      <c r="F574" s="48" t="str">
        <f>+VLOOKUP(A574,cennik!A:B,2,FALSE)</f>
        <v>SEVROLL Alfa II rączka 18mm 2,7m czarny mat</v>
      </c>
      <c r="I574" s="1" t="str">
        <f>J17</f>
        <v> czarny mat</v>
      </c>
      <c r="Z574" s="1" t="b">
        <f t="shared" si="15"/>
        <v>1</v>
      </c>
    </row>
    <row r="575" spans="1:26" ht="15" customHeight="1" x14ac:dyDescent="0.3">
      <c r="A575" s="436">
        <v>394791</v>
      </c>
      <c r="B575" s="437"/>
      <c r="C575" s="437" t="str">
        <f>J18</f>
        <v>biały mat</v>
      </c>
      <c r="D575" s="436">
        <v>394791</v>
      </c>
      <c r="E575" s="438" t="str">
        <f>+VLOOKUP(A575,cennik!A:G,2,FALSE)</f>
        <v>SEVROLL Alfa II rączka 18mm 2,7m biały matowy</v>
      </c>
      <c r="F575" s="438" t="str">
        <f>+VLOOKUP(A575,cennik!A:B,2,FALSE)</f>
        <v>SEVROLL Alfa II rączka 18mm 2,7m biały matowy</v>
      </c>
      <c r="G575" s="437"/>
      <c r="H575" s="437"/>
      <c r="I575" s="437" t="str">
        <f>J18</f>
        <v>biały mat</v>
      </c>
      <c r="Z575" s="1" t="b">
        <f t="shared" si="15"/>
        <v>1</v>
      </c>
    </row>
    <row r="576" spans="1:26" ht="15" customHeight="1" x14ac:dyDescent="0.3">
      <c r="A576" s="49">
        <v>524825</v>
      </c>
      <c r="B576" s="48"/>
      <c r="C576" s="1" t="str">
        <f>J22</f>
        <v>czarny lakier strukturalny</v>
      </c>
      <c r="D576" s="49">
        <v>524825</v>
      </c>
      <c r="E576" s="438" t="str">
        <f>+VLOOKUP(A576,cennik!A:G,2,FALSE)</f>
        <v>SEVROLL 06438 Alfa II rączka 16/18mm 2,7m czarny lakier strukturalny</v>
      </c>
      <c r="F576" s="438" t="str">
        <f>+VLOOKUP(A576,cennik!A:B,2,FALSE)</f>
        <v>SEVROLL 06438 Alfa II rączka 16/18mm 2,7m czarny lakier strukturalny</v>
      </c>
      <c r="I576" s="1" t="str">
        <f>J22</f>
        <v>czarny lakier strukturalny</v>
      </c>
      <c r="Z576" s="1" t="b">
        <f t="shared" si="15"/>
        <v>1</v>
      </c>
    </row>
    <row r="577" spans="1:26" ht="15" customHeight="1" x14ac:dyDescent="0.3">
      <c r="A577" s="49">
        <v>89010</v>
      </c>
      <c r="B577" s="48" t="s">
        <v>33</v>
      </c>
      <c r="C577" s="1" t="str">
        <f>J4</f>
        <v>srebrny</v>
      </c>
      <c r="D577" s="49">
        <v>89010</v>
      </c>
      <c r="E577" s="48" t="str">
        <f>+VLOOKUP(A577,cennik!A:G,2,FALSE)</f>
        <v>SEVROLL 00215 spojovací lišta H18 3m stříbrná</v>
      </c>
      <c r="F577" s="48" t="str">
        <f>+VLOOKUP(A577,cennik!A:B,2,FALSE)</f>
        <v>SEVROLL 00215 spojovací lišta H18 3m stříbrná</v>
      </c>
      <c r="G577" s="1" t="e">
        <f>+VLOOKUP(A577,#REF!,4,FALSE)</f>
        <v>#REF!</v>
      </c>
      <c r="I577" s="1" t="str">
        <f>J4</f>
        <v>srebrny</v>
      </c>
      <c r="Z577" s="1" t="b">
        <f t="shared" si="15"/>
        <v>1</v>
      </c>
    </row>
    <row r="578" spans="1:26" ht="15" customHeight="1" x14ac:dyDescent="0.3">
      <c r="A578" s="49">
        <v>89012</v>
      </c>
      <c r="B578" s="48"/>
      <c r="C578" s="1" t="str">
        <f>J6</f>
        <v>j.brąz</v>
      </c>
      <c r="D578" s="49">
        <v>89012</v>
      </c>
      <c r="E578" s="48" t="str">
        <f>+VLOOKUP(A578,cennik!A:G,2,FALSE)</f>
        <v>SEVROLL 00212 spojovací lišta H18 3m oliva</v>
      </c>
      <c r="F578" s="48" t="str">
        <f>+VLOOKUP(A578,cennik!A:B,2,FALSE)</f>
        <v>SEVROLL 00212 spojovací lišta H18 3m oliva</v>
      </c>
      <c r="G578" s="1" t="e">
        <f>+VLOOKUP(A578,#REF!,4,FALSE)</f>
        <v>#REF!</v>
      </c>
      <c r="I578" s="1" t="str">
        <f>J6</f>
        <v>j.brąz</v>
      </c>
      <c r="Z578" s="1" t="b">
        <f t="shared" si="15"/>
        <v>1</v>
      </c>
    </row>
    <row r="579" spans="1:26" ht="15" customHeight="1" x14ac:dyDescent="0.3">
      <c r="A579" s="49">
        <v>542588</v>
      </c>
      <c r="B579" s="48"/>
      <c r="C579" s="1" t="str">
        <f>J5</f>
        <v>złoty/mosiądz</v>
      </c>
      <c r="D579" s="49">
        <v>542588</v>
      </c>
      <c r="E579" s="48" t="str">
        <f>+VLOOKUP(A579,cennik!A:G,2,FALSE)</f>
        <v>SEVROLL 06794 spojovací lišta H18 3m zlatá/mosiądz</v>
      </c>
      <c r="F579" s="48" t="str">
        <f>+VLOOKUP(A579,cennik!A:B,2,FALSE)</f>
        <v>SEVROLL 06794 spojovací lišta H18 3m zlatá/mosiądz</v>
      </c>
      <c r="G579" s="1" t="e">
        <f>+VLOOKUP(A579,#REF!,4,FALSE)</f>
        <v>#REF!</v>
      </c>
      <c r="I579" s="1" t="str">
        <f>J5</f>
        <v>złoty/mosiądz</v>
      </c>
      <c r="Z579" s="1" t="b">
        <f t="shared" si="15"/>
        <v>1</v>
      </c>
    </row>
    <row r="580" spans="1:26" ht="15" customHeight="1" x14ac:dyDescent="0.3">
      <c r="A580" s="49">
        <v>191704</v>
      </c>
      <c r="B580" s="48"/>
      <c r="C580" s="1" t="str">
        <f>J7</f>
        <v>j.brąz szczotkowany</v>
      </c>
      <c r="D580" s="49">
        <v>191704</v>
      </c>
      <c r="E580" s="48" t="str">
        <f>+VLOOKUP(A580,cennik!A:G,2,FALSE)</f>
        <v>SEVROLL listwa łącząca H18 3m jasny brąz szczotkowany</v>
      </c>
      <c r="F580" s="48" t="str">
        <f>+VLOOKUP(A580,cennik!A:B,2,FALSE)</f>
        <v>SEVROLL listwa łącząca H18 3m jasny brąz szczotkowany</v>
      </c>
      <c r="I580" s="1" t="str">
        <f>J7</f>
        <v>j.brąz szczotkowany</v>
      </c>
      <c r="Z580" s="1" t="b">
        <f t="shared" si="15"/>
        <v>1</v>
      </c>
    </row>
    <row r="581" spans="1:26" ht="15" customHeight="1" x14ac:dyDescent="0.3">
      <c r="A581" s="49">
        <v>223332</v>
      </c>
      <c r="B581" s="48"/>
      <c r="C581" s="1" t="str">
        <f>J8</f>
        <v>szczot.oliwa ciemna</v>
      </c>
      <c r="D581" s="49">
        <v>223332</v>
      </c>
      <c r="E581" s="48" t="str">
        <f>+VLOOKUP(A581,cennik!A:G,2,FALSE)</f>
        <v>SEVROLL listwa łącząca H18 3 m  oliwka ciemna szczotkowana</v>
      </c>
      <c r="F581" s="48" t="str">
        <f>+VLOOKUP(A581,cennik!A:B,2,FALSE)</f>
        <v>SEVROLL listwa łącząca H18 3 m  oliwka ciemna szczotkowana</v>
      </c>
      <c r="I581" s="1" t="str">
        <f>J8</f>
        <v>szczot.oliwa ciemna</v>
      </c>
      <c r="Z581" s="1" t="b">
        <f t="shared" si="15"/>
        <v>1</v>
      </c>
    </row>
    <row r="582" spans="1:26" ht="15" customHeight="1" x14ac:dyDescent="0.3">
      <c r="A582" s="49">
        <v>223391</v>
      </c>
      <c r="B582" s="48"/>
      <c r="C582" s="1" t="str">
        <f>J9</f>
        <v>szczot.czarna</v>
      </c>
      <c r="D582" s="49">
        <v>223391</v>
      </c>
      <c r="E582" s="48" t="str">
        <f>+VLOOKUP(A582,cennik!A:G,2,FALSE)</f>
        <v>SEVROLL listwa łącząca H18 3m czarny szczotkowany</v>
      </c>
      <c r="F582" s="48" t="str">
        <f>+VLOOKUP(A582,cennik!A:B,2,FALSE)</f>
        <v>SEVROLL listwa łącząca H18 3m czarny szczotkowany</v>
      </c>
      <c r="I582" s="1" t="str">
        <f>J9</f>
        <v>szczot.czarna</v>
      </c>
      <c r="Z582" s="1" t="b">
        <f t="shared" si="15"/>
        <v>1</v>
      </c>
    </row>
    <row r="583" spans="1:26" ht="15" customHeight="1" x14ac:dyDescent="0.3">
      <c r="A583" s="2">
        <v>405392</v>
      </c>
      <c r="C583" s="1" t="str">
        <f>J16</f>
        <v>czarny połysk</v>
      </c>
      <c r="D583" s="2">
        <v>405392</v>
      </c>
      <c r="E583" s="48" t="str">
        <f>+VLOOKUP(A583,cennik!A:G,2,FALSE)</f>
        <v>SEVROLL listwa łącząca H18 3m czarny połysk</v>
      </c>
      <c r="F583" s="48" t="str">
        <f>+VLOOKUP(A583,cennik!A:B,2,FALSE)</f>
        <v>SEVROLL listwa łącząca H18 3m czarny połysk</v>
      </c>
      <c r="I583" s="1" t="str">
        <f>J16</f>
        <v>czarny połysk</v>
      </c>
      <c r="Z583" s="1" t="b">
        <f t="shared" si="15"/>
        <v>1</v>
      </c>
    </row>
    <row r="584" spans="1:26" ht="15" customHeight="1" x14ac:dyDescent="0.3">
      <c r="A584" s="2">
        <v>494727</v>
      </c>
      <c r="C584" s="1" t="str">
        <f>J12</f>
        <v>grafit</v>
      </c>
      <c r="D584" s="2">
        <v>494727</v>
      </c>
      <c r="E584" s="48" t="str">
        <f>+VLOOKUP(A584,cennik!A:G,2,FALSE)</f>
        <v>SEVROLL 06041 listwa łącząca H18 3m grafit</v>
      </c>
      <c r="F584" s="48" t="str">
        <f>+VLOOKUP(A584,cennik!A:B,2,FALSE)</f>
        <v>SEVROLL 06041 listwa łącząca H18 3m grafit</v>
      </c>
      <c r="I584" s="1" t="str">
        <f>J12</f>
        <v>grafit</v>
      </c>
      <c r="Z584" s="1" t="b">
        <f t="shared" si="15"/>
        <v>1</v>
      </c>
    </row>
    <row r="585" spans="1:26" ht="15" customHeight="1" x14ac:dyDescent="0.3">
      <c r="A585" s="1">
        <v>409683</v>
      </c>
      <c r="C585" s="1" t="str">
        <f>J17</f>
        <v> czarny mat</v>
      </c>
      <c r="D585" s="1">
        <v>409683</v>
      </c>
      <c r="E585" s="48" t="str">
        <f>+VLOOKUP(A585,cennik!A:G,2,FALSE)</f>
        <v>SEVROLL listwa łącząca H18 3m czarny mat</v>
      </c>
      <c r="F585" s="48" t="str">
        <f>+VLOOKUP(A585,cennik!A:B,2,FALSE)</f>
        <v>SEVROLL listwa łącząca H18 3m czarny mat</v>
      </c>
      <c r="I585" s="1" t="str">
        <f>J17</f>
        <v> czarny mat</v>
      </c>
      <c r="Z585" s="1" t="b">
        <f t="shared" si="15"/>
        <v>1</v>
      </c>
    </row>
    <row r="586" spans="1:26" ht="15" customHeight="1" x14ac:dyDescent="0.3">
      <c r="A586" s="436">
        <v>406463</v>
      </c>
      <c r="B586" s="437"/>
      <c r="C586" s="437" t="str">
        <f>J18</f>
        <v>biały mat</v>
      </c>
      <c r="D586" s="436">
        <v>406463</v>
      </c>
      <c r="E586" s="438" t="str">
        <f>+VLOOKUP(A586,cennik!A:G,2,FALSE)</f>
        <v>SEVROLL listwa łącząca H18 3m biały matowy</v>
      </c>
      <c r="F586" s="438" t="str">
        <f>+VLOOKUP(A586,cennik!A:B,2,FALSE)</f>
        <v>SEVROLL listwa łącząca H18 3m biały matowy</v>
      </c>
      <c r="G586" s="437"/>
      <c r="H586" s="437"/>
      <c r="I586" s="437" t="str">
        <f>J18</f>
        <v>biały mat</v>
      </c>
      <c r="Z586" s="1" t="b">
        <f t="shared" si="15"/>
        <v>1</v>
      </c>
    </row>
    <row r="587" spans="1:26" ht="15" customHeight="1" x14ac:dyDescent="0.3">
      <c r="A587" s="49">
        <v>252567</v>
      </c>
      <c r="B587" s="48"/>
      <c r="C587" s="1" t="str">
        <f>J15</f>
        <v> biały połysk</v>
      </c>
      <c r="D587" s="49">
        <v>252567</v>
      </c>
      <c r="E587" s="48" t="str">
        <f>+VLOOKUP(A587,cennik!A:G,2,FALSE)</f>
        <v>SEVROLL listwa łącząca H18 3m biały połysk</v>
      </c>
      <c r="F587" s="48" t="str">
        <f>+VLOOKUP(A587,cennik!A:B,2,FALSE)</f>
        <v>SEVROLL listwa łącząca H18 3m biały połysk</v>
      </c>
      <c r="I587" s="1" t="str">
        <f>J15</f>
        <v> biały połysk</v>
      </c>
      <c r="Z587" s="1" t="b">
        <f t="shared" si="15"/>
        <v>1</v>
      </c>
    </row>
    <row r="588" spans="1:26" ht="15" customHeight="1" x14ac:dyDescent="0.3">
      <c r="A588" s="49">
        <v>526505</v>
      </c>
      <c r="B588" s="48"/>
      <c r="C588" s="1" t="str">
        <f>J22</f>
        <v>czarny lakier strukturalny</v>
      </c>
      <c r="D588" s="49">
        <v>526505</v>
      </c>
      <c r="E588" s="48" t="str">
        <f>+VLOOKUP(A588,cennik!A:G,2,FALSE)</f>
        <v>SEVROLL 06437 listwa łącząca H18 3m czarny lakier strukturalny</v>
      </c>
      <c r="F588" s="48" t="str">
        <f>+VLOOKUP(A588,cennik!A:B,2,FALSE)</f>
        <v>SEVROLL 06437 listwa łącząca H18 3m czarny lakier strukturalny</v>
      </c>
      <c r="I588" s="1" t="str">
        <f>J22</f>
        <v>czarny lakier strukturalny</v>
      </c>
    </row>
    <row r="589" spans="1:26" ht="15" customHeight="1" x14ac:dyDescent="0.3">
      <c r="A589" s="49">
        <v>89188</v>
      </c>
      <c r="B589" s="48" t="s">
        <v>34</v>
      </c>
      <c r="C589" s="1" t="str">
        <f>J4</f>
        <v>srebrny</v>
      </c>
      <c r="D589" s="49">
        <v>89188</v>
      </c>
      <c r="E589" s="48" t="str">
        <f>+VLOOKUP(A589,cennik!A:G,2,FALSE)</f>
        <v>SEVROLL listwa łącząca "T" 3m srebrna</v>
      </c>
      <c r="F589" s="48" t="str">
        <f>+VLOOKUP(A589,cennik!A:B,2,FALSE)</f>
        <v>SEVROLL listwa łącząca "T" 3m srebrna</v>
      </c>
      <c r="G589" s="1" t="e">
        <f>+VLOOKUP(A589,#REF!,4,FALSE)</f>
        <v>#REF!</v>
      </c>
      <c r="I589" s="1" t="str">
        <f>J4</f>
        <v>srebrny</v>
      </c>
      <c r="Z589" s="1" t="b">
        <f t="shared" si="15"/>
        <v>1</v>
      </c>
    </row>
    <row r="590" spans="1:26" ht="15" customHeight="1" x14ac:dyDescent="0.3">
      <c r="A590" s="49">
        <v>89187</v>
      </c>
      <c r="B590" s="48"/>
      <c r="C590" s="1" t="str">
        <f>J6</f>
        <v>j.brąz</v>
      </c>
      <c r="D590" s="49">
        <v>89187</v>
      </c>
      <c r="E590" s="48" t="str">
        <f>+VLOOKUP(A590,cennik!A:G,2,FALSE)</f>
        <v>SEVROLL listwa łącząca "T" 3m jasny brąz</v>
      </c>
      <c r="F590" s="48" t="str">
        <f>+VLOOKUP(A590,cennik!A:B,2,FALSE)</f>
        <v>SEVROLL listwa łącząca "T" 3m jasny brąz</v>
      </c>
      <c r="G590" s="1" t="e">
        <f>+VLOOKUP(A590,#REF!,4,FALSE)</f>
        <v>#REF!</v>
      </c>
      <c r="I590" s="1" t="str">
        <f>J6</f>
        <v>j.brąz</v>
      </c>
      <c r="Z590" s="1" t="b">
        <f t="shared" si="15"/>
        <v>1</v>
      </c>
    </row>
    <row r="591" spans="1:26" ht="15" customHeight="1" x14ac:dyDescent="0.3">
      <c r="A591" s="49" t="s">
        <v>111</v>
      </c>
      <c r="B591" s="48"/>
      <c r="C591" s="1" t="str">
        <f>J5</f>
        <v>złoty/mosiądz</v>
      </c>
      <c r="D591" s="49" t="s">
        <v>111</v>
      </c>
      <c r="E591" s="48" t="e">
        <f>+VLOOKUP(A591,cennik!A:G,2,FALSE)</f>
        <v>#N/A</v>
      </c>
      <c r="F591" s="48" t="e">
        <f>+VLOOKUP(A591,cennik!A:B,2,FALSE)</f>
        <v>#N/A</v>
      </c>
      <c r="G591" s="1" t="e">
        <f>+VLOOKUP(A591,#REF!,4,FALSE)</f>
        <v>#REF!</v>
      </c>
      <c r="I591" s="1" t="str">
        <f>J5</f>
        <v>złoty/mosiądz</v>
      </c>
      <c r="Z591" s="1" t="b">
        <f t="shared" si="15"/>
        <v>1</v>
      </c>
    </row>
    <row r="592" spans="1:26" ht="15" customHeight="1" x14ac:dyDescent="0.3">
      <c r="A592" s="49" t="s">
        <v>111</v>
      </c>
      <c r="B592" s="48"/>
      <c r="C592" s="1" t="str">
        <f>J7</f>
        <v>j.brąz szczotkowany</v>
      </c>
      <c r="D592" s="49" t="s">
        <v>111</v>
      </c>
      <c r="E592" s="48" t="e">
        <f>+VLOOKUP(A592,cennik!A:G,2,FALSE)</f>
        <v>#N/A</v>
      </c>
      <c r="F592" s="48" t="e">
        <f>+VLOOKUP(A592,cennik!A:B,2,FALSE)</f>
        <v>#N/A</v>
      </c>
      <c r="I592" s="1" t="str">
        <f>J7</f>
        <v>j.brąz szczotkowany</v>
      </c>
      <c r="Z592" s="1" t="b">
        <f t="shared" si="15"/>
        <v>1</v>
      </c>
    </row>
    <row r="593" spans="1:26" ht="15" customHeight="1" x14ac:dyDescent="0.3">
      <c r="A593" s="49" t="s">
        <v>111</v>
      </c>
      <c r="B593" s="48"/>
      <c r="C593" s="1" t="str">
        <f>J8</f>
        <v>szczot.oliwa ciemna</v>
      </c>
      <c r="D593" s="49" t="s">
        <v>111</v>
      </c>
      <c r="E593" s="48" t="e">
        <f>+VLOOKUP(A593,cennik!A:G,2,FALSE)</f>
        <v>#N/A</v>
      </c>
      <c r="F593" s="48" t="e">
        <f>+VLOOKUP(A593,cennik!A:B,2,FALSE)</f>
        <v>#N/A</v>
      </c>
      <c r="I593" s="1" t="str">
        <f>J8</f>
        <v>szczot.oliwa ciemna</v>
      </c>
      <c r="Z593" s="1" t="b">
        <f t="shared" si="15"/>
        <v>1</v>
      </c>
    </row>
    <row r="594" spans="1:26" ht="15" customHeight="1" x14ac:dyDescent="0.3">
      <c r="A594" s="49" t="s">
        <v>111</v>
      </c>
      <c r="B594" s="48"/>
      <c r="C594" s="1" t="str">
        <f>J9</f>
        <v>szczot.czarna</v>
      </c>
      <c r="D594" s="49" t="s">
        <v>111</v>
      </c>
      <c r="E594" s="48" t="e">
        <f>+VLOOKUP(A594,cennik!A:G,2,FALSE)</f>
        <v>#N/A</v>
      </c>
      <c r="F594" s="48" t="e">
        <f>+VLOOKUP(A594,cennik!A:B,2,FALSE)</f>
        <v>#N/A</v>
      </c>
      <c r="I594" s="1" t="str">
        <f>J9</f>
        <v>szczot.czarna</v>
      </c>
      <c r="Z594" s="1" t="b">
        <f t="shared" si="15"/>
        <v>1</v>
      </c>
    </row>
    <row r="595" spans="1:26" ht="15" customHeight="1" x14ac:dyDescent="0.3">
      <c r="A595" s="49" t="s">
        <v>111</v>
      </c>
      <c r="B595" s="437"/>
      <c r="C595" s="437" t="str">
        <f>J17</f>
        <v> czarny mat</v>
      </c>
      <c r="D595" s="49" t="s">
        <v>111</v>
      </c>
      <c r="E595" s="438" t="e">
        <f>+VLOOKUP(A595,cennik!A:G,2,FALSE)</f>
        <v>#N/A</v>
      </c>
      <c r="F595" s="438" t="e">
        <f>+VLOOKUP(A595,cennik!A:B,2,FALSE)</f>
        <v>#N/A</v>
      </c>
      <c r="G595" s="437"/>
      <c r="H595" s="437"/>
      <c r="I595" s="437" t="str">
        <f>J17</f>
        <v> czarny mat</v>
      </c>
      <c r="Z595" s="1" t="b">
        <f t="shared" si="15"/>
        <v>1</v>
      </c>
    </row>
    <row r="596" spans="1:26" ht="15" customHeight="1" x14ac:dyDescent="0.3">
      <c r="A596" s="49" t="s">
        <v>111</v>
      </c>
      <c r="B596" s="437"/>
      <c r="C596" s="437" t="str">
        <f>J16</f>
        <v>czarny połysk</v>
      </c>
      <c r="D596" s="49" t="s">
        <v>111</v>
      </c>
      <c r="E596" s="438" t="e">
        <f>+VLOOKUP(A596,cennik!A:G,2,FALSE)</f>
        <v>#N/A</v>
      </c>
      <c r="F596" s="438" t="e">
        <f>+VLOOKUP(A596,cennik!A:B,2,FALSE)</f>
        <v>#N/A</v>
      </c>
      <c r="G596" s="437"/>
      <c r="H596" s="437"/>
      <c r="I596" s="437" t="str">
        <f>J16</f>
        <v>czarny połysk</v>
      </c>
      <c r="Z596" s="1" t="b">
        <f t="shared" si="15"/>
        <v>1</v>
      </c>
    </row>
    <row r="597" spans="1:26" ht="15" customHeight="1" x14ac:dyDescent="0.3">
      <c r="A597" s="49" t="s">
        <v>111</v>
      </c>
      <c r="B597" s="437"/>
      <c r="C597" s="437" t="str">
        <f>J18</f>
        <v>biały mat</v>
      </c>
      <c r="D597" s="49" t="s">
        <v>111</v>
      </c>
      <c r="E597" s="438" t="e">
        <f>+VLOOKUP(A597,cennik!A:G,2,FALSE)</f>
        <v>#N/A</v>
      </c>
      <c r="F597" s="438" t="e">
        <f>+VLOOKUP(A597,cennik!A:B,2,FALSE)</f>
        <v>#N/A</v>
      </c>
      <c r="G597" s="437"/>
      <c r="H597" s="437"/>
      <c r="I597" s="437" t="str">
        <f>J18</f>
        <v>biały mat</v>
      </c>
      <c r="Z597" s="1" t="b">
        <f t="shared" si="15"/>
        <v>1</v>
      </c>
    </row>
    <row r="598" spans="1:26" ht="15" customHeight="1" x14ac:dyDescent="0.3">
      <c r="A598" s="49" t="s">
        <v>111</v>
      </c>
      <c r="B598" s="48"/>
      <c r="C598" s="1" t="str">
        <f>J15</f>
        <v> biały połysk</v>
      </c>
      <c r="D598" s="49" t="s">
        <v>111</v>
      </c>
      <c r="E598" s="48" t="e">
        <f>+VLOOKUP(A598,cennik!A:G,2,FALSE)</f>
        <v>#N/A</v>
      </c>
      <c r="F598" s="48" t="e">
        <f>+VLOOKUP(A598,cennik!A:B,2,FALSE)</f>
        <v>#N/A</v>
      </c>
      <c r="I598" s="1" t="str">
        <f>J15</f>
        <v> biały połysk</v>
      </c>
      <c r="Z598" s="1" t="b">
        <f t="shared" si="15"/>
        <v>1</v>
      </c>
    </row>
    <row r="599" spans="1:26" ht="15" customHeight="1" x14ac:dyDescent="0.3">
      <c r="A599" s="49">
        <v>89013</v>
      </c>
      <c r="B599" s="161" t="s">
        <v>956</v>
      </c>
      <c r="C599" s="1" t="str">
        <f>J4</f>
        <v>srebrny</v>
      </c>
      <c r="D599" s="49">
        <v>89013</v>
      </c>
      <c r="E599" s="48" t="str">
        <f>+VLOOKUP(A599,cennik!A:G,2,FALSE)</f>
        <v>SEVROLL 01373 spojovací lišta T Decor 3m stříbrná</v>
      </c>
      <c r="F599" s="48" t="str">
        <f>+VLOOKUP(A599,cennik!A:B,2,FALSE)</f>
        <v>SEVROLL 01373 spojovací lišta T Decor 3m stříbrná</v>
      </c>
      <c r="G599" s="1" t="e">
        <f>+VLOOKUP(A599,#REF!,4,FALSE)</f>
        <v>#REF!</v>
      </c>
      <c r="I599" s="1" t="str">
        <f>J4</f>
        <v>srebrny</v>
      </c>
      <c r="Z599" s="1" t="b">
        <f t="shared" si="15"/>
        <v>1</v>
      </c>
    </row>
    <row r="600" spans="1:26" ht="15" customHeight="1" x14ac:dyDescent="0.3">
      <c r="A600" s="49">
        <v>89015</v>
      </c>
      <c r="B600" s="48"/>
      <c r="C600" s="1" t="str">
        <f>J6</f>
        <v>j.brąz</v>
      </c>
      <c r="D600" s="49">
        <v>89015</v>
      </c>
      <c r="E600" s="48" t="str">
        <f>+VLOOKUP(A600,cennik!A:G,2,FALSE)</f>
        <v>SEVROLL 01370 spojovací lišta T Decor 3m oliva</v>
      </c>
      <c r="F600" s="48" t="str">
        <f>+VLOOKUP(A600,cennik!A:B,2,FALSE)</f>
        <v>SEVROLL 01370 spojovací lišta T Decor 3m oliva</v>
      </c>
      <c r="G600" s="1" t="e">
        <f>+VLOOKUP(A600,#REF!,4,FALSE)</f>
        <v>#REF!</v>
      </c>
      <c r="I600" s="1" t="str">
        <f>J6</f>
        <v>j.brąz</v>
      </c>
      <c r="Z600" s="1" t="b">
        <f t="shared" si="15"/>
        <v>1</v>
      </c>
    </row>
    <row r="601" spans="1:26" ht="15" customHeight="1" x14ac:dyDescent="0.3">
      <c r="A601" s="49" t="s">
        <v>111</v>
      </c>
      <c r="B601" s="48"/>
      <c r="C601" s="1" t="str">
        <f>J5</f>
        <v>złoty/mosiądz</v>
      </c>
      <c r="D601" s="49" t="s">
        <v>111</v>
      </c>
      <c r="E601" s="48" t="e">
        <f>+VLOOKUP(A601,cennik!A:G,2,FALSE)</f>
        <v>#N/A</v>
      </c>
      <c r="F601" s="48" t="e">
        <f>+VLOOKUP(A601,cennik!A:B,2,FALSE)</f>
        <v>#N/A</v>
      </c>
      <c r="G601" s="1" t="e">
        <f>+VLOOKUP(A601,#REF!,4,FALSE)</f>
        <v>#REF!</v>
      </c>
      <c r="I601" s="1" t="str">
        <f>J5</f>
        <v>złoty/mosiądz</v>
      </c>
      <c r="Z601" s="1" t="b">
        <f t="shared" si="15"/>
        <v>1</v>
      </c>
    </row>
    <row r="602" spans="1:26" ht="15" customHeight="1" x14ac:dyDescent="0.3">
      <c r="A602" s="49" t="s">
        <v>111</v>
      </c>
      <c r="B602" s="48"/>
      <c r="C602" s="1" t="str">
        <f>J7</f>
        <v>j.brąz szczotkowany</v>
      </c>
      <c r="D602" s="49" t="s">
        <v>111</v>
      </c>
      <c r="E602" s="48" t="e">
        <f>+VLOOKUP(A602,cennik!A:G,2,FALSE)</f>
        <v>#N/A</v>
      </c>
      <c r="F602" s="48" t="e">
        <f>+VLOOKUP(A602,cennik!A:B,2,FALSE)</f>
        <v>#N/A</v>
      </c>
      <c r="I602" s="1" t="str">
        <f>J7</f>
        <v>j.brąz szczotkowany</v>
      </c>
      <c r="Z602" s="1" t="b">
        <f t="shared" si="15"/>
        <v>1</v>
      </c>
    </row>
    <row r="603" spans="1:26" ht="15" customHeight="1" x14ac:dyDescent="0.3">
      <c r="A603" s="49" t="s">
        <v>111</v>
      </c>
      <c r="B603" s="437"/>
      <c r="C603" s="437" t="str">
        <f>J17</f>
        <v> czarny mat</v>
      </c>
      <c r="D603" s="49" t="s">
        <v>111</v>
      </c>
      <c r="E603" s="438" t="e">
        <f>+VLOOKUP(A603,cennik!A:G,2,FALSE)</f>
        <v>#N/A</v>
      </c>
      <c r="F603" s="438" t="e">
        <f>+VLOOKUP(A603,cennik!A:B,2,FALSE)</f>
        <v>#N/A</v>
      </c>
      <c r="G603" s="437"/>
      <c r="H603" s="437"/>
      <c r="I603" s="437" t="str">
        <f>J17</f>
        <v> czarny mat</v>
      </c>
      <c r="Z603" s="1" t="b">
        <f t="shared" si="15"/>
        <v>1</v>
      </c>
    </row>
    <row r="604" spans="1:26" ht="15" customHeight="1" x14ac:dyDescent="0.3">
      <c r="A604" s="49" t="s">
        <v>111</v>
      </c>
      <c r="B604" s="437"/>
      <c r="C604" s="437" t="str">
        <f>J16</f>
        <v>czarny połysk</v>
      </c>
      <c r="D604" s="49" t="s">
        <v>111</v>
      </c>
      <c r="E604" s="438" t="e">
        <f>+VLOOKUP(A604,cennik!A:G,2,FALSE)</f>
        <v>#N/A</v>
      </c>
      <c r="F604" s="438" t="e">
        <f>+VLOOKUP(A604,cennik!A:B,2,FALSE)</f>
        <v>#N/A</v>
      </c>
      <c r="G604" s="437"/>
      <c r="H604" s="437"/>
      <c r="I604" s="437" t="str">
        <f>J16</f>
        <v>czarny połysk</v>
      </c>
      <c r="Z604" s="1" t="b">
        <f t="shared" si="15"/>
        <v>1</v>
      </c>
    </row>
    <row r="605" spans="1:26" ht="15" customHeight="1" x14ac:dyDescent="0.3">
      <c r="A605" s="49" t="s">
        <v>111</v>
      </c>
      <c r="B605" s="48"/>
      <c r="C605" s="1" t="str">
        <f>J8</f>
        <v>szczot.oliwa ciemna</v>
      </c>
      <c r="D605" s="49" t="s">
        <v>111</v>
      </c>
      <c r="E605" s="48" t="e">
        <f>+VLOOKUP(A605,cennik!A:G,2,FALSE)</f>
        <v>#N/A</v>
      </c>
      <c r="F605" s="48" t="e">
        <f>+VLOOKUP(A605,cennik!A:B,2,FALSE)</f>
        <v>#N/A</v>
      </c>
      <c r="I605" s="1" t="str">
        <f>J8</f>
        <v>szczot.oliwa ciemna</v>
      </c>
      <c r="Z605" s="1" t="b">
        <f t="shared" si="15"/>
        <v>1</v>
      </c>
    </row>
    <row r="606" spans="1:26" ht="15" customHeight="1" x14ac:dyDescent="0.3">
      <c r="A606" s="49" t="s">
        <v>111</v>
      </c>
      <c r="B606" s="437"/>
      <c r="C606" s="437" t="str">
        <f>J18</f>
        <v>biały mat</v>
      </c>
      <c r="D606" s="49" t="s">
        <v>111</v>
      </c>
      <c r="E606" s="438" t="e">
        <f>+VLOOKUP(A606,cennik!A:G,2,FALSE)</f>
        <v>#N/A</v>
      </c>
      <c r="F606" s="438" t="e">
        <f>+VLOOKUP(A606,cennik!A:B,2,FALSE)</f>
        <v>#N/A</v>
      </c>
      <c r="G606" s="437"/>
      <c r="H606" s="437"/>
      <c r="I606" s="437" t="str">
        <f>J18</f>
        <v>biały mat</v>
      </c>
      <c r="Z606" s="1" t="b">
        <f t="shared" si="15"/>
        <v>1</v>
      </c>
    </row>
    <row r="607" spans="1:26" ht="15" customHeight="1" x14ac:dyDescent="0.3">
      <c r="A607" s="49" t="s">
        <v>111</v>
      </c>
      <c r="B607" s="48"/>
      <c r="C607" s="1" t="str">
        <f>J9</f>
        <v>szczot.czarna</v>
      </c>
      <c r="D607" s="49" t="s">
        <v>111</v>
      </c>
      <c r="E607" s="48" t="e">
        <f>+VLOOKUP(A607,cennik!A:G,2,FALSE)</f>
        <v>#N/A</v>
      </c>
      <c r="F607" s="48" t="e">
        <f>+VLOOKUP(A607,cennik!A:B,2,FALSE)</f>
        <v>#N/A</v>
      </c>
      <c r="I607" s="1" t="str">
        <f>J9</f>
        <v>szczot.czarna</v>
      </c>
      <c r="Z607" s="1" t="b">
        <f t="shared" si="15"/>
        <v>1</v>
      </c>
    </row>
    <row r="608" spans="1:26" ht="15" customHeight="1" x14ac:dyDescent="0.3">
      <c r="A608" s="49" t="s">
        <v>111</v>
      </c>
      <c r="B608" s="48"/>
      <c r="C608" s="1" t="str">
        <f>J15</f>
        <v> biały połysk</v>
      </c>
      <c r="D608" s="49" t="s">
        <v>111</v>
      </c>
      <c r="E608" s="48" t="e">
        <f>+VLOOKUP(A608,cennik!A:G,2,FALSE)</f>
        <v>#N/A</v>
      </c>
      <c r="F608" s="48" t="e">
        <f>+VLOOKUP(A608,cennik!A:B,2,FALSE)</f>
        <v>#N/A</v>
      </c>
      <c r="I608" s="1" t="str">
        <f>J15</f>
        <v> biały połysk</v>
      </c>
      <c r="Z608" s="1" t="b">
        <f t="shared" si="15"/>
        <v>1</v>
      </c>
    </row>
    <row r="609" spans="1:26" ht="15" customHeight="1" x14ac:dyDescent="0.3">
      <c r="A609" s="49">
        <v>89269</v>
      </c>
      <c r="B609" s="48" t="s">
        <v>45</v>
      </c>
      <c r="C609" s="1" t="str">
        <f>J4</f>
        <v>srebrny</v>
      </c>
      <c r="D609" s="49">
        <v>89269</v>
      </c>
      <c r="E609" s="48" t="str">
        <f>+VLOOKUP(A609,cennik!A:G,2,FALSE)</f>
        <v>SEVROLL profil "U" do płyty laminowanej 18mm 3m srebrny</v>
      </c>
      <c r="F609" s="48" t="str">
        <f>+VLOOKUP(A609,cennik!A:B,2,FALSE)</f>
        <v>SEVROLL profil "U" do płyty laminowanej 18mm 3m srebrny</v>
      </c>
      <c r="G609" s="1" t="e">
        <f>+VLOOKUP(A609,#REF!,4,FALSE)</f>
        <v>#REF!</v>
      </c>
      <c r="I609" s="1" t="str">
        <f>J4</f>
        <v>srebrny</v>
      </c>
      <c r="Z609" s="1" t="b">
        <f t="shared" si="15"/>
        <v>1</v>
      </c>
    </row>
    <row r="610" spans="1:26" ht="15" customHeight="1" x14ac:dyDescent="0.3">
      <c r="A610" s="49">
        <v>89268</v>
      </c>
      <c r="B610" s="48"/>
      <c r="C610" s="1" t="str">
        <f>J6</f>
        <v>j.brąz</v>
      </c>
      <c r="D610" s="49">
        <v>89268</v>
      </c>
      <c r="E610" s="48" t="str">
        <f>+VLOOKUP(A610,cennik!A:G,2,FALSE)</f>
        <v>SEVROLL profil "U" do płyty laminowanej 18mm 3m jasny brąz</v>
      </c>
      <c r="F610" s="48" t="str">
        <f>+VLOOKUP(A610,cennik!A:B,2,FALSE)</f>
        <v>SEVROLL profil "U" do płyty laminowanej 18mm 3m jasny brąz</v>
      </c>
      <c r="G610" s="1" t="e">
        <f>+VLOOKUP(A610,#REF!,4,FALSE)</f>
        <v>#REF!</v>
      </c>
      <c r="I610" s="1" t="str">
        <f>J6</f>
        <v>j.brąz</v>
      </c>
      <c r="Z610" s="1" t="b">
        <f t="shared" si="15"/>
        <v>1</v>
      </c>
    </row>
    <row r="611" spans="1:26" ht="15" customHeight="1" x14ac:dyDescent="0.3">
      <c r="A611" s="49">
        <v>542871</v>
      </c>
      <c r="B611" s="48"/>
      <c r="C611" s="1" t="str">
        <f>J5</f>
        <v>złoty/mosiądz</v>
      </c>
      <c r="D611" s="49">
        <v>542871</v>
      </c>
      <c r="E611" s="48" t="str">
        <f>+VLOOKUP(A611,cennik!A:G,2,FALSE)</f>
        <v>SEVROLL 06789 profil "U" do płyty laminowanej 18mm 3m złoty/mosiądz</v>
      </c>
      <c r="F611" s="48" t="str">
        <f>+VLOOKUP(A611,cennik!A:B,2,FALSE)</f>
        <v>SEVROLL 06789 profil "U" do płyty laminowanej 18mm 3m złoty/mosiądz</v>
      </c>
      <c r="G611" s="1" t="e">
        <f>+VLOOKUP(A611,#REF!,4,FALSE)</f>
        <v>#REF!</v>
      </c>
      <c r="I611" s="1" t="str">
        <f>J5</f>
        <v>złoty/mosiądz</v>
      </c>
      <c r="Z611" s="1" t="b">
        <f t="shared" si="15"/>
        <v>1</v>
      </c>
    </row>
    <row r="612" spans="1:26" ht="15" customHeight="1" x14ac:dyDescent="0.3">
      <c r="A612" s="49">
        <v>223341</v>
      </c>
      <c r="B612" s="48"/>
      <c r="C612" s="1" t="str">
        <f>J7</f>
        <v>j.brąz szczotkowany</v>
      </c>
      <c r="D612" s="49">
        <v>223341</v>
      </c>
      <c r="E612" s="48" t="str">
        <f>+VLOOKUP(A612,cennik!A:G,2,FALSE)</f>
        <v>SEVROLL profil "U" 18 mm 3 m oliwka szczotkowana</v>
      </c>
      <c r="F612" s="48" t="str">
        <f>+VLOOKUP(A612,cennik!A:B,2,FALSE)</f>
        <v>SEVROLL profil "U" 18 mm 3 m oliwka szczotkowana</v>
      </c>
      <c r="G612" s="1" t="e">
        <f>+VLOOKUP(A612,#REF!,4,FALSE)</f>
        <v>#REF!</v>
      </c>
      <c r="I612" s="1" t="str">
        <f>J7</f>
        <v>j.brąz szczotkowany</v>
      </c>
      <c r="Z612" s="1" t="b">
        <f t="shared" si="15"/>
        <v>1</v>
      </c>
    </row>
    <row r="613" spans="1:26" ht="15" customHeight="1" x14ac:dyDescent="0.3">
      <c r="A613" s="49">
        <v>223342</v>
      </c>
      <c r="B613" s="48"/>
      <c r="C613" s="1" t="str">
        <f>J8</f>
        <v>szczot.oliwa ciemna</v>
      </c>
      <c r="D613" s="49">
        <v>223342</v>
      </c>
      <c r="E613" s="48" t="str">
        <f>+VLOOKUP(A613,cennik!A:G,2,FALSE)</f>
        <v>SEVROLL profil "U" 18 mm 3 m  oliwka ciemna szczotkowana</v>
      </c>
      <c r="F613" s="48" t="str">
        <f>+VLOOKUP(A613,cennik!A:B,2,FALSE)</f>
        <v>SEVROLL profil "U" 18 mm 3 m  oliwka ciemna szczotkowana</v>
      </c>
      <c r="I613" s="1" t="str">
        <f>J8</f>
        <v>szczot.oliwa ciemna</v>
      </c>
      <c r="Z613" s="1" t="b">
        <f t="shared" si="15"/>
        <v>1</v>
      </c>
    </row>
    <row r="614" spans="1:26" ht="15" customHeight="1" x14ac:dyDescent="0.3">
      <c r="A614" s="49">
        <v>223343</v>
      </c>
      <c r="B614" s="48"/>
      <c r="C614" s="1" t="str">
        <f>J9</f>
        <v>szczot.czarna</v>
      </c>
      <c r="D614" s="49">
        <v>223343</v>
      </c>
      <c r="E614" s="48" t="str">
        <f>+VLOOKUP(A614,cennik!A:G,2,FALSE)</f>
        <v>SEVROLL profil "U" 18 mm 3 m czarny szczotkowany</v>
      </c>
      <c r="F614" s="48" t="str">
        <f>+VLOOKUP(A614,cennik!A:B,2,FALSE)</f>
        <v>SEVROLL profil "U" 18 mm 3 m czarny szczotkowany</v>
      </c>
      <c r="I614" s="1" t="str">
        <f>J9</f>
        <v>szczot.czarna</v>
      </c>
      <c r="Z614" s="1" t="b">
        <f t="shared" si="15"/>
        <v>1</v>
      </c>
    </row>
    <row r="615" spans="1:26" ht="15" customHeight="1" x14ac:dyDescent="0.3">
      <c r="A615" s="2">
        <v>405364</v>
      </c>
      <c r="C615" s="1" t="str">
        <f>J16</f>
        <v>czarny połysk</v>
      </c>
      <c r="D615" s="2">
        <v>405364</v>
      </c>
      <c r="E615" s="48" t="str">
        <f>+VLOOKUP(A615,cennik!A:G,2,FALSE)</f>
        <v>SEVROLL profil "U" do płyty laminowanej 18mm 3m czarny połysk</v>
      </c>
      <c r="F615" s="48" t="str">
        <f>+VLOOKUP(A615,cennik!A:B,2,FALSE)</f>
        <v>SEVROLL profil "U" do płyty laminowanej 18mm 3m czarny połysk</v>
      </c>
      <c r="I615" s="1" t="str">
        <f>J16</f>
        <v>czarny połysk</v>
      </c>
      <c r="Z615" s="1" t="b">
        <f t="shared" si="15"/>
        <v>1</v>
      </c>
    </row>
    <row r="616" spans="1:26" ht="15" customHeight="1" x14ac:dyDescent="0.3">
      <c r="A616" s="2">
        <v>494743</v>
      </c>
      <c r="C616" s="1" t="str">
        <f>J12</f>
        <v>grafit</v>
      </c>
      <c r="D616" s="2">
        <v>494743</v>
      </c>
      <c r="E616" s="48" t="str">
        <f>+VLOOKUP(A616,cennik!A:G,2,FALSE)</f>
        <v>SEVROLL 06033 profil "U" do płyty laminowanej 18mm 3m grafit</v>
      </c>
      <c r="F616" s="48" t="str">
        <f>+VLOOKUP(A616,cennik!A:B,2,FALSE)</f>
        <v>SEVROLL 06033 profil "U" do płyty laminowanej 18mm 3m grafit</v>
      </c>
      <c r="I616" s="1" t="str">
        <f>J12</f>
        <v>grafit</v>
      </c>
      <c r="Z616" s="1" t="b">
        <f t="shared" si="15"/>
        <v>1</v>
      </c>
    </row>
    <row r="617" spans="1:26" ht="15" customHeight="1" x14ac:dyDescent="0.3">
      <c r="A617" s="2">
        <v>422013</v>
      </c>
      <c r="C617" s="1" t="str">
        <f>J17</f>
        <v> czarny mat</v>
      </c>
      <c r="D617" s="2">
        <v>422013</v>
      </c>
      <c r="E617" s="48" t="str">
        <f>+VLOOKUP(A617,cennik!A:G,2,FALSE)</f>
        <v>SEVROLL profil "U" do płyty laminowanej 18mm 3m czarny mat</v>
      </c>
      <c r="F617" s="48" t="str">
        <f>+VLOOKUP(A617,cennik!A:B,2,FALSE)</f>
        <v>SEVROLL profil "U" do płyty laminowanej 18mm 3m czarny mat</v>
      </c>
      <c r="I617" s="1" t="str">
        <f>J16</f>
        <v>czarny połysk</v>
      </c>
      <c r="Z617" s="1" t="b">
        <f t="shared" si="15"/>
        <v>1</v>
      </c>
    </row>
    <row r="618" spans="1:26" ht="15" customHeight="1" x14ac:dyDescent="0.3">
      <c r="A618" s="436">
        <v>406464</v>
      </c>
      <c r="B618" s="437"/>
      <c r="C618" s="437" t="str">
        <f>J18</f>
        <v>biały mat</v>
      </c>
      <c r="D618" s="436">
        <v>406464</v>
      </c>
      <c r="E618" s="438" t="str">
        <f>+VLOOKUP(A618,cennik!A:G,2,FALSE)</f>
        <v>SEVROLL profil "U" do płyty laminowanej 18mm 3m biały matowy</v>
      </c>
      <c r="F618" s="438" t="str">
        <f>+VLOOKUP(A618,cennik!A:B,2,FALSE)</f>
        <v>SEVROLL profil "U" do płyty laminowanej 18mm 3m biały matowy</v>
      </c>
      <c r="G618" s="437"/>
      <c r="H618" s="437"/>
      <c r="I618" s="437" t="str">
        <f>J18</f>
        <v>biały mat</v>
      </c>
      <c r="Z618" s="1" t="b">
        <f t="shared" si="15"/>
        <v>1</v>
      </c>
    </row>
    <row r="619" spans="1:26" ht="15" customHeight="1" x14ac:dyDescent="0.3">
      <c r="A619" s="49">
        <v>360760</v>
      </c>
      <c r="B619" s="48"/>
      <c r="C619" s="1" t="str">
        <f>J15</f>
        <v> biały połysk</v>
      </c>
      <c r="D619" s="49">
        <v>360760</v>
      </c>
      <c r="E619" s="48" t="str">
        <f>+VLOOKUP(A619,cennik!A:G,2,FALSE)</f>
        <v>SEVROLL profil "U" do płyty laminowanej 18mm 3m biały połysk</v>
      </c>
      <c r="F619" s="48" t="str">
        <f>+VLOOKUP(A619,cennik!A:B,2,FALSE)</f>
        <v>SEVROLL profil "U" do płyty laminowanej 18mm 3m biały połysk</v>
      </c>
      <c r="I619" s="1" t="str">
        <f>J15</f>
        <v> biały połysk</v>
      </c>
      <c r="Z619" s="1" t="b">
        <f t="shared" si="15"/>
        <v>1</v>
      </c>
    </row>
    <row r="620" spans="1:26" ht="15" customHeight="1" x14ac:dyDescent="0.3">
      <c r="A620" s="49">
        <v>89016</v>
      </c>
      <c r="B620" s="161" t="s">
        <v>957</v>
      </c>
      <c r="C620" s="1" t="str">
        <f>J4</f>
        <v>srebrny</v>
      </c>
      <c r="D620" s="49">
        <v>89016</v>
      </c>
      <c r="E620" s="48" t="str">
        <f>+VLOOKUP(A620,cennik!A:G,2,FALSE)</f>
        <v>SEVROLL 00036 profil "U" Decor 18mm 3m stříbrná</v>
      </c>
      <c r="F620" s="48" t="str">
        <f>+VLOOKUP(A620,cennik!A:B,2,FALSE)</f>
        <v>SEVROLL 00036 profil "U" Decor 18mm 3m stříbrná</v>
      </c>
      <c r="G620" s="1" t="e">
        <f>+VLOOKUP(A620,#REF!,4,FALSE)</f>
        <v>#REF!</v>
      </c>
      <c r="I620" s="1" t="str">
        <f>J4</f>
        <v>srebrny</v>
      </c>
      <c r="Z620" s="1" t="b">
        <f t="shared" si="15"/>
        <v>1</v>
      </c>
    </row>
    <row r="621" spans="1:26" ht="15" customHeight="1" x14ac:dyDescent="0.3">
      <c r="A621" s="49">
        <v>89018</v>
      </c>
      <c r="B621" s="48"/>
      <c r="C621" s="1" t="str">
        <f>J6</f>
        <v>j.brąz</v>
      </c>
      <c r="D621" s="49">
        <v>89018</v>
      </c>
      <c r="E621" s="48" t="str">
        <f>+VLOOKUP(A621,cennik!A:G,2,FALSE)</f>
        <v>SEVROLL profil "U" Decor 18mm 3m jasny brąz</v>
      </c>
      <c r="F621" s="48" t="str">
        <f>+VLOOKUP(A621,cennik!A:B,2,FALSE)</f>
        <v>SEVROLL profil "U" Decor 18mm 3m jasny brąz</v>
      </c>
      <c r="G621" s="1" t="e">
        <f>+VLOOKUP(A621,#REF!,4,FALSE)</f>
        <v>#REF!</v>
      </c>
      <c r="I621" s="1" t="str">
        <f>J6</f>
        <v>j.brąz</v>
      </c>
      <c r="Z621" s="1" t="b">
        <f t="shared" si="15"/>
        <v>1</v>
      </c>
    </row>
    <row r="622" spans="1:26" ht="15" customHeight="1" x14ac:dyDescent="0.3">
      <c r="A622" s="49" t="s">
        <v>111</v>
      </c>
      <c r="B622" s="48"/>
      <c r="C622" s="1" t="str">
        <f>J7</f>
        <v>j.brąz szczotkowany</v>
      </c>
      <c r="D622" s="49" t="s">
        <v>111</v>
      </c>
      <c r="E622" s="48" t="e">
        <f>+VLOOKUP(A622,cennik!A:G,2,FALSE)</f>
        <v>#N/A</v>
      </c>
      <c r="F622" s="48" t="e">
        <f>+VLOOKUP(A622,cennik!A:B,2,FALSE)</f>
        <v>#N/A</v>
      </c>
      <c r="G622" s="1" t="e">
        <f>+VLOOKUP(A622,#REF!,4,FALSE)</f>
        <v>#REF!</v>
      </c>
      <c r="I622" s="1" t="str">
        <f>J7</f>
        <v>j.brąz szczotkowany</v>
      </c>
      <c r="Z622" s="1" t="b">
        <f t="shared" si="15"/>
        <v>1</v>
      </c>
    </row>
    <row r="623" spans="1:26" ht="15" customHeight="1" x14ac:dyDescent="0.3">
      <c r="A623" s="49" t="s">
        <v>111</v>
      </c>
      <c r="B623" s="48"/>
      <c r="C623" s="1" t="str">
        <f>J8</f>
        <v>szczot.oliwa ciemna</v>
      </c>
      <c r="D623" s="49" t="s">
        <v>111</v>
      </c>
      <c r="E623" s="48" t="e">
        <f>+VLOOKUP(A623,cennik!A:G,2,FALSE)</f>
        <v>#N/A</v>
      </c>
      <c r="F623" s="48" t="e">
        <f>+VLOOKUP(A623,cennik!A:B,2,FALSE)</f>
        <v>#N/A</v>
      </c>
      <c r="I623" s="1" t="str">
        <f>J8</f>
        <v>szczot.oliwa ciemna</v>
      </c>
      <c r="Z623" s="1" t="b">
        <f t="shared" si="15"/>
        <v>1</v>
      </c>
    </row>
    <row r="624" spans="1:26" ht="15" customHeight="1" x14ac:dyDescent="0.3">
      <c r="A624" s="49" t="s">
        <v>111</v>
      </c>
      <c r="B624" s="48"/>
      <c r="C624" s="1" t="str">
        <f>J9</f>
        <v>szczot.czarna</v>
      </c>
      <c r="D624" s="49" t="s">
        <v>111</v>
      </c>
      <c r="E624" s="48" t="e">
        <f>+VLOOKUP(A624,cennik!A:G,2,FALSE)</f>
        <v>#N/A</v>
      </c>
      <c r="F624" s="48" t="e">
        <f>+VLOOKUP(A624,cennik!A:B,2,FALSE)</f>
        <v>#N/A</v>
      </c>
      <c r="I624" s="1" t="str">
        <f>J9</f>
        <v>szczot.czarna</v>
      </c>
      <c r="Z624" s="1" t="b">
        <f t="shared" si="15"/>
        <v>1</v>
      </c>
    </row>
    <row r="625" spans="1:26" ht="15" customHeight="1" x14ac:dyDescent="0.3">
      <c r="A625" s="49" t="s">
        <v>111</v>
      </c>
      <c r="B625" s="48"/>
      <c r="C625" s="1" t="str">
        <f>J17</f>
        <v> czarny mat</v>
      </c>
      <c r="D625" s="49" t="s">
        <v>111</v>
      </c>
      <c r="E625" s="48" t="e">
        <f>+VLOOKUP(A625,cennik!A:G,2,FALSE)</f>
        <v>#N/A</v>
      </c>
      <c r="F625" s="48" t="e">
        <f>+VLOOKUP(A625,cennik!A:B,2,FALSE)</f>
        <v>#N/A</v>
      </c>
      <c r="G625" s="1" t="e">
        <f>+VLOOKUP(A625,#REF!,4,FALSE)</f>
        <v>#REF!</v>
      </c>
      <c r="I625" s="1" t="str">
        <f>J17</f>
        <v> czarny mat</v>
      </c>
      <c r="Z625" s="1" t="b">
        <f t="shared" si="15"/>
        <v>1</v>
      </c>
    </row>
    <row r="626" spans="1:26" ht="15" customHeight="1" x14ac:dyDescent="0.3">
      <c r="A626" s="49" t="s">
        <v>111</v>
      </c>
      <c r="B626" s="48"/>
      <c r="C626" s="1" t="str">
        <f>J16</f>
        <v>czarny połysk</v>
      </c>
      <c r="D626" s="49" t="s">
        <v>111</v>
      </c>
      <c r="E626" s="48" t="e">
        <f>+VLOOKUP(A626,cennik!A:G,2,FALSE)</f>
        <v>#N/A</v>
      </c>
      <c r="F626" s="48" t="e">
        <f>+VLOOKUP(A626,cennik!A:B,2,FALSE)</f>
        <v>#N/A</v>
      </c>
      <c r="G626" s="1" t="e">
        <f>+VLOOKUP(A626,#REF!,4,FALSE)</f>
        <v>#REF!</v>
      </c>
      <c r="I626" s="1" t="str">
        <f>J16</f>
        <v>czarny połysk</v>
      </c>
      <c r="Z626" s="1" t="b">
        <f t="shared" si="15"/>
        <v>1</v>
      </c>
    </row>
    <row r="627" spans="1:26" ht="15" customHeight="1" x14ac:dyDescent="0.3">
      <c r="A627" s="49" t="s">
        <v>111</v>
      </c>
      <c r="B627" s="48"/>
      <c r="C627" s="1" t="str">
        <f>J5</f>
        <v>złoty/mosiądz</v>
      </c>
      <c r="D627" s="49" t="s">
        <v>111</v>
      </c>
      <c r="E627" s="48" t="e">
        <f>+VLOOKUP(A627,cennik!A:G,2,FALSE)</f>
        <v>#N/A</v>
      </c>
      <c r="F627" s="48" t="e">
        <f>+VLOOKUP(A627,cennik!A:B,2,FALSE)</f>
        <v>#N/A</v>
      </c>
      <c r="G627" s="1" t="e">
        <f>+VLOOKUP(A627,#REF!,4,FALSE)</f>
        <v>#REF!</v>
      </c>
      <c r="I627" s="1" t="str">
        <f>J5</f>
        <v>złoty/mosiądz</v>
      </c>
      <c r="Z627" s="1" t="b">
        <f t="shared" si="15"/>
        <v>1</v>
      </c>
    </row>
    <row r="628" spans="1:26" s="437" customFormat="1" ht="15" customHeight="1" x14ac:dyDescent="0.3">
      <c r="A628" s="49" t="s">
        <v>111</v>
      </c>
      <c r="C628" s="437" t="str">
        <f>J18</f>
        <v>biały mat</v>
      </c>
      <c r="D628" s="49" t="s">
        <v>111</v>
      </c>
      <c r="E628" s="438" t="e">
        <f>+VLOOKUP(A628,cennik!A:G,2,FALSE)</f>
        <v>#N/A</v>
      </c>
      <c r="F628" s="438" t="e">
        <f>+VLOOKUP(A628,cennik!A:B,2,FALSE)</f>
        <v>#N/A</v>
      </c>
      <c r="I628" s="437" t="str">
        <f>J18</f>
        <v>biały mat</v>
      </c>
      <c r="Z628" s="1" t="b">
        <f t="shared" si="15"/>
        <v>1</v>
      </c>
    </row>
    <row r="629" spans="1:26" s="437" customFormat="1" ht="15" customHeight="1" x14ac:dyDescent="0.3">
      <c r="A629" s="49" t="s">
        <v>111</v>
      </c>
      <c r="B629" s="48"/>
      <c r="C629" s="1" t="str">
        <f>J15</f>
        <v> biały połysk</v>
      </c>
      <c r="D629" s="49" t="s">
        <v>111</v>
      </c>
      <c r="E629" s="48" t="e">
        <f>+VLOOKUP(A629,cennik!A:G,2,FALSE)</f>
        <v>#N/A</v>
      </c>
      <c r="F629" s="48" t="e">
        <f>+VLOOKUP(A629,cennik!A:B,2,FALSE)</f>
        <v>#N/A</v>
      </c>
      <c r="G629" s="1"/>
      <c r="H629" s="1"/>
      <c r="I629" s="1" t="str">
        <f>J15</f>
        <v> biały połysk</v>
      </c>
      <c r="Z629" s="1" t="b">
        <f t="shared" si="15"/>
        <v>1</v>
      </c>
    </row>
    <row r="630" spans="1:26" s="437" customFormat="1" ht="15" customHeight="1" x14ac:dyDescent="0.3">
      <c r="A630" s="439">
        <v>542706</v>
      </c>
      <c r="B630" s="438" t="s">
        <v>48</v>
      </c>
      <c r="C630" s="437" t="str">
        <f>J5</f>
        <v>złoty/mosiądz</v>
      </c>
      <c r="D630" s="439">
        <v>542706</v>
      </c>
      <c r="E630" s="438" t="str">
        <f>+VLOOKUP(A630,cennik!A:G,2,FALSE)</f>
        <v>SEVROLL 06790 kątownik Mini 17x11mm 1,7m złoty/mosiądz</v>
      </c>
      <c r="F630" s="438" t="str">
        <f>+VLOOKUP(A630,cennik!A:B,2,FALSE)</f>
        <v>SEVROLL 06790 kątownik Mini 17x11mm 1,7m złoty/mosiądz</v>
      </c>
      <c r="G630" s="437" t="e">
        <f>+VLOOKUP(A630,#REF!,4,FALSE)</f>
        <v>#REF!</v>
      </c>
      <c r="I630" s="437" t="str">
        <f>J5</f>
        <v>złoty/mosiądz</v>
      </c>
      <c r="Z630" s="1" t="b">
        <f t="shared" si="15"/>
        <v>1</v>
      </c>
    </row>
    <row r="631" spans="1:26" s="437" customFormat="1" ht="15" customHeight="1" x14ac:dyDescent="0.3">
      <c r="A631" s="439">
        <v>89133</v>
      </c>
      <c r="B631" s="438"/>
      <c r="C631" s="437" t="str">
        <f>J6</f>
        <v>j.brąz</v>
      </c>
      <c r="D631" s="439">
        <v>89133</v>
      </c>
      <c r="E631" s="438" t="str">
        <f>+VLOOKUP(A631,cennik!A:G,2,FALSE)</f>
        <v>SEVROLL 00093 úhelník 17x11mm 1,7m oliva</v>
      </c>
      <c r="F631" s="438" t="str">
        <f>+VLOOKUP(A631,cennik!A:B,2,FALSE)</f>
        <v>SEVROLL 00093 úhelník 17x11mm 1,7m oliva</v>
      </c>
      <c r="G631" s="437" t="e">
        <f>+VLOOKUP(A631,#REF!,4,FALSE)</f>
        <v>#REF!</v>
      </c>
      <c r="I631" s="437" t="str">
        <f>J6</f>
        <v>j.brąz</v>
      </c>
      <c r="Z631" s="1" t="b">
        <f t="shared" si="15"/>
        <v>1</v>
      </c>
    </row>
    <row r="632" spans="1:26" s="437" customFormat="1" ht="15" customHeight="1" x14ac:dyDescent="0.3">
      <c r="A632" s="439">
        <v>89134</v>
      </c>
      <c r="B632" s="438"/>
      <c r="C632" s="437" t="str">
        <f>J4</f>
        <v>srebrny</v>
      </c>
      <c r="D632" s="439">
        <v>89134</v>
      </c>
      <c r="E632" s="438" t="str">
        <f>+VLOOKUP(A632,cennik!A:G,2,FALSE)</f>
        <v>SEVROLL 00102 úhelník 17x11mm 1,7m stříbrná</v>
      </c>
      <c r="F632" s="438" t="str">
        <f>+VLOOKUP(A632,cennik!A:B,2,FALSE)</f>
        <v>SEVROLL 00102 úhelník 17x11mm 1,7m stříbrná</v>
      </c>
      <c r="G632" s="437" t="e">
        <f>+VLOOKUP(A632,#REF!,4,FALSE)</f>
        <v>#REF!</v>
      </c>
      <c r="I632" s="437" t="str">
        <f>J4</f>
        <v>srebrny</v>
      </c>
      <c r="Z632" s="1" t="b">
        <f t="shared" si="15"/>
        <v>1</v>
      </c>
    </row>
    <row r="633" spans="1:26" s="437" customFormat="1" ht="15" customHeight="1" x14ac:dyDescent="0.3">
      <c r="A633" s="439" t="s">
        <v>111</v>
      </c>
      <c r="B633" s="438"/>
      <c r="C633" s="437" t="str">
        <f>J7</f>
        <v>j.brąz szczotkowany</v>
      </c>
      <c r="D633" s="439" t="s">
        <v>111</v>
      </c>
      <c r="E633" s="438" t="e">
        <f>+VLOOKUP(A633,cennik!A:G,2,FALSE)</f>
        <v>#N/A</v>
      </c>
      <c r="F633" s="438" t="e">
        <f>+VLOOKUP(A633,cennik!A:B,2,FALSE)</f>
        <v>#N/A</v>
      </c>
      <c r="G633" s="437" t="e">
        <f>+VLOOKUP(A633,#REF!,4,FALSE)</f>
        <v>#REF!</v>
      </c>
      <c r="I633" s="437" t="str">
        <f>J7</f>
        <v>j.brąz szczotkowany</v>
      </c>
      <c r="Z633" s="1" t="b">
        <f t="shared" si="15"/>
        <v>1</v>
      </c>
    </row>
    <row r="634" spans="1:26" s="437" customFormat="1" ht="15" customHeight="1" x14ac:dyDescent="0.3">
      <c r="A634" s="439" t="s">
        <v>111</v>
      </c>
      <c r="B634" s="438"/>
      <c r="C634" s="437" t="str">
        <f>J8</f>
        <v>szczot.oliwa ciemna</v>
      </c>
      <c r="D634" s="439" t="s">
        <v>111</v>
      </c>
      <c r="E634" s="438" t="e">
        <f>+VLOOKUP(A634,cennik!A:G,2,FALSE)</f>
        <v>#N/A</v>
      </c>
      <c r="F634" s="438" t="e">
        <f>+VLOOKUP(A634,cennik!A:B,2,FALSE)</f>
        <v>#N/A</v>
      </c>
      <c r="I634" s="437" t="str">
        <f>J8</f>
        <v>szczot.oliwa ciemna</v>
      </c>
      <c r="Z634" s="1" t="b">
        <f t="shared" si="15"/>
        <v>1</v>
      </c>
    </row>
    <row r="635" spans="1:26" s="437" customFormat="1" ht="15" customHeight="1" x14ac:dyDescent="0.3">
      <c r="A635" s="2">
        <v>405365</v>
      </c>
      <c r="B635" s="1"/>
      <c r="C635" s="1" t="str">
        <f>J16</f>
        <v>czarny połysk</v>
      </c>
      <c r="D635" s="2">
        <v>405365</v>
      </c>
      <c r="E635" s="48" t="str">
        <f>+VLOOKUP(A635,cennik!A:G,2,FALSE)</f>
        <v>SEVROLL kątownik Mini 17x11 mm 1,7 m czarny połysk</v>
      </c>
      <c r="F635" s="48" t="str">
        <f>+VLOOKUP(A635,cennik!A:B,2,FALSE)</f>
        <v>SEVROLL kątownik Mini 17x11 mm 1,7 m czarny połysk</v>
      </c>
      <c r="G635" s="1"/>
      <c r="H635" s="1"/>
      <c r="I635" s="1" t="str">
        <f>J16</f>
        <v>czarny połysk</v>
      </c>
      <c r="Z635" s="1" t="b">
        <f t="shared" si="15"/>
        <v>1</v>
      </c>
    </row>
    <row r="636" spans="1:26" s="437" customFormat="1" ht="15" customHeight="1" x14ac:dyDescent="0.3">
      <c r="A636" s="2">
        <v>494744</v>
      </c>
      <c r="B636" s="1"/>
      <c r="C636" s="1" t="str">
        <f>J12</f>
        <v>grafit</v>
      </c>
      <c r="D636" s="2">
        <v>494744</v>
      </c>
      <c r="E636" s="48" t="str">
        <f>+VLOOKUP(A636,cennik!A:G,2,FALSE)</f>
        <v>SEVROLL 06034 kątownik Mini 17x11 mm 1,7 m grafit</v>
      </c>
      <c r="F636" s="48" t="str">
        <f>+VLOOKUP(A636,cennik!A:B,2,FALSE)</f>
        <v>SEVROLL 06034 kątownik Mini 17x11 mm 1,7 m grafit</v>
      </c>
      <c r="G636" s="1"/>
      <c r="H636" s="1"/>
      <c r="I636" s="1" t="str">
        <f>J12</f>
        <v>grafit</v>
      </c>
      <c r="Z636" s="1" t="b">
        <f t="shared" ref="Z636:Z702" si="16">A636=D636</f>
        <v>1</v>
      </c>
    </row>
    <row r="637" spans="1:26" s="437" customFormat="1" ht="15" customHeight="1" x14ac:dyDescent="0.3">
      <c r="A637" s="1">
        <v>422014</v>
      </c>
      <c r="B637" s="1"/>
      <c r="C637" s="1" t="str">
        <f>J17</f>
        <v> czarny mat</v>
      </c>
      <c r="D637" s="1">
        <v>422014</v>
      </c>
      <c r="E637" s="48" t="str">
        <f>+VLOOKUP(A637,cennik!A:G,2,FALSE)</f>
        <v>SEVROLL 05296 kątownik Mini 17x11 mm 1,7 m czarny mat</v>
      </c>
      <c r="F637" s="48" t="str">
        <f>+VLOOKUP(A637,cennik!A:B,2,FALSE)</f>
        <v>SEVROLL 05296 kątownik Mini 17x11 mm 1,7 m czarny mat</v>
      </c>
      <c r="G637" s="1"/>
      <c r="H637" s="1"/>
      <c r="I637" s="1" t="str">
        <f>J17</f>
        <v> czarny mat</v>
      </c>
      <c r="Z637" s="1" t="b">
        <f t="shared" si="16"/>
        <v>1</v>
      </c>
    </row>
    <row r="638" spans="1:26" ht="15" customHeight="1" x14ac:dyDescent="0.3">
      <c r="A638" s="439" t="s">
        <v>111</v>
      </c>
      <c r="B638" s="438"/>
      <c r="C638" s="437" t="str">
        <f>J9</f>
        <v>szczot.czarna</v>
      </c>
      <c r="D638" s="439" t="s">
        <v>111</v>
      </c>
      <c r="E638" s="438" t="e">
        <f>+VLOOKUP(A638,cennik!A:G,2,FALSE)</f>
        <v>#N/A</v>
      </c>
      <c r="F638" s="438" t="e">
        <f>+VLOOKUP(A638,cennik!A:B,2,FALSE)</f>
        <v>#N/A</v>
      </c>
      <c r="G638" s="437"/>
      <c r="H638" s="437"/>
      <c r="I638" s="437" t="str">
        <f>J9</f>
        <v>szczot.czarna</v>
      </c>
      <c r="Z638" s="1" t="b">
        <f t="shared" si="16"/>
        <v>1</v>
      </c>
    </row>
    <row r="639" spans="1:26" s="437" customFormat="1" ht="15" customHeight="1" x14ac:dyDescent="0.3">
      <c r="A639" s="436">
        <v>394825</v>
      </c>
      <c r="C639" s="437" t="str">
        <f>J18</f>
        <v>biały mat</v>
      </c>
      <c r="D639" s="436">
        <v>394825</v>
      </c>
      <c r="E639" s="438" t="str">
        <f>+VLOOKUP(A639,cennik!A:G,2,FALSE)</f>
        <v>SEVROLL kątownik Mini 17x11 mm 1,7 m biały matowy</v>
      </c>
      <c r="F639" s="438" t="str">
        <f>+VLOOKUP(A639,cennik!A:B,2,FALSE)</f>
        <v>SEVROLL kątownik Mini 17x11 mm 1,7 m biały matowy</v>
      </c>
      <c r="I639" s="437" t="str">
        <f>J18</f>
        <v>biały mat</v>
      </c>
      <c r="Z639" s="1" t="b">
        <f t="shared" si="16"/>
        <v>1</v>
      </c>
    </row>
    <row r="640" spans="1:26" s="437" customFormat="1" ht="15" customHeight="1" x14ac:dyDescent="0.3">
      <c r="A640" s="439">
        <v>276735</v>
      </c>
      <c r="B640" s="438"/>
      <c r="C640" s="437" t="str">
        <f>J15</f>
        <v> biały połysk</v>
      </c>
      <c r="D640" s="439">
        <v>276735</v>
      </c>
      <c r="E640" s="438" t="str">
        <f>+VLOOKUP(A640,cennik!A:G,2,FALSE)</f>
        <v>SEVROLL kątownik Mini 17x11 mm 1,7 m, biały połysk</v>
      </c>
      <c r="F640" s="438" t="str">
        <f>+VLOOKUP(A640,cennik!A:B,2,FALSE)</f>
        <v>SEVROLL kątownik Mini 17x11 mm 1,7 m, biały połysk</v>
      </c>
      <c r="G640" s="437" t="e">
        <f>+VLOOKUP(A640,#REF!,4,FALSE)</f>
        <v>#REF!</v>
      </c>
      <c r="I640" s="437" t="str">
        <f>J15</f>
        <v> biały połysk</v>
      </c>
      <c r="Z640" s="1" t="b">
        <f t="shared" si="16"/>
        <v>1</v>
      </c>
    </row>
    <row r="641" spans="1:26" s="437" customFormat="1" ht="15" customHeight="1" x14ac:dyDescent="0.3">
      <c r="A641" s="439">
        <v>526502</v>
      </c>
      <c r="B641" s="438"/>
      <c r="C641" s="437" t="str">
        <f>J22</f>
        <v>czarny lakier strukturalny</v>
      </c>
      <c r="D641" s="439">
        <v>526502</v>
      </c>
      <c r="E641" s="438" t="str">
        <f>+VLOOKUP(A641,cennik!A:G,2,FALSE)</f>
        <v>SEVROLL 06434 kątownik Mini 17x11mm, 1,7 m czarny lakier strukturalny</v>
      </c>
      <c r="F641" s="438" t="str">
        <f>+VLOOKUP(A641,cennik!A:B,2,FALSE)</f>
        <v>SEVROLL 06434 kątownik Mini 17x11mm, 1,7 m czarny lakier strukturalny</v>
      </c>
      <c r="I641" s="437" t="str">
        <f>J22</f>
        <v>czarny lakier strukturalny</v>
      </c>
      <c r="Z641" s="1"/>
    </row>
    <row r="642" spans="1:26" s="437" customFormat="1" ht="15" customHeight="1" x14ac:dyDescent="0.3">
      <c r="A642" s="439">
        <v>542764</v>
      </c>
      <c r="B642" s="438" t="s">
        <v>49</v>
      </c>
      <c r="C642" s="437" t="str">
        <f>J5</f>
        <v>złoty/mosiądz</v>
      </c>
      <c r="D642" s="439">
        <v>542764</v>
      </c>
      <c r="E642" s="438" t="str">
        <f>+VLOOKUP(A642,cennik!A:G,2,FALSE)</f>
        <v>SEVROLL 06791 kątownik Mini 17x11mm 2,35m złoty/mosiądz</v>
      </c>
      <c r="F642" s="438" t="str">
        <f>+VLOOKUP(A642,cennik!A:B,2,FALSE)</f>
        <v>SEVROLL 06791 kątownik Mini 17x11mm 2,35m złoty/mosiądz</v>
      </c>
      <c r="G642" s="437" t="e">
        <f>+VLOOKUP(A642,#REF!,4,FALSE)</f>
        <v>#REF!</v>
      </c>
      <c r="I642" s="437" t="str">
        <f>J5</f>
        <v>złoty/mosiądz</v>
      </c>
      <c r="Z642" s="1" t="b">
        <f t="shared" si="16"/>
        <v>1</v>
      </c>
    </row>
    <row r="643" spans="1:26" s="437" customFormat="1" ht="15" customHeight="1" x14ac:dyDescent="0.3">
      <c r="A643" s="439">
        <v>89136</v>
      </c>
      <c r="B643" s="438"/>
      <c r="C643" s="437" t="str">
        <f>J6</f>
        <v>j.brąz</v>
      </c>
      <c r="D643" s="439">
        <v>89136</v>
      </c>
      <c r="E643" s="438" t="str">
        <f>+VLOOKUP(A643,cennik!A:G,2,FALSE)</f>
        <v>SEVROLL 00094 úhelník 17x11mm 2,35m oliva</v>
      </c>
      <c r="F643" s="438" t="str">
        <f>+VLOOKUP(A643,cennik!A:B,2,FALSE)</f>
        <v>SEVROLL 00094 úhelník 17x11mm 2,35m oliva</v>
      </c>
      <c r="G643" s="437" t="e">
        <f>+VLOOKUP(A643,#REF!,4,FALSE)</f>
        <v>#REF!</v>
      </c>
      <c r="I643" s="437" t="str">
        <f>J6</f>
        <v>j.brąz</v>
      </c>
      <c r="Z643" s="1" t="b">
        <f t="shared" si="16"/>
        <v>1</v>
      </c>
    </row>
    <row r="644" spans="1:26" s="437" customFormat="1" ht="15" customHeight="1" x14ac:dyDescent="0.3">
      <c r="A644" s="439" t="s">
        <v>111</v>
      </c>
      <c r="B644" s="438"/>
      <c r="C644" s="437" t="str">
        <f>J7</f>
        <v>j.brąz szczotkowany</v>
      </c>
      <c r="D644" s="439" t="s">
        <v>111</v>
      </c>
      <c r="E644" s="438" t="e">
        <f>+VLOOKUP(A644,cennik!A:G,2,FALSE)</f>
        <v>#N/A</v>
      </c>
      <c r="F644" s="438" t="e">
        <f>+VLOOKUP(A644,cennik!A:B,2,FALSE)</f>
        <v>#N/A</v>
      </c>
      <c r="G644" s="437" t="e">
        <f>+VLOOKUP(A644,#REF!,4,FALSE)</f>
        <v>#REF!</v>
      </c>
      <c r="I644" s="437" t="str">
        <f>J7</f>
        <v>j.brąz szczotkowany</v>
      </c>
      <c r="Z644" s="1" t="b">
        <f t="shared" si="16"/>
        <v>1</v>
      </c>
    </row>
    <row r="645" spans="1:26" s="437" customFormat="1" ht="15" customHeight="1" x14ac:dyDescent="0.3">
      <c r="A645" s="439" t="s">
        <v>111</v>
      </c>
      <c r="B645" s="438"/>
      <c r="C645" s="437" t="str">
        <f>J8</f>
        <v>szczot.oliwa ciemna</v>
      </c>
      <c r="D645" s="439" t="s">
        <v>111</v>
      </c>
      <c r="E645" s="438" t="e">
        <f>+VLOOKUP(A645,cennik!A:G,2,FALSE)</f>
        <v>#N/A</v>
      </c>
      <c r="F645" s="438" t="e">
        <f>+VLOOKUP(A645,cennik!A:B,2,FALSE)</f>
        <v>#N/A</v>
      </c>
      <c r="I645" s="437" t="str">
        <f>J8</f>
        <v>szczot.oliwa ciemna</v>
      </c>
      <c r="Z645" s="1" t="b">
        <f t="shared" si="16"/>
        <v>1</v>
      </c>
    </row>
    <row r="646" spans="1:26" s="437" customFormat="1" ht="15" customHeight="1" x14ac:dyDescent="0.3">
      <c r="A646" s="2">
        <v>405366</v>
      </c>
      <c r="B646" s="1"/>
      <c r="C646" s="437" t="str">
        <f>J16</f>
        <v>czarny połysk</v>
      </c>
      <c r="D646" s="2">
        <v>405366</v>
      </c>
      <c r="E646" s="438" t="str">
        <f>+VLOOKUP(A646,cennik!A:G,2,FALSE)</f>
        <v>SEVROLL kątownik Mini 17x11 mm 2,35 m czarny połysk</v>
      </c>
      <c r="F646" s="438" t="str">
        <f>+VLOOKUP(A646,cennik!A:B,2,FALSE)</f>
        <v>SEVROLL kątownik Mini 17x11 mm 2,35 m czarny połysk</v>
      </c>
      <c r="G646" s="1"/>
      <c r="H646" s="1"/>
      <c r="I646" s="437" t="str">
        <f>J16</f>
        <v>czarny połysk</v>
      </c>
      <c r="Z646" s="1" t="b">
        <f t="shared" si="16"/>
        <v>1</v>
      </c>
    </row>
    <row r="647" spans="1:26" s="437" customFormat="1" ht="15" customHeight="1" x14ac:dyDescent="0.3">
      <c r="A647" s="2">
        <v>494724</v>
      </c>
      <c r="B647" s="1"/>
      <c r="C647" s="437" t="str">
        <f>J12</f>
        <v>grafit</v>
      </c>
      <c r="D647" s="2">
        <v>494724</v>
      </c>
      <c r="E647" s="438" t="str">
        <f>+VLOOKUP(A647,cennik!A:G,2,FALSE)</f>
        <v>SEVROLL 06035 kątownik Mini 17x11 mm 2,35m grafit</v>
      </c>
      <c r="F647" s="438" t="str">
        <f>+VLOOKUP(A647,cennik!A:B,2,FALSE)</f>
        <v>SEVROLL 06035 kątownik Mini 17x11 mm 2,35m grafit</v>
      </c>
      <c r="G647" s="1"/>
      <c r="H647" s="1"/>
      <c r="I647" s="437" t="str">
        <f>J12</f>
        <v>grafit</v>
      </c>
      <c r="Z647" s="1" t="b">
        <f t="shared" si="16"/>
        <v>1</v>
      </c>
    </row>
    <row r="648" spans="1:26" s="437" customFormat="1" ht="15" customHeight="1" x14ac:dyDescent="0.3">
      <c r="A648" s="1">
        <v>409682</v>
      </c>
      <c r="B648" s="1"/>
      <c r="C648" s="437" t="str">
        <f>J17</f>
        <v> czarny mat</v>
      </c>
      <c r="D648" s="1">
        <v>409682</v>
      </c>
      <c r="E648" s="438" t="str">
        <f>+VLOOKUP(A648,cennik!A:G,2,FALSE)</f>
        <v>SEVROLL kątownik Mini 17x11 mm 2,35 m czarny mat</v>
      </c>
      <c r="F648" s="438" t="str">
        <f>+VLOOKUP(A648,cennik!A:B,2,FALSE)</f>
        <v>SEVROLL kątownik Mini 17x11 mm 2,35 m czarny mat</v>
      </c>
      <c r="G648" s="1"/>
      <c r="H648" s="1"/>
      <c r="I648" s="437" t="str">
        <f>J17</f>
        <v> czarny mat</v>
      </c>
      <c r="Z648" s="1" t="b">
        <f t="shared" si="16"/>
        <v>1</v>
      </c>
    </row>
    <row r="649" spans="1:26" s="437" customFormat="1" ht="15" customHeight="1" x14ac:dyDescent="0.3">
      <c r="A649" s="439" t="s">
        <v>111</v>
      </c>
      <c r="B649" s="438"/>
      <c r="C649" s="437" t="str">
        <f>J9</f>
        <v>szczot.czarna</v>
      </c>
      <c r="D649" s="439" t="s">
        <v>111</v>
      </c>
      <c r="E649" s="438" t="e">
        <f>+VLOOKUP(A649,cennik!A:G,2,FALSE)</f>
        <v>#N/A</v>
      </c>
      <c r="F649" s="438" t="e">
        <f>+VLOOKUP(A649,cennik!A:B,2,FALSE)</f>
        <v>#N/A</v>
      </c>
      <c r="I649" s="437" t="str">
        <f>J9</f>
        <v>szczot.czarna</v>
      </c>
      <c r="Z649" s="1" t="b">
        <f t="shared" si="16"/>
        <v>1</v>
      </c>
    </row>
    <row r="650" spans="1:26" ht="15" customHeight="1" x14ac:dyDescent="0.3">
      <c r="A650" s="439">
        <v>89137</v>
      </c>
      <c r="B650" s="438"/>
      <c r="C650" s="437" t="str">
        <f>J4</f>
        <v>srebrny</v>
      </c>
      <c r="D650" s="439">
        <v>89137</v>
      </c>
      <c r="E650" s="438" t="str">
        <f>+VLOOKUP(A650,cennik!A:G,2,FALSE)</f>
        <v>SEVROLL kątownik 17x11mm 2,35m srebrny</v>
      </c>
      <c r="F650" s="438" t="str">
        <f>+VLOOKUP(A650,cennik!A:B,2,FALSE)</f>
        <v>SEVROLL kątownik 17x11mm 2,35m srebrny</v>
      </c>
      <c r="G650" s="437" t="e">
        <f>+VLOOKUP(A650,#REF!,4,FALSE)</f>
        <v>#REF!</v>
      </c>
      <c r="H650" s="437"/>
      <c r="I650" s="437" t="str">
        <f>J4</f>
        <v>srebrny</v>
      </c>
      <c r="Z650" s="1" t="b">
        <f t="shared" si="16"/>
        <v>1</v>
      </c>
    </row>
    <row r="651" spans="1:26" ht="15" customHeight="1" x14ac:dyDescent="0.3">
      <c r="A651" s="436">
        <v>394826</v>
      </c>
      <c r="B651" s="437"/>
      <c r="C651" s="437" t="str">
        <f>J18</f>
        <v>biały mat</v>
      </c>
      <c r="D651" s="436">
        <v>394826</v>
      </c>
      <c r="E651" s="438" t="str">
        <f>+VLOOKUP(A651,cennik!A:G,2,FALSE)</f>
        <v>SEVROLL kątownik Mini 17x11mm 2,35 m biały matowy</v>
      </c>
      <c r="F651" s="438" t="str">
        <f>+VLOOKUP(A651,cennik!A:B,2,FALSE)</f>
        <v>SEVROLL kątownik Mini 17x11mm 2,35 m biały matowy</v>
      </c>
      <c r="G651" s="437"/>
      <c r="H651" s="437"/>
      <c r="I651" s="437" t="str">
        <f>J18</f>
        <v>biały mat</v>
      </c>
      <c r="Z651" s="1" t="b">
        <f t="shared" si="16"/>
        <v>1</v>
      </c>
    </row>
    <row r="652" spans="1:26" ht="15" customHeight="1" x14ac:dyDescent="0.3">
      <c r="A652" s="439">
        <v>276732</v>
      </c>
      <c r="B652" s="438"/>
      <c r="C652" s="437" t="str">
        <f>J15</f>
        <v> biały połysk</v>
      </c>
      <c r="D652" s="439">
        <v>276732</v>
      </c>
      <c r="E652" s="438" t="str">
        <f>+VLOOKUP(A652,cennik!A:G,2,FALSE)</f>
        <v>SEVROLL kątownik Mini 17x11 mm 2,35 m, biały połysk</v>
      </c>
      <c r="F652" s="438" t="str">
        <f>+VLOOKUP(A652,cennik!A:B,2,FALSE)</f>
        <v>SEVROLL kątownik Mini 17x11 mm 2,35 m, biały połysk</v>
      </c>
      <c r="G652" s="437" t="e">
        <f>+VLOOKUP(A652,#REF!,4,FALSE)</f>
        <v>#REF!</v>
      </c>
      <c r="H652" s="437"/>
      <c r="I652" s="437" t="str">
        <f>J15</f>
        <v> biały połysk</v>
      </c>
      <c r="Z652" s="1" t="b">
        <f t="shared" si="16"/>
        <v>1</v>
      </c>
    </row>
    <row r="653" spans="1:26" ht="15" customHeight="1" x14ac:dyDescent="0.3">
      <c r="A653" s="439">
        <v>526503</v>
      </c>
      <c r="B653" s="438"/>
      <c r="C653" s="437" t="str">
        <f>J22</f>
        <v>czarny lakier strukturalny</v>
      </c>
      <c r="D653" s="439">
        <v>526503</v>
      </c>
      <c r="E653" s="438" t="str">
        <f>+VLOOKUP(A653,cennik!A:G,2,FALSE)</f>
        <v>SEVROLL 06435 kątownik Mini 17x11mm 2,35m czarny lakier strukturalny</v>
      </c>
      <c r="F653" s="438" t="str">
        <f>+VLOOKUP(A653,cennik!A:B,2,FALSE)</f>
        <v>SEVROLL 06435 kątownik Mini 17x11mm 2,35m czarny lakier strukturalny</v>
      </c>
      <c r="G653" s="437"/>
      <c r="H653" s="437"/>
      <c r="I653" s="437" t="str">
        <f>J22</f>
        <v>czarny lakier strukturalny</v>
      </c>
    </row>
    <row r="654" spans="1:26" ht="15" customHeight="1" x14ac:dyDescent="0.3">
      <c r="A654" s="49">
        <v>542863</v>
      </c>
      <c r="B654" s="48" t="s">
        <v>50</v>
      </c>
      <c r="C654" s="1" t="str">
        <f>J5</f>
        <v>złoty/mosiądz</v>
      </c>
      <c r="D654" s="49">
        <v>542863</v>
      </c>
      <c r="E654" s="48" t="str">
        <f>+VLOOKUP(A654,cennik!A:G,2,FALSE)</f>
        <v>SEVROLL 06792 kątownik Mini 17x11mm 3m złoty/mosiądz</v>
      </c>
      <c r="F654" s="48" t="str">
        <f>+VLOOKUP(A654,cennik!A:B,2,FALSE)</f>
        <v>SEVROLL 06792 kątownik Mini 17x11mm 3m złoty/mosiądz</v>
      </c>
      <c r="G654" s="1" t="e">
        <f>+VLOOKUP(A654,#REF!,4,FALSE)</f>
        <v>#REF!</v>
      </c>
      <c r="I654" s="1" t="str">
        <f>J5</f>
        <v>złoty/mosiądz</v>
      </c>
      <c r="Z654" s="1" t="b">
        <f t="shared" si="16"/>
        <v>1</v>
      </c>
    </row>
    <row r="655" spans="1:26" ht="15" customHeight="1" x14ac:dyDescent="0.3">
      <c r="A655" s="49" t="s">
        <v>111</v>
      </c>
      <c r="B655" s="48"/>
      <c r="C655" s="1" t="str">
        <f>J7</f>
        <v>j.brąz szczotkowany</v>
      </c>
      <c r="D655" s="49" t="s">
        <v>111</v>
      </c>
      <c r="E655" s="48" t="e">
        <f>+VLOOKUP(A655,cennik!A:G,2,FALSE)</f>
        <v>#N/A</v>
      </c>
      <c r="F655" s="48" t="e">
        <f>+VLOOKUP(A655,cennik!A:B,2,FALSE)</f>
        <v>#N/A</v>
      </c>
      <c r="G655" s="1" t="e">
        <f>+VLOOKUP(A655,#REF!,4,FALSE)</f>
        <v>#REF!</v>
      </c>
      <c r="I655" s="1" t="str">
        <f>J7</f>
        <v>j.brąz szczotkowany</v>
      </c>
      <c r="Z655" s="1" t="b">
        <f t="shared" si="16"/>
        <v>1</v>
      </c>
    </row>
    <row r="656" spans="1:26" ht="15" customHeight="1" x14ac:dyDescent="0.3">
      <c r="A656" s="49" t="s">
        <v>111</v>
      </c>
      <c r="B656" s="48"/>
      <c r="C656" s="1" t="str">
        <f>J8</f>
        <v>szczot.oliwa ciemna</v>
      </c>
      <c r="D656" s="49" t="s">
        <v>111</v>
      </c>
      <c r="E656" s="48" t="e">
        <f>+VLOOKUP(A656,cennik!A:G,2,FALSE)</f>
        <v>#N/A</v>
      </c>
      <c r="F656" s="48" t="e">
        <f>+VLOOKUP(A656,cennik!A:B,2,FALSE)</f>
        <v>#N/A</v>
      </c>
      <c r="I656" s="1" t="str">
        <f>J8</f>
        <v>szczot.oliwa ciemna</v>
      </c>
      <c r="Z656" s="1" t="b">
        <f t="shared" si="16"/>
        <v>1</v>
      </c>
    </row>
    <row r="657" spans="1:26" ht="15" customHeight="1" x14ac:dyDescent="0.3">
      <c r="A657" s="2">
        <v>405367</v>
      </c>
      <c r="C657" s="1" t="str">
        <f>J16</f>
        <v>czarny połysk</v>
      </c>
      <c r="D657" s="2">
        <v>405367</v>
      </c>
      <c r="E657" s="48" t="str">
        <f>+VLOOKUP(A657,cennik!A:G,2,FALSE)</f>
        <v>SEVROLL kątownik Mini 17x11 mm 3 m czarny połysk</v>
      </c>
      <c r="F657" s="48" t="str">
        <f>+VLOOKUP(A657,cennik!A:B,2,FALSE)</f>
        <v>SEVROLL kątownik Mini 17x11 mm 3 m czarny połysk</v>
      </c>
      <c r="I657" s="1" t="str">
        <f>J16</f>
        <v>czarny połysk</v>
      </c>
      <c r="Z657" s="1" t="b">
        <f t="shared" si="16"/>
        <v>1</v>
      </c>
    </row>
    <row r="658" spans="1:26" ht="15" customHeight="1" x14ac:dyDescent="0.3">
      <c r="A658" s="2">
        <v>494728</v>
      </c>
      <c r="C658" s="1" t="str">
        <f>J12</f>
        <v>grafit</v>
      </c>
      <c r="D658" s="2">
        <v>494728</v>
      </c>
      <c r="E658" s="48" t="str">
        <f>+VLOOKUP(A658,cennik!A:G,2,FALSE)</f>
        <v>SEVROLL 06036 kątownik Mini 17x11 mm 3 m grafit</v>
      </c>
      <c r="F658" s="48" t="str">
        <f>+VLOOKUP(A658,cennik!A:B,2,FALSE)</f>
        <v>SEVROLL 06036 kątownik Mini 17x11 mm 3 m grafit</v>
      </c>
      <c r="I658" s="1" t="str">
        <f>J12</f>
        <v>grafit</v>
      </c>
      <c r="Z658" s="1" t="b">
        <f t="shared" si="16"/>
        <v>1</v>
      </c>
    </row>
    <row r="659" spans="1:26" ht="15" customHeight="1" x14ac:dyDescent="0.3">
      <c r="A659" s="1">
        <v>412226</v>
      </c>
      <c r="C659" s="1" t="str">
        <f>J17</f>
        <v> czarny mat</v>
      </c>
      <c r="D659" s="1">
        <v>412226</v>
      </c>
      <c r="E659" s="48" t="str">
        <f>+VLOOKUP(A659,cennik!A:G,2,FALSE)</f>
        <v>SEVROLL kątownik Mini 17x11 mm 3 m czarny mat</v>
      </c>
      <c r="F659" s="48" t="str">
        <f>+VLOOKUP(A659,cennik!A:B,2,FALSE)</f>
        <v>SEVROLL kątownik Mini 17x11 mm 3 m czarny mat</v>
      </c>
      <c r="I659" s="1" t="str">
        <f>J17</f>
        <v> czarny mat</v>
      </c>
      <c r="Z659" s="1" t="b">
        <f t="shared" si="16"/>
        <v>1</v>
      </c>
    </row>
    <row r="660" spans="1:26" ht="15" customHeight="1" x14ac:dyDescent="0.3">
      <c r="A660" s="49" t="s">
        <v>111</v>
      </c>
      <c r="B660" s="48"/>
      <c r="C660" s="1" t="str">
        <f>J9</f>
        <v>szczot.czarna</v>
      </c>
      <c r="D660" s="49" t="s">
        <v>111</v>
      </c>
      <c r="E660" s="48" t="e">
        <f>+VLOOKUP(A660,cennik!A:G,2,FALSE)</f>
        <v>#N/A</v>
      </c>
      <c r="F660" s="48" t="e">
        <f>+VLOOKUP(A660,cennik!A:B,2,FALSE)</f>
        <v>#N/A</v>
      </c>
      <c r="I660" s="1" t="str">
        <f>J9</f>
        <v>szczot.czarna</v>
      </c>
      <c r="Z660" s="1" t="b">
        <f t="shared" si="16"/>
        <v>1</v>
      </c>
    </row>
    <row r="661" spans="1:26" ht="15" customHeight="1" x14ac:dyDescent="0.3">
      <c r="A661" s="49">
        <v>89139</v>
      </c>
      <c r="B661" s="48"/>
      <c r="C661" s="1" t="str">
        <f>J6</f>
        <v>j.brąz</v>
      </c>
      <c r="D661" s="49">
        <v>89139</v>
      </c>
      <c r="E661" s="48" t="str">
        <f>+VLOOKUP(A661,cennik!A:G,2,FALSE)</f>
        <v>SEVROLL kątownik 17x11mm 3m jasny brąz</v>
      </c>
      <c r="F661" s="48" t="str">
        <f>+VLOOKUP(A661,cennik!A:B,2,FALSE)</f>
        <v>SEVROLL kątownik 17x11mm 3m jasny brąz</v>
      </c>
      <c r="G661" s="1" t="e">
        <f>+VLOOKUP(A661,#REF!,4,FALSE)</f>
        <v>#REF!</v>
      </c>
      <c r="I661" s="1" t="str">
        <f>J6</f>
        <v>j.brąz</v>
      </c>
      <c r="Z661" s="1" t="b">
        <f t="shared" si="16"/>
        <v>1</v>
      </c>
    </row>
    <row r="662" spans="1:26" ht="15" customHeight="1" x14ac:dyDescent="0.3">
      <c r="A662" s="49">
        <v>89140</v>
      </c>
      <c r="B662" s="48"/>
      <c r="C662" s="1" t="str">
        <f>J4</f>
        <v>srebrny</v>
      </c>
      <c r="D662" s="49">
        <v>89140</v>
      </c>
      <c r="E662" s="48" t="str">
        <f>+VLOOKUP(A662,cennik!A:G,2,FALSE)</f>
        <v>SEVROLL kątownik 17x11mm 3m srebrny</v>
      </c>
      <c r="F662" s="48" t="str">
        <f>+VLOOKUP(A662,cennik!A:B,2,FALSE)</f>
        <v>SEVROLL kątownik 17x11mm 3m srebrny</v>
      </c>
      <c r="G662" s="1" t="e">
        <f>+VLOOKUP(A662,#REF!,4,FALSE)</f>
        <v>#REF!</v>
      </c>
      <c r="I662" s="1" t="str">
        <f>J4</f>
        <v>srebrny</v>
      </c>
      <c r="Z662" s="1" t="b">
        <f t="shared" si="16"/>
        <v>1</v>
      </c>
    </row>
    <row r="663" spans="1:26" s="437" customFormat="1" ht="15" customHeight="1" x14ac:dyDescent="0.3">
      <c r="A663" s="49" t="s">
        <v>111</v>
      </c>
      <c r="C663" s="437" t="str">
        <f>J18</f>
        <v>biały mat</v>
      </c>
      <c r="D663" s="49" t="s">
        <v>111</v>
      </c>
      <c r="E663" s="438" t="e">
        <f>+VLOOKUP(A663,cennik!A:G,2,FALSE)</f>
        <v>#N/A</v>
      </c>
      <c r="F663" s="438" t="e">
        <f>+VLOOKUP(A663,cennik!A:B,2,FALSE)</f>
        <v>#N/A</v>
      </c>
      <c r="I663" s="437" t="str">
        <f>J18</f>
        <v>biały mat</v>
      </c>
      <c r="Z663" s="1" t="b">
        <f t="shared" si="16"/>
        <v>1</v>
      </c>
    </row>
    <row r="664" spans="1:26" s="437" customFormat="1" ht="15" customHeight="1" x14ac:dyDescent="0.3">
      <c r="A664" s="49">
        <v>267880</v>
      </c>
      <c r="B664" s="48"/>
      <c r="C664" s="1" t="str">
        <f>J15</f>
        <v> biały połysk</v>
      </c>
      <c r="D664" s="49">
        <v>267880</v>
      </c>
      <c r="E664" s="48" t="str">
        <f>+VLOOKUP(A664,cennik!A:G,2,FALSE)</f>
        <v>SEVROLL kątownik Mini 17x11 mm 3 m, biały połysk</v>
      </c>
      <c r="F664" s="48" t="str">
        <f>+VLOOKUP(A664,cennik!A:B,2,FALSE)</f>
        <v>SEVROLL kątownik Mini 17x11 mm 3 m, biały połysk</v>
      </c>
      <c r="G664" s="1" t="e">
        <f>+VLOOKUP(A664,#REF!,4,FALSE)</f>
        <v>#REF!</v>
      </c>
      <c r="H664" s="1"/>
      <c r="I664" s="1" t="str">
        <f>J15</f>
        <v> biały połysk</v>
      </c>
      <c r="Z664" s="1" t="b">
        <f t="shared" si="16"/>
        <v>1</v>
      </c>
    </row>
    <row r="665" spans="1:26" s="437" customFormat="1" ht="15" customHeight="1" x14ac:dyDescent="0.3">
      <c r="A665" s="196">
        <v>526504</v>
      </c>
      <c r="B665" s="48"/>
      <c r="C665" s="1" t="str">
        <f>J22</f>
        <v>czarny lakier strukturalny</v>
      </c>
      <c r="D665" s="196">
        <v>526504</v>
      </c>
      <c r="E665" s="48" t="str">
        <f>+VLOOKUP(A665,cennik!A:G,2,FALSE)</f>
        <v>SEVROLL 06436 kątownik Mini 17x11 mm 3m czarny lakier strukturalny</v>
      </c>
      <c r="F665" s="48" t="str">
        <f>+VLOOKUP(A665,cennik!A:B,2,FALSE)</f>
        <v>SEVROLL 06436 kątownik Mini 17x11 mm 3m czarny lakier strukturalny</v>
      </c>
      <c r="G665" s="1"/>
      <c r="H665" s="1"/>
      <c r="I665" s="1" t="str">
        <f>J22</f>
        <v>czarny lakier strukturalny</v>
      </c>
      <c r="Z665" s="1"/>
    </row>
    <row r="666" spans="1:26" s="437" customFormat="1" ht="15" customHeight="1" x14ac:dyDescent="0.3">
      <c r="A666" s="439" t="s">
        <v>111</v>
      </c>
      <c r="B666" s="438" t="s">
        <v>46</v>
      </c>
      <c r="C666" s="437" t="str">
        <f>J5</f>
        <v>złoty/mosiądz</v>
      </c>
      <c r="D666" s="439" t="s">
        <v>111</v>
      </c>
      <c r="E666" s="438" t="e">
        <f>+VLOOKUP(A666,cennik!A:G,2,FALSE)</f>
        <v>#N/A</v>
      </c>
      <c r="F666" s="438" t="e">
        <f>+VLOOKUP(A666,cennik!A:B,2,FALSE)</f>
        <v>#N/A</v>
      </c>
      <c r="G666" s="437" t="e">
        <f>+VLOOKUP(A666,#REF!,4,FALSE)</f>
        <v>#REF!</v>
      </c>
      <c r="I666" s="437" t="str">
        <f>J5</f>
        <v>złoty/mosiądz</v>
      </c>
      <c r="Z666" s="1" t="b">
        <f t="shared" si="16"/>
        <v>1</v>
      </c>
    </row>
    <row r="667" spans="1:26" s="437" customFormat="1" ht="15" customHeight="1" x14ac:dyDescent="0.3">
      <c r="A667" s="439">
        <v>89052</v>
      </c>
      <c r="B667" s="438"/>
      <c r="C667" s="437" t="str">
        <f>J6</f>
        <v>j.brąz</v>
      </c>
      <c r="D667" s="439">
        <v>89052</v>
      </c>
      <c r="E667" s="438" t="str">
        <f>+VLOOKUP(A667,cennik!A:G,2,FALSE)</f>
        <v>SEVROLL kątownik K2 Decor 1,7m jasny brąz</v>
      </c>
      <c r="F667" s="438" t="str">
        <f>+VLOOKUP(A667,cennik!A:B,2,FALSE)</f>
        <v>SEVROLL kątownik K2 Decor 1,7m jasny brąz</v>
      </c>
      <c r="G667" s="437" t="e">
        <f>+VLOOKUP(A667,#REF!,4,FALSE)</f>
        <v>#REF!</v>
      </c>
      <c r="I667" s="437" t="str">
        <f>J6</f>
        <v>j.brąz</v>
      </c>
      <c r="Z667" s="1" t="b">
        <f t="shared" si="16"/>
        <v>1</v>
      </c>
    </row>
    <row r="668" spans="1:26" s="437" customFormat="1" ht="15" customHeight="1" x14ac:dyDescent="0.3">
      <c r="A668" s="439">
        <v>89050</v>
      </c>
      <c r="B668" s="438"/>
      <c r="C668" s="437" t="str">
        <f>J4</f>
        <v>srebrny</v>
      </c>
      <c r="D668" s="439">
        <v>89050</v>
      </c>
      <c r="E668" s="438" t="str">
        <f>+VLOOKUP(A668,cennik!A:G,2,FALSE)</f>
        <v>SEVROLL 00078 úhelník K2 Decor 1,7m stříbrná</v>
      </c>
      <c r="F668" s="438" t="str">
        <f>+VLOOKUP(A668,cennik!A:B,2,FALSE)</f>
        <v>SEVROLL 00078 úhelník K2 Decor 1,7m stříbrná</v>
      </c>
      <c r="G668" s="437" t="e">
        <f>+VLOOKUP(A668,#REF!,4,FALSE)</f>
        <v>#REF!</v>
      </c>
      <c r="I668" s="437" t="str">
        <f>J4</f>
        <v>srebrny</v>
      </c>
      <c r="Z668" s="1" t="b">
        <f t="shared" si="16"/>
        <v>1</v>
      </c>
    </row>
    <row r="669" spans="1:26" s="437" customFormat="1" ht="15" customHeight="1" x14ac:dyDescent="0.3">
      <c r="A669" s="49" t="s">
        <v>111</v>
      </c>
      <c r="B669" s="48"/>
      <c r="C669" s="1" t="str">
        <f>J16</f>
        <v>czarny połysk</v>
      </c>
      <c r="D669" s="49" t="s">
        <v>111</v>
      </c>
      <c r="E669" s="48" t="e">
        <f>+VLOOKUP(A669,cennik!A:G,2,FALSE)</f>
        <v>#N/A</v>
      </c>
      <c r="F669" s="48" t="e">
        <f>+VLOOKUP(A669,cennik!A:B,2,FALSE)</f>
        <v>#N/A</v>
      </c>
      <c r="G669" s="1" t="e">
        <f>+VLOOKUP(A669,#REF!,4,FALSE)</f>
        <v>#REF!</v>
      </c>
      <c r="H669" s="1"/>
      <c r="I669" s="1" t="str">
        <f>J16</f>
        <v>czarny połysk</v>
      </c>
      <c r="Z669" s="1" t="b">
        <f t="shared" si="16"/>
        <v>1</v>
      </c>
    </row>
    <row r="670" spans="1:26" s="437" customFormat="1" ht="15" customHeight="1" x14ac:dyDescent="0.3">
      <c r="A670" s="49" t="s">
        <v>111</v>
      </c>
      <c r="B670" s="48"/>
      <c r="C670" s="1" t="str">
        <f>J17</f>
        <v> czarny mat</v>
      </c>
      <c r="D670" s="49" t="s">
        <v>111</v>
      </c>
      <c r="E670" s="48" t="e">
        <f>+VLOOKUP(A670,cennik!A:G,2,FALSE)</f>
        <v>#N/A</v>
      </c>
      <c r="F670" s="48" t="e">
        <f>+VLOOKUP(A670,cennik!A:B,2,FALSE)</f>
        <v>#N/A</v>
      </c>
      <c r="G670" s="1"/>
      <c r="H670" s="1"/>
      <c r="I670" s="1" t="str">
        <f>J17</f>
        <v> czarny mat</v>
      </c>
      <c r="Z670" s="1" t="b">
        <f t="shared" si="16"/>
        <v>1</v>
      </c>
    </row>
    <row r="671" spans="1:26" s="437" customFormat="1" ht="15" customHeight="1" x14ac:dyDescent="0.3">
      <c r="A671" s="439" t="s">
        <v>111</v>
      </c>
      <c r="B671" s="438"/>
      <c r="C671" s="437" t="str">
        <f>J15</f>
        <v> biały połysk</v>
      </c>
      <c r="D671" s="439" t="s">
        <v>111</v>
      </c>
      <c r="E671" s="438" t="e">
        <f>+VLOOKUP(A671,cennik!A:G,2,FALSE)</f>
        <v>#N/A</v>
      </c>
      <c r="F671" s="438" t="e">
        <f>+VLOOKUP(A671,cennik!A:B,2,FALSE)</f>
        <v>#N/A</v>
      </c>
      <c r="I671" s="437" t="str">
        <f>J15</f>
        <v> biały połysk</v>
      </c>
      <c r="Z671" s="1" t="b">
        <f t="shared" si="16"/>
        <v>1</v>
      </c>
    </row>
    <row r="672" spans="1:26" ht="15" customHeight="1" x14ac:dyDescent="0.3">
      <c r="A672" s="439">
        <v>191700</v>
      </c>
      <c r="B672" s="438"/>
      <c r="C672" s="437" t="str">
        <f>J7</f>
        <v>j.brąz szczotkowany</v>
      </c>
      <c r="D672" s="439">
        <v>191700</v>
      </c>
      <c r="E672" s="438" t="str">
        <f>+VLOOKUP(A672,cennik!A:G,2,FALSE)</f>
        <v>SEVROLL kątownik K2 Decor 1,7 m jasny brąz szczotkowany</v>
      </c>
      <c r="F672" s="438" t="str">
        <f>+VLOOKUP(A672,cennik!A:B,2,FALSE)</f>
        <v>SEVROLL kątownik K2 Decor 1,7 m jasny brąz szczotkowany</v>
      </c>
      <c r="G672" s="437"/>
      <c r="H672" s="437"/>
      <c r="I672" s="437" t="str">
        <f>J7</f>
        <v>j.brąz szczotkowany</v>
      </c>
      <c r="Z672" s="1" t="b">
        <f t="shared" si="16"/>
        <v>1</v>
      </c>
    </row>
    <row r="673" spans="1:26" s="437" customFormat="1" ht="15" customHeight="1" x14ac:dyDescent="0.3">
      <c r="A673" s="439">
        <v>223326</v>
      </c>
      <c r="B673" s="438"/>
      <c r="C673" s="437" t="str">
        <f>J8</f>
        <v>szczot.oliwa ciemna</v>
      </c>
      <c r="D673" s="439">
        <v>223326</v>
      </c>
      <c r="E673" s="438" t="str">
        <f>+VLOOKUP(A673,cennik!A:G,2,FALSE)</f>
        <v>SEVROLL kątownik K2 1,7 m  oliwka ciemna szczotkowana</v>
      </c>
      <c r="F673" s="438" t="str">
        <f>+VLOOKUP(A673,cennik!A:B,2,FALSE)</f>
        <v>SEVROLL kątownik K2 1,7 m  oliwka ciemna szczotkowana</v>
      </c>
      <c r="I673" s="437" t="str">
        <f>J8</f>
        <v>szczot.oliwa ciemna</v>
      </c>
      <c r="Z673" s="1" t="b">
        <f t="shared" si="16"/>
        <v>1</v>
      </c>
    </row>
    <row r="674" spans="1:26" ht="15" customHeight="1" x14ac:dyDescent="0.3">
      <c r="A674" s="49" t="s">
        <v>111</v>
      </c>
      <c r="B674" s="437"/>
      <c r="C674" s="437" t="str">
        <f>J18</f>
        <v>biały mat</v>
      </c>
      <c r="D674" s="49" t="s">
        <v>111</v>
      </c>
      <c r="E674" s="438" t="e">
        <f>+VLOOKUP(A674,cennik!A:G,2,FALSE)</f>
        <v>#N/A</v>
      </c>
      <c r="F674" s="438" t="e">
        <f>+VLOOKUP(A674,cennik!A:B,2,FALSE)</f>
        <v>#N/A</v>
      </c>
      <c r="G674" s="437"/>
      <c r="H674" s="437"/>
      <c r="I674" s="437" t="str">
        <f>J18</f>
        <v>biały mat</v>
      </c>
      <c r="Z674" s="1" t="b">
        <f t="shared" si="16"/>
        <v>1</v>
      </c>
    </row>
    <row r="675" spans="1:26" ht="15" customHeight="1" x14ac:dyDescent="0.3">
      <c r="A675" s="439">
        <v>223392</v>
      </c>
      <c r="B675" s="438"/>
      <c r="C675" s="437" t="str">
        <f>J9</f>
        <v>szczot.czarna</v>
      </c>
      <c r="D675" s="439">
        <v>223392</v>
      </c>
      <c r="E675" s="438" t="str">
        <f>+VLOOKUP(A675,cennik!A:G,2,FALSE)</f>
        <v>SEVROLL kątownik K2 1,7 m czarny szczotkowany</v>
      </c>
      <c r="F675" s="438" t="str">
        <f>+VLOOKUP(A675,cennik!A:B,2,FALSE)</f>
        <v>SEVROLL kątownik K2 1,7 m czarny szczotkowany</v>
      </c>
      <c r="G675" s="437"/>
      <c r="H675" s="437"/>
      <c r="I675" s="437" t="str">
        <f>J9</f>
        <v>szczot.czarna</v>
      </c>
      <c r="Z675" s="1" t="b">
        <f t="shared" si="16"/>
        <v>1</v>
      </c>
    </row>
    <row r="676" spans="1:26" ht="15" customHeight="1" x14ac:dyDescent="0.3">
      <c r="A676" s="49" t="s">
        <v>111</v>
      </c>
      <c r="B676" s="48" t="s">
        <v>51</v>
      </c>
      <c r="C676" s="1" t="str">
        <f>J5</f>
        <v>złoty/mosiądz</v>
      </c>
      <c r="D676" s="49" t="s">
        <v>111</v>
      </c>
      <c r="E676" s="48" t="e">
        <f>+VLOOKUP(A676,cennik!A:G,2,FALSE)</f>
        <v>#N/A</v>
      </c>
      <c r="F676" s="48" t="e">
        <f>+VLOOKUP(A676,cennik!A:B,2,FALSE)</f>
        <v>#N/A</v>
      </c>
      <c r="G676" s="1" t="e">
        <f>+VLOOKUP(A676,#REF!,4,FALSE)</f>
        <v>#REF!</v>
      </c>
      <c r="I676" s="1" t="str">
        <f>J5</f>
        <v>złoty/mosiądz</v>
      </c>
      <c r="Z676" s="1" t="b">
        <f t="shared" si="16"/>
        <v>1</v>
      </c>
    </row>
    <row r="677" spans="1:26" ht="15" customHeight="1" x14ac:dyDescent="0.3">
      <c r="A677" s="49">
        <v>89055</v>
      </c>
      <c r="B677" s="48"/>
      <c r="C677" s="1" t="str">
        <f>J6</f>
        <v>j.brąz</v>
      </c>
      <c r="D677" s="49">
        <v>89055</v>
      </c>
      <c r="E677" s="48" t="str">
        <f>+VLOOKUP(A677,cennik!A:G,2,FALSE)</f>
        <v>SEVROLL 00070 úhelník K2 Decor 2,35m oliva</v>
      </c>
      <c r="F677" s="48" t="str">
        <f>+VLOOKUP(A677,cennik!A:B,2,FALSE)</f>
        <v>SEVROLL 00070 úhelník K2 Decor 2,35m oliva</v>
      </c>
      <c r="G677" s="1" t="e">
        <f>+VLOOKUP(A677,#REF!,4,FALSE)</f>
        <v>#REF!</v>
      </c>
      <c r="I677" s="1" t="str">
        <f>J6</f>
        <v>j.brąz</v>
      </c>
      <c r="Z677" s="1" t="b">
        <f t="shared" si="16"/>
        <v>1</v>
      </c>
    </row>
    <row r="678" spans="1:26" ht="15" customHeight="1" x14ac:dyDescent="0.3">
      <c r="A678" s="49">
        <v>89053</v>
      </c>
      <c r="B678" s="48"/>
      <c r="C678" s="1" t="str">
        <f>J4</f>
        <v>srebrny</v>
      </c>
      <c r="D678" s="49">
        <v>89053</v>
      </c>
      <c r="E678" s="48" t="str">
        <f>+VLOOKUP(A678,cennik!A:G,2,FALSE)</f>
        <v>SEVROLL 00079 úhelník K2 Decor 2,35m stříbrná</v>
      </c>
      <c r="F678" s="48" t="str">
        <f>+VLOOKUP(A678,cennik!A:B,2,FALSE)</f>
        <v>SEVROLL 00079 úhelník K2 Decor 2,35m stříbrná</v>
      </c>
      <c r="G678" s="1" t="e">
        <f>+VLOOKUP(A678,#REF!,4,FALSE)</f>
        <v>#REF!</v>
      </c>
      <c r="I678" s="1" t="str">
        <f>J4</f>
        <v>srebrny</v>
      </c>
      <c r="Z678" s="1" t="b">
        <f t="shared" si="16"/>
        <v>1</v>
      </c>
    </row>
    <row r="679" spans="1:26" ht="15" customHeight="1" x14ac:dyDescent="0.3">
      <c r="A679" s="49" t="s">
        <v>111</v>
      </c>
      <c r="B679" s="48"/>
      <c r="C679" s="1" t="str">
        <f>J16</f>
        <v>czarny połysk</v>
      </c>
      <c r="D679" s="49" t="s">
        <v>111</v>
      </c>
      <c r="E679" s="48" t="e">
        <f>+VLOOKUP(A679,cennik!A:G,2,FALSE)</f>
        <v>#N/A</v>
      </c>
      <c r="F679" s="48" t="e">
        <f>+VLOOKUP(A679,cennik!A:B,2,FALSE)</f>
        <v>#N/A</v>
      </c>
      <c r="G679" s="1" t="e">
        <f>+VLOOKUP(A679,#REF!,4,FALSE)</f>
        <v>#REF!</v>
      </c>
      <c r="I679" s="1" t="str">
        <f>J16</f>
        <v>czarny połysk</v>
      </c>
      <c r="Z679" s="1" t="b">
        <f t="shared" si="16"/>
        <v>1</v>
      </c>
    </row>
    <row r="680" spans="1:26" ht="15" customHeight="1" x14ac:dyDescent="0.3">
      <c r="A680" s="49" t="s">
        <v>111</v>
      </c>
      <c r="B680" s="48"/>
      <c r="C680" s="1" t="str">
        <f>J17</f>
        <v> czarny mat</v>
      </c>
      <c r="D680" s="49" t="s">
        <v>111</v>
      </c>
      <c r="E680" s="48" t="e">
        <f>+VLOOKUP(A680,cennik!A:G,2,FALSE)</f>
        <v>#N/A</v>
      </c>
      <c r="F680" s="48" t="e">
        <f>+VLOOKUP(A680,cennik!A:B,2,FALSE)</f>
        <v>#N/A</v>
      </c>
      <c r="I680" s="1" t="str">
        <f>J17</f>
        <v> czarny mat</v>
      </c>
      <c r="Z680" s="1" t="b">
        <f t="shared" si="16"/>
        <v>1</v>
      </c>
    </row>
    <row r="681" spans="1:26" ht="15" customHeight="1" x14ac:dyDescent="0.3">
      <c r="A681" s="49">
        <v>191701</v>
      </c>
      <c r="B681" s="48"/>
      <c r="C681" s="1" t="str">
        <f>J7</f>
        <v>j.brąz szczotkowany</v>
      </c>
      <c r="D681" s="49">
        <v>191701</v>
      </c>
      <c r="E681" s="48" t="str">
        <f>+VLOOKUP(A681,cennik!A:G,2,FALSE)</f>
        <v>SEVROLL kątownik K2 Decor 2,35 m jasny brąz szczotkowany</v>
      </c>
      <c r="F681" s="48" t="str">
        <f>+VLOOKUP(A681,cennik!A:B,2,FALSE)</f>
        <v>SEVROLL kątownik K2 Decor 2,35 m jasny brąz szczotkowany</v>
      </c>
      <c r="I681" s="1" t="str">
        <f>J7</f>
        <v>j.brąz szczotkowany</v>
      </c>
      <c r="Z681" s="1" t="b">
        <f t="shared" si="16"/>
        <v>1</v>
      </c>
    </row>
    <row r="682" spans="1:26" ht="15" customHeight="1" x14ac:dyDescent="0.3">
      <c r="A682" s="49">
        <v>223330</v>
      </c>
      <c r="B682" s="48"/>
      <c r="C682" s="1" t="str">
        <f>J8</f>
        <v>szczot.oliwa ciemna</v>
      </c>
      <c r="D682" s="49">
        <v>223330</v>
      </c>
      <c r="E682" s="48" t="str">
        <f>+VLOOKUP(A682,cennik!A:G,2,FALSE)</f>
        <v>SEVROLL kątownik K2 2,35 m  oliwka ciemna szczotkowana</v>
      </c>
      <c r="F682" s="48" t="str">
        <f>+VLOOKUP(A682,cennik!A:B,2,FALSE)</f>
        <v>SEVROLL kątownik K2 2,35 m  oliwka ciemna szczotkowana</v>
      </c>
      <c r="I682" s="1" t="str">
        <f>J8</f>
        <v>szczot.oliwa ciemna</v>
      </c>
      <c r="Z682" s="1" t="b">
        <f t="shared" si="16"/>
        <v>1</v>
      </c>
    </row>
    <row r="683" spans="1:26" ht="15" customHeight="1" x14ac:dyDescent="0.3">
      <c r="A683" s="49" t="s">
        <v>111</v>
      </c>
      <c r="B683" s="437"/>
      <c r="C683" s="437" t="str">
        <f>J18</f>
        <v>biały mat</v>
      </c>
      <c r="D683" s="49" t="s">
        <v>111</v>
      </c>
      <c r="E683" s="438" t="e">
        <f>+VLOOKUP(A683,cennik!A:G,2,FALSE)</f>
        <v>#N/A</v>
      </c>
      <c r="F683" s="438" t="e">
        <f>+VLOOKUP(A683,cennik!A:B,2,FALSE)</f>
        <v>#N/A</v>
      </c>
      <c r="G683" s="437"/>
      <c r="H683" s="437"/>
      <c r="I683" s="437" t="str">
        <f>J18</f>
        <v>biały mat</v>
      </c>
      <c r="Z683" s="1" t="b">
        <f t="shared" si="16"/>
        <v>1</v>
      </c>
    </row>
    <row r="684" spans="1:26" ht="15" customHeight="1" x14ac:dyDescent="0.3">
      <c r="A684" s="49">
        <v>223393</v>
      </c>
      <c r="B684" s="48"/>
      <c r="C684" s="1" t="str">
        <f>J9</f>
        <v>szczot.czarna</v>
      </c>
      <c r="D684" s="49">
        <v>223393</v>
      </c>
      <c r="E684" s="48" t="str">
        <f>+VLOOKUP(A684,cennik!A:G,2,FALSE)</f>
        <v>SEVROLL kątownik K2 2,35 m czarny szczotkowany</v>
      </c>
      <c r="F684" s="48" t="str">
        <f>+VLOOKUP(A684,cennik!A:B,2,FALSE)</f>
        <v>SEVROLL kątownik K2 2,35 m czarny szczotkowany</v>
      </c>
      <c r="I684" s="1" t="str">
        <f>J9</f>
        <v>szczot.czarna</v>
      </c>
      <c r="Z684" s="1" t="b">
        <f t="shared" si="16"/>
        <v>1</v>
      </c>
    </row>
    <row r="685" spans="1:26" ht="15" customHeight="1" x14ac:dyDescent="0.3">
      <c r="A685" s="49" t="s">
        <v>111</v>
      </c>
      <c r="B685" s="48"/>
      <c r="C685" s="1" t="str">
        <f>J15</f>
        <v> biały połysk</v>
      </c>
      <c r="D685" s="49" t="s">
        <v>111</v>
      </c>
      <c r="E685" s="48" t="e">
        <f>+VLOOKUP(A685,cennik!A:G,2,FALSE)</f>
        <v>#N/A</v>
      </c>
      <c r="F685" s="48" t="e">
        <f>+VLOOKUP(A685,cennik!A:B,2,FALSE)</f>
        <v>#N/A</v>
      </c>
      <c r="I685" s="1" t="str">
        <f>J15</f>
        <v> biały połysk</v>
      </c>
      <c r="Z685" s="1" t="b">
        <f t="shared" si="16"/>
        <v>1</v>
      </c>
    </row>
    <row r="686" spans="1:26" ht="15" customHeight="1" x14ac:dyDescent="0.3">
      <c r="A686" s="49" t="s">
        <v>111</v>
      </c>
      <c r="B686" s="48" t="s">
        <v>52</v>
      </c>
      <c r="C686" s="1" t="str">
        <f>J5</f>
        <v>złoty/mosiądz</v>
      </c>
      <c r="D686" s="49" t="s">
        <v>111</v>
      </c>
      <c r="E686" s="48" t="e">
        <f>+VLOOKUP(A686,cennik!A:G,2,FALSE)</f>
        <v>#N/A</v>
      </c>
      <c r="F686" s="48" t="e">
        <f>+VLOOKUP(A686,cennik!A:B,2,FALSE)</f>
        <v>#N/A</v>
      </c>
      <c r="G686" s="1" t="e">
        <f>+VLOOKUP(A686,#REF!,4,FALSE)</f>
        <v>#REF!</v>
      </c>
      <c r="I686" s="1" t="str">
        <f>J5</f>
        <v>złoty/mosiądz</v>
      </c>
      <c r="Z686" s="1" t="b">
        <f t="shared" si="16"/>
        <v>1</v>
      </c>
    </row>
    <row r="687" spans="1:26" ht="15" customHeight="1" x14ac:dyDescent="0.3">
      <c r="A687" s="49">
        <v>89058</v>
      </c>
      <c r="B687" s="48"/>
      <c r="C687" s="1" t="str">
        <f>J6</f>
        <v>j.brąz</v>
      </c>
      <c r="D687" s="49">
        <v>89058</v>
      </c>
      <c r="E687" s="48" t="str">
        <f>+VLOOKUP(A687,cennik!A:G,2,FALSE)</f>
        <v>SEVROLL 00071 úhelník K2 Decor 3m oliva</v>
      </c>
      <c r="F687" s="48" t="str">
        <f>+VLOOKUP(A687,cennik!A:B,2,FALSE)</f>
        <v>SEVROLL 00071 úhelník K2 Decor 3m oliva</v>
      </c>
      <c r="G687" s="1" t="e">
        <f>+VLOOKUP(A687,#REF!,4,FALSE)</f>
        <v>#REF!</v>
      </c>
      <c r="I687" s="1" t="str">
        <f>J6</f>
        <v>j.brąz</v>
      </c>
      <c r="Z687" s="1" t="b">
        <f t="shared" si="16"/>
        <v>1</v>
      </c>
    </row>
    <row r="688" spans="1:26" ht="15" customHeight="1" x14ac:dyDescent="0.3">
      <c r="A688" s="49" t="s">
        <v>111</v>
      </c>
      <c r="B688" s="48"/>
      <c r="C688" s="1" t="str">
        <f>J16</f>
        <v>czarny połysk</v>
      </c>
      <c r="D688" s="49" t="s">
        <v>111</v>
      </c>
      <c r="E688" s="48" t="e">
        <f>+VLOOKUP(A688,cennik!A:G,2,FALSE)</f>
        <v>#N/A</v>
      </c>
      <c r="F688" s="48" t="e">
        <f>+VLOOKUP(A688,cennik!A:B,2,FALSE)</f>
        <v>#N/A</v>
      </c>
      <c r="G688" s="1" t="e">
        <f>+VLOOKUP(A688,#REF!,4,FALSE)</f>
        <v>#REF!</v>
      </c>
      <c r="I688" s="1" t="str">
        <f>J16</f>
        <v>czarny połysk</v>
      </c>
      <c r="Z688" s="1" t="b">
        <f t="shared" si="16"/>
        <v>1</v>
      </c>
    </row>
    <row r="689" spans="1:26" ht="15" customHeight="1" x14ac:dyDescent="0.3">
      <c r="A689" s="49" t="s">
        <v>111</v>
      </c>
      <c r="B689" s="48"/>
      <c r="C689" s="1" t="str">
        <f>J17</f>
        <v> czarny mat</v>
      </c>
      <c r="D689" s="49" t="s">
        <v>111</v>
      </c>
      <c r="E689" s="48" t="e">
        <f>+VLOOKUP(A689,cennik!A:G,2,FALSE)</f>
        <v>#N/A</v>
      </c>
      <c r="F689" s="48" t="e">
        <f>+VLOOKUP(A689,cennik!A:B,2,FALSE)</f>
        <v>#N/A</v>
      </c>
      <c r="I689" s="1" t="str">
        <f>J17</f>
        <v> czarny mat</v>
      </c>
      <c r="Z689" s="1" t="b">
        <f t="shared" si="16"/>
        <v>1</v>
      </c>
    </row>
    <row r="690" spans="1:26" ht="15" customHeight="1" x14ac:dyDescent="0.3">
      <c r="A690" s="49">
        <v>89056</v>
      </c>
      <c r="B690" s="48"/>
      <c r="C690" s="1" t="str">
        <f>J4</f>
        <v>srebrny</v>
      </c>
      <c r="D690" s="49">
        <v>89056</v>
      </c>
      <c r="E690" s="48" t="str">
        <f>+VLOOKUP(A690,cennik!A:G,2,FALSE)</f>
        <v>SEVROLL 00080 úhelník K2 Decor 3m stříbrná</v>
      </c>
      <c r="F690" s="48" t="str">
        <f>+VLOOKUP(A690,cennik!A:B,2,FALSE)</f>
        <v>SEVROLL 00080 úhelník K2 Decor 3m stříbrná</v>
      </c>
      <c r="G690" s="1" t="e">
        <f>+VLOOKUP(A690,#REF!,4,FALSE)</f>
        <v>#REF!</v>
      </c>
      <c r="I690" s="1" t="str">
        <f>J4</f>
        <v>srebrny</v>
      </c>
      <c r="Z690" s="1" t="b">
        <f t="shared" si="16"/>
        <v>1</v>
      </c>
    </row>
    <row r="691" spans="1:26" ht="15" customHeight="1" x14ac:dyDescent="0.3">
      <c r="A691" s="49">
        <v>191702</v>
      </c>
      <c r="B691" s="48"/>
      <c r="C691" s="1" t="str">
        <f>J7</f>
        <v>j.brąz szczotkowany</v>
      </c>
      <c r="D691" s="49">
        <v>191702</v>
      </c>
      <c r="E691" s="48" t="str">
        <f>+VLOOKUP(A691,cennik!A:G,2,FALSE)</f>
        <v>SEVROLL kątownik K2 Decor 3 m jasny brąz szczotkowany</v>
      </c>
      <c r="F691" s="48" t="str">
        <f>+VLOOKUP(A691,cennik!A:B,2,FALSE)</f>
        <v>SEVROLL kątownik K2 Decor 3 m jasny brąz szczotkowany</v>
      </c>
      <c r="I691" s="1" t="str">
        <f>J7</f>
        <v>j.brąz szczotkowany</v>
      </c>
      <c r="Z691" s="1" t="b">
        <f t="shared" si="16"/>
        <v>1</v>
      </c>
    </row>
    <row r="692" spans="1:26" ht="15" customHeight="1" x14ac:dyDescent="0.3">
      <c r="A692" s="49">
        <v>223331</v>
      </c>
      <c r="B692" s="48"/>
      <c r="C692" s="1" t="str">
        <f>J8</f>
        <v>szczot.oliwa ciemna</v>
      </c>
      <c r="D692" s="49">
        <v>223331</v>
      </c>
      <c r="E692" s="48" t="str">
        <f>+VLOOKUP(A692,cennik!A:G,2,FALSE)</f>
        <v>SEVROLL kątownik K2 3 m  oliwka ciemna szczotkowana</v>
      </c>
      <c r="F692" s="48" t="str">
        <f>+VLOOKUP(A692,cennik!A:B,2,FALSE)</f>
        <v>SEVROLL kątownik K2 3 m  oliwka ciemna szczotkowana</v>
      </c>
      <c r="I692" s="1" t="str">
        <f>J8</f>
        <v>szczot.oliwa ciemna</v>
      </c>
      <c r="Z692" s="1" t="b">
        <f t="shared" si="16"/>
        <v>1</v>
      </c>
    </row>
    <row r="693" spans="1:26" ht="15" customHeight="1" x14ac:dyDescent="0.3">
      <c r="A693" s="49" t="s">
        <v>111</v>
      </c>
      <c r="B693" s="437"/>
      <c r="C693" s="437" t="str">
        <f>J18</f>
        <v>biały mat</v>
      </c>
      <c r="D693" s="49" t="s">
        <v>111</v>
      </c>
      <c r="E693" s="438" t="e">
        <f>+VLOOKUP(A693,cennik!A:G,2,FALSE)</f>
        <v>#N/A</v>
      </c>
      <c r="F693" s="438" t="e">
        <f>+VLOOKUP(A693,cennik!A:B,2,FALSE)</f>
        <v>#N/A</v>
      </c>
      <c r="G693" s="437"/>
      <c r="H693" s="437"/>
      <c r="I693" s="437" t="str">
        <f>J18</f>
        <v>biały mat</v>
      </c>
      <c r="Z693" s="1" t="b">
        <f t="shared" si="16"/>
        <v>1</v>
      </c>
    </row>
    <row r="694" spans="1:26" ht="15" customHeight="1" x14ac:dyDescent="0.3">
      <c r="A694" s="49">
        <v>223394</v>
      </c>
      <c r="B694" s="48"/>
      <c r="C694" s="1" t="str">
        <f>J9</f>
        <v>szczot.czarna</v>
      </c>
      <c r="D694" s="49">
        <v>223394</v>
      </c>
      <c r="E694" s="48" t="str">
        <f>+VLOOKUP(A694,cennik!A:G,2,FALSE)</f>
        <v>SEVROLL kątownik K2 3 m czarny szczotkowany</v>
      </c>
      <c r="F694" s="48" t="str">
        <f>+VLOOKUP(A694,cennik!A:B,2,FALSE)</f>
        <v>SEVROLL kątownik K2 3 m czarny szczotkowany</v>
      </c>
      <c r="I694" s="1" t="str">
        <f>J9</f>
        <v>szczot.czarna</v>
      </c>
      <c r="Z694" s="1" t="b">
        <f t="shared" si="16"/>
        <v>1</v>
      </c>
    </row>
    <row r="695" spans="1:26" ht="15" customHeight="1" x14ac:dyDescent="0.3">
      <c r="A695" s="49" t="s">
        <v>111</v>
      </c>
      <c r="B695" s="48"/>
      <c r="C695" s="1" t="str">
        <f>J15</f>
        <v> biały połysk</v>
      </c>
      <c r="D695" s="49" t="s">
        <v>111</v>
      </c>
      <c r="E695" s="48" t="e">
        <f>+VLOOKUP(A695,cennik!A:G,2,FALSE)</f>
        <v>#N/A</v>
      </c>
      <c r="F695" s="48" t="e">
        <f>+VLOOKUP(A695,cennik!A:B,2,FALSE)</f>
        <v>#N/A</v>
      </c>
      <c r="I695" s="1" t="str">
        <f>J15</f>
        <v> biały połysk</v>
      </c>
      <c r="Z695" s="1" t="b">
        <f t="shared" si="16"/>
        <v>1</v>
      </c>
    </row>
    <row r="696" spans="1:26" ht="15" customHeight="1" x14ac:dyDescent="0.3">
      <c r="A696" s="49">
        <v>135534</v>
      </c>
      <c r="B696" s="48" t="s">
        <v>36</v>
      </c>
      <c r="C696" s="1" t="str">
        <f>J6</f>
        <v>j.brąz</v>
      </c>
      <c r="D696" s="49">
        <v>135534</v>
      </c>
      <c r="E696" s="48" t="str">
        <f>+VLOOKUP(A696,cennik!A:G,2,FALSE)</f>
        <v>SEVROLL Victoria II rączka 18mm 2,7m jasny brąz</v>
      </c>
      <c r="F696" s="48" t="str">
        <f>+VLOOKUP(A696,cennik!A:B,2,FALSE)</f>
        <v>SEVROLL Victoria II rączka 18mm 2,7m jasny brąz</v>
      </c>
      <c r="G696" s="1" t="e">
        <f>+VLOOKUP(A696,#REF!,4,FALSE)</f>
        <v>#REF!</v>
      </c>
      <c r="I696" s="1" t="str">
        <f>J6</f>
        <v>j.brąz</v>
      </c>
      <c r="Z696" s="1" t="b">
        <f t="shared" si="16"/>
        <v>1</v>
      </c>
    </row>
    <row r="697" spans="1:26" ht="15" customHeight="1" x14ac:dyDescent="0.3">
      <c r="A697" s="49">
        <v>135532</v>
      </c>
      <c r="B697" s="48"/>
      <c r="C697" s="1" t="str">
        <f>J4</f>
        <v>srebrny</v>
      </c>
      <c r="D697" s="49">
        <v>135532</v>
      </c>
      <c r="E697" s="48" t="str">
        <f>+VLOOKUP(A697,cennik!A:G,2,FALSE)</f>
        <v>SEVROLL Victoria II rączka 18mm 2,7m srebrna</v>
      </c>
      <c r="F697" s="48" t="str">
        <f>+VLOOKUP(A697,cennik!A:B,2,FALSE)</f>
        <v>SEVROLL Victoria II rączka 18mm 2,7m srebrna</v>
      </c>
      <c r="G697" s="1" t="e">
        <f>+VLOOKUP(A697,#REF!,4,FALSE)</f>
        <v>#REF!</v>
      </c>
      <c r="I697" s="1" t="str">
        <f>J4</f>
        <v>srebrny</v>
      </c>
      <c r="Z697" s="1" t="b">
        <f t="shared" si="16"/>
        <v>1</v>
      </c>
    </row>
    <row r="698" spans="1:26" s="417" customFormat="1" ht="15" customHeight="1" x14ac:dyDescent="0.3">
      <c r="A698" s="49">
        <v>191699</v>
      </c>
      <c r="B698" s="48"/>
      <c r="C698" s="1" t="str">
        <f>J7</f>
        <v>j.brąz szczotkowany</v>
      </c>
      <c r="D698" s="49">
        <v>191699</v>
      </c>
      <c r="E698" s="48" t="str">
        <f>+VLOOKUP(A698,cennik!A:G,2,FALSE)</f>
        <v>SEVROLL Victoria II rączka 2,7m jasny brąz szczotkowany</v>
      </c>
      <c r="F698" s="48" t="str">
        <f>+VLOOKUP(A698,cennik!A:B,2,FALSE)</f>
        <v>SEVROLL Victoria II rączka 2,7m jasny brąz szczotkowany</v>
      </c>
      <c r="G698" s="1"/>
      <c r="H698" s="1"/>
      <c r="I698" s="1" t="str">
        <f>J7</f>
        <v>j.brąz szczotkowany</v>
      </c>
      <c r="Z698" s="1" t="b">
        <f t="shared" si="16"/>
        <v>1</v>
      </c>
    </row>
    <row r="699" spans="1:26" s="417" customFormat="1" ht="15" customHeight="1" x14ac:dyDescent="0.3">
      <c r="A699" s="49">
        <v>216620</v>
      </c>
      <c r="B699" s="48"/>
      <c r="C699" s="1" t="str">
        <f>J8</f>
        <v>szczot.oliwa ciemna</v>
      </c>
      <c r="D699" s="49">
        <v>216620</v>
      </c>
      <c r="E699" s="48" t="str">
        <f>+VLOOKUP(A699,cennik!A:G,2,FALSE)</f>
        <v>SEVROLL Victoria II 2,7 m oliwka ciemna szczotkowana</v>
      </c>
      <c r="F699" s="48" t="str">
        <f>+VLOOKUP(A699,cennik!A:B,2,FALSE)</f>
        <v>SEVROLL Victoria II 2,7 m oliwka ciemna szczotkowana</v>
      </c>
      <c r="G699" s="1"/>
      <c r="H699" s="1"/>
      <c r="I699" s="1" t="str">
        <f>J8</f>
        <v>szczot.oliwa ciemna</v>
      </c>
      <c r="Z699" s="1" t="b">
        <f t="shared" si="16"/>
        <v>1</v>
      </c>
    </row>
    <row r="700" spans="1:26" s="417" customFormat="1" ht="15" customHeight="1" x14ac:dyDescent="0.3">
      <c r="A700" s="49">
        <v>216621</v>
      </c>
      <c r="B700" s="48"/>
      <c r="C700" s="1" t="str">
        <f>J9</f>
        <v>szczot.czarna</v>
      </c>
      <c r="D700" s="49">
        <v>216621</v>
      </c>
      <c r="E700" s="48" t="str">
        <f>+VLOOKUP(A700,cennik!A:G,2,FALSE)</f>
        <v>SEVROLL Victoria II 2,7m czarny szczotkowany</v>
      </c>
      <c r="F700" s="48" t="str">
        <f>+VLOOKUP(A700,cennik!A:B,2,FALSE)</f>
        <v>SEVROLL Victoria II 2,7m czarny szczotkowany</v>
      </c>
      <c r="G700" s="1"/>
      <c r="H700" s="1"/>
      <c r="I700" s="1" t="str">
        <f>J9</f>
        <v>szczot.czarna</v>
      </c>
      <c r="Z700" s="1" t="b">
        <f t="shared" si="16"/>
        <v>1</v>
      </c>
    </row>
    <row r="701" spans="1:26" s="417" customFormat="1" ht="15" customHeight="1" x14ac:dyDescent="0.3">
      <c r="A701" s="49">
        <v>89098</v>
      </c>
      <c r="B701" s="48" t="s">
        <v>35</v>
      </c>
      <c r="C701" s="1" t="str">
        <f>J6</f>
        <v>j.brąz</v>
      </c>
      <c r="D701" s="49">
        <v>89098</v>
      </c>
      <c r="E701" s="48" t="str">
        <f>+VLOOKUP(A701,cennik!A:G,2,FALSE)</f>
        <v>SEVROLL Tytan rączka 18 mm 2,7 m, oliwka</v>
      </c>
      <c r="F701" s="48" t="str">
        <f>+VLOOKUP(A701,cennik!A:B,2,FALSE)</f>
        <v>SEVROLL Tytan rączka 18 mm 2,7 m, oliwka</v>
      </c>
      <c r="G701" s="1" t="e">
        <f>+VLOOKUP(A701,#REF!,4,FALSE)</f>
        <v>#REF!</v>
      </c>
      <c r="H701" s="1"/>
      <c r="I701" s="1" t="str">
        <f>J6</f>
        <v>j.brąz</v>
      </c>
      <c r="Z701" s="1" t="b">
        <f t="shared" si="16"/>
        <v>1</v>
      </c>
    </row>
    <row r="702" spans="1:26" s="417" customFormat="1" ht="15" customHeight="1" x14ac:dyDescent="0.3">
      <c r="A702" s="49">
        <v>89099</v>
      </c>
      <c r="B702" s="48"/>
      <c r="C702" s="1" t="str">
        <f>J4</f>
        <v>srebrny</v>
      </c>
      <c r="D702" s="49">
        <v>89099</v>
      </c>
      <c r="E702" s="48" t="str">
        <f>+VLOOKUP(A702,cennik!A:G,2,FALSE)</f>
        <v>SEVROLL Tytan rączka 18 mm 2,7 m, srebrna</v>
      </c>
      <c r="F702" s="48" t="str">
        <f>+VLOOKUP(A702,cennik!A:B,2,FALSE)</f>
        <v>SEVROLL Tytan rączka 18 mm 2,7 m, srebrna</v>
      </c>
      <c r="G702" s="1" t="e">
        <f>+VLOOKUP(A702,#REF!,4,FALSE)</f>
        <v>#REF!</v>
      </c>
      <c r="H702" s="1"/>
      <c r="I702" s="1" t="str">
        <f>J4</f>
        <v>srebrny</v>
      </c>
      <c r="Z702" s="1" t="b">
        <f t="shared" si="16"/>
        <v>1</v>
      </c>
    </row>
    <row r="703" spans="1:26" s="417" customFormat="1" ht="15" customHeight="1" x14ac:dyDescent="0.3">
      <c r="A703" s="49">
        <v>213977</v>
      </c>
      <c r="B703" s="161" t="s">
        <v>828</v>
      </c>
      <c r="C703" s="1" t="str">
        <f>J4</f>
        <v>srebrny</v>
      </c>
      <c r="D703" s="49">
        <v>213977</v>
      </c>
      <c r="E703" s="48" t="str">
        <f>+VLOOKUP(A703,cennik!A:G,2,FALSE)</f>
        <v>SEVROLL Beta 18 rączka 2,70m srebrny</v>
      </c>
      <c r="F703" s="48" t="str">
        <f>+VLOOKUP(A703,cennik!A:B,2,FALSE)</f>
        <v>SEVROLL Beta 18 rączka 2,70m srebrny</v>
      </c>
      <c r="G703" s="1"/>
      <c r="H703" s="1"/>
      <c r="I703" s="1" t="str">
        <f>J4</f>
        <v>srebrny</v>
      </c>
      <c r="Z703" s="1" t="b">
        <f t="shared" ref="Z703:Z772" si="17">A703=D703</f>
        <v>1</v>
      </c>
    </row>
    <row r="704" spans="1:26" s="417" customFormat="1" ht="15" customHeight="1" x14ac:dyDescent="0.3">
      <c r="A704" s="49">
        <v>213978</v>
      </c>
      <c r="B704" s="48"/>
      <c r="C704" s="1" t="str">
        <f>J6</f>
        <v>j.brąz</v>
      </c>
      <c r="D704" s="49">
        <v>213978</v>
      </c>
      <c r="E704" s="48" t="str">
        <f>+VLOOKUP(A704,cennik!A:G,2,FALSE)</f>
        <v>SEVROLL Beta 18 rączka 2,70 m oliwka</v>
      </c>
      <c r="F704" s="48" t="str">
        <f>+VLOOKUP(A704,cennik!A:B,2,FALSE)</f>
        <v>SEVROLL Beta 18 rączka 2,70 m oliwka</v>
      </c>
      <c r="G704" s="1"/>
      <c r="H704" s="1"/>
      <c r="I704" s="1" t="str">
        <f>J6</f>
        <v>j.brąz</v>
      </c>
      <c r="Z704" s="1" t="b">
        <f t="shared" si="17"/>
        <v>1</v>
      </c>
    </row>
    <row r="705" spans="1:26" s="417" customFormat="1" ht="15" customHeight="1" x14ac:dyDescent="0.3">
      <c r="A705" s="49">
        <v>246893</v>
      </c>
      <c r="B705" s="161" t="s">
        <v>822</v>
      </c>
      <c r="C705" s="1" t="str">
        <f>J4</f>
        <v>srebrny</v>
      </c>
      <c r="D705" s="49">
        <v>246893</v>
      </c>
      <c r="E705" s="48" t="str">
        <f>+VLOOKUP(A705,cennik!A:G,2,FALSE)</f>
        <v>SEVROLL Oaza II rączka 2,7m srebrny</v>
      </c>
      <c r="F705" s="48" t="str">
        <f>+VLOOKUP(A705,cennik!A:B,2,FALSE)</f>
        <v>SEVROLL Oaza II rączka 2,7m srebrny</v>
      </c>
      <c r="G705" s="1"/>
      <c r="H705" s="1"/>
      <c r="I705" s="1" t="str">
        <f>J4</f>
        <v>srebrny</v>
      </c>
      <c r="Z705" s="1" t="b">
        <f t="shared" si="17"/>
        <v>1</v>
      </c>
    </row>
    <row r="706" spans="1:26" s="417" customFormat="1" ht="15" customHeight="1" x14ac:dyDescent="0.3">
      <c r="A706" s="49">
        <v>246894</v>
      </c>
      <c r="B706" s="48"/>
      <c r="C706" s="1" t="str">
        <f>J6</f>
        <v>j.brąz</v>
      </c>
      <c r="D706" s="49">
        <v>246894</v>
      </c>
      <c r="E706" s="48" t="str">
        <f>+VLOOKUP(A706,cennik!A:G,2,FALSE)</f>
        <v>SEVROLL Oaza II rączka 2,7m jasny brąz</v>
      </c>
      <c r="F706" s="48" t="str">
        <f>+VLOOKUP(A706,cennik!A:B,2,FALSE)</f>
        <v>SEVROLL Oaza II rączka 2,7m jasny brąz</v>
      </c>
      <c r="G706" s="1"/>
      <c r="H706" s="1"/>
      <c r="I706" s="1" t="str">
        <f>J6</f>
        <v>j.brąz</v>
      </c>
      <c r="Z706" s="1" t="b">
        <f t="shared" si="17"/>
        <v>1</v>
      </c>
    </row>
    <row r="707" spans="1:26" ht="15" customHeight="1" x14ac:dyDescent="0.3">
      <c r="A707" s="49">
        <v>135136</v>
      </c>
      <c r="B707" s="48" t="s">
        <v>53</v>
      </c>
      <c r="C707" s="1" t="str">
        <f>J4</f>
        <v>srebrny</v>
      </c>
      <c r="D707" s="49">
        <v>135136</v>
      </c>
      <c r="E707" s="48" t="str">
        <f>+VLOOKUP(A707,cennik!A:G,2,FALSE)</f>
        <v>SEVROLL Factor 18 II rączka 2,7m srebrny</v>
      </c>
      <c r="F707" s="48" t="str">
        <f>+VLOOKUP(A707,cennik!A:B,2,FALSE)</f>
        <v>SEVROLL Factor 18 II rączka 2,7m srebrny</v>
      </c>
      <c r="G707" s="1" t="e">
        <f>+VLOOKUP(A707,#REF!,4,FALSE)</f>
        <v>#REF!</v>
      </c>
      <c r="I707" s="1" t="str">
        <f>J4</f>
        <v>srebrny</v>
      </c>
      <c r="Z707" s="1" t="b">
        <f t="shared" si="17"/>
        <v>1</v>
      </c>
    </row>
    <row r="708" spans="1:26" ht="15" customHeight="1" x14ac:dyDescent="0.3">
      <c r="A708" s="49">
        <v>135503</v>
      </c>
      <c r="B708" s="48"/>
      <c r="C708" s="1" t="str">
        <f>J6</f>
        <v>j.brąz</v>
      </c>
      <c r="D708" s="49">
        <v>135503</v>
      </c>
      <c r="E708" s="48" t="str">
        <f>+VLOOKUP(A708,cennik!A:G,2,FALSE)</f>
        <v>SEVROLL Factor 18 II rączka 2,7m jasny brąz</v>
      </c>
      <c r="F708" s="48" t="str">
        <f>+VLOOKUP(A708,cennik!A:B,2,FALSE)</f>
        <v>SEVROLL Factor 18 II rączka 2,7m jasny brąz</v>
      </c>
      <c r="G708" s="1" t="e">
        <f>+VLOOKUP(A708,#REF!,4,FALSE)</f>
        <v>#REF!</v>
      </c>
      <c r="I708" s="1" t="str">
        <f>J6</f>
        <v>j.brąz</v>
      </c>
      <c r="Z708" s="1" t="b">
        <f t="shared" si="17"/>
        <v>1</v>
      </c>
    </row>
    <row r="709" spans="1:26" ht="15" customHeight="1" x14ac:dyDescent="0.3">
      <c r="A709" s="49">
        <v>196711</v>
      </c>
      <c r="B709" s="161" t="s">
        <v>719</v>
      </c>
      <c r="C709" s="1" t="str">
        <f>J4</f>
        <v>srebrny</v>
      </c>
      <c r="D709" s="49">
        <v>196711</v>
      </c>
      <c r="E709" s="48" t="str">
        <f>+VLOOKUP(A709,cennik!A:G,2,FALSE)</f>
        <v>Sevroll Lux III rączka 2,7 m srebrna</v>
      </c>
      <c r="F709" s="48" t="str">
        <f>+VLOOKUP(A709,cennik!A:B,2,FALSE)</f>
        <v>Sevroll Lux III rączka 2,7 m srebrna</v>
      </c>
      <c r="H709" s="1">
        <v>2700</v>
      </c>
      <c r="I709" s="1" t="str">
        <f>J4</f>
        <v>srebrny</v>
      </c>
      <c r="Z709" s="1" t="b">
        <f t="shared" si="17"/>
        <v>1</v>
      </c>
    </row>
    <row r="710" spans="1:26" ht="15" customHeight="1" x14ac:dyDescent="0.3">
      <c r="A710" s="49">
        <v>489624</v>
      </c>
      <c r="B710" s="161"/>
      <c r="C710" s="1" t="str">
        <f>J5</f>
        <v>złoty/mosiądz</v>
      </c>
      <c r="D710" s="49">
        <v>489624</v>
      </c>
      <c r="E710" s="48" t="str">
        <f>+VLOOKUP(A710,cennik!A:G,2,FALSE)</f>
        <v>Sevroll 05000 Lux III rączka 2,7m złoty</v>
      </c>
      <c r="F710" s="48" t="str">
        <f>+VLOOKUP(A710,cennik!A:B,2,FALSE)</f>
        <v>Sevroll 05000 Lux III rączka 2,7m złoty</v>
      </c>
      <c r="H710" s="1">
        <v>2700</v>
      </c>
      <c r="I710" s="1" t="str">
        <f>J5</f>
        <v>złoty/mosiądz</v>
      </c>
    </row>
    <row r="711" spans="1:26" ht="15" customHeight="1" x14ac:dyDescent="0.3">
      <c r="A711" s="49">
        <v>196709</v>
      </c>
      <c r="B711" s="48"/>
      <c r="C711" s="1" t="str">
        <f>J6</f>
        <v>j.brąz</v>
      </c>
      <c r="D711" s="49">
        <v>196709</v>
      </c>
      <c r="E711" s="48" t="str">
        <f>+VLOOKUP(A711,cennik!A:G,2,FALSE)</f>
        <v>Sevroll Lux III rączka 2,7 m jasny brąz</v>
      </c>
      <c r="F711" s="48" t="str">
        <f>+VLOOKUP(A711,cennik!A:B,2,FALSE)</f>
        <v>Sevroll Lux III rączka 2,7 m jasny brąz</v>
      </c>
      <c r="I711" s="1" t="str">
        <f>J6</f>
        <v>j.brąz</v>
      </c>
      <c r="Z711" s="1" t="b">
        <f t="shared" si="17"/>
        <v>1</v>
      </c>
    </row>
    <row r="712" spans="1:26" ht="15" customHeight="1" x14ac:dyDescent="0.3">
      <c r="A712" s="49">
        <v>489625</v>
      </c>
      <c r="B712" s="48"/>
      <c r="C712" s="1" t="str">
        <f>J4</f>
        <v>srebrny</v>
      </c>
      <c r="D712" s="49">
        <v>489625</v>
      </c>
      <c r="E712" s="48" t="str">
        <f>+VLOOKUP(A712,cennik!A:G,2,FALSE)</f>
        <v>Sevroll 81002 Lux III rączka 3m srebrna</v>
      </c>
      <c r="F712" s="48" t="str">
        <f>+VLOOKUP(A712,cennik!A:B,2,FALSE)</f>
        <v>Sevroll 81002 Lux III rączka 3m srebrna</v>
      </c>
      <c r="H712" s="1">
        <v>3000</v>
      </c>
      <c r="I712" s="1" t="str">
        <f>J4</f>
        <v>srebrny</v>
      </c>
    </row>
    <row r="713" spans="1:26" ht="15" customHeight="1" x14ac:dyDescent="0.3">
      <c r="A713" s="49">
        <v>489948</v>
      </c>
      <c r="B713" s="48"/>
      <c r="C713" s="1" t="str">
        <f>J6</f>
        <v>j.brąz</v>
      </c>
      <c r="D713" s="49">
        <v>489948</v>
      </c>
      <c r="E713" s="48" t="str">
        <f>+VLOOKUP(A713,cennik!A:G,2,FALSE)</f>
        <v>Sevroll 85622 Lux III rączka 3m jasny brąz</v>
      </c>
      <c r="F713" s="48" t="str">
        <f>+VLOOKUP(A713,cennik!A:B,2,FALSE)</f>
        <v>Sevroll 85622 Lux III rączka 3m jasny brąz</v>
      </c>
      <c r="I713" s="1" t="str">
        <f>J6</f>
        <v>j.brąz</v>
      </c>
    </row>
    <row r="714" spans="1:26" ht="15" customHeight="1" x14ac:dyDescent="0.3">
      <c r="A714" s="49">
        <v>489949</v>
      </c>
      <c r="B714" s="48"/>
      <c r="C714" s="1" t="str">
        <f>J5</f>
        <v>złoty/mosiądz</v>
      </c>
      <c r="D714" s="49">
        <v>489949</v>
      </c>
      <c r="E714" s="48" t="str">
        <f>+VLOOKUP(A714,cennik!A:G,2,FALSE)</f>
        <v>Sevroll 05001 Lux III rączka 3m złoty</v>
      </c>
      <c r="F714" s="48" t="str">
        <f>+VLOOKUP(A714,cennik!A:B,2,FALSE)</f>
        <v>Sevroll 05001 Lux III rączka 3m złoty</v>
      </c>
      <c r="I714" s="1" t="str">
        <f>J5</f>
        <v>złoty/mosiądz</v>
      </c>
    </row>
    <row r="715" spans="1:26" ht="15" customHeight="1" x14ac:dyDescent="0.3">
      <c r="A715" s="421">
        <v>96427</v>
      </c>
      <c r="B715" s="419" t="s">
        <v>78</v>
      </c>
      <c r="C715" s="417" t="str">
        <f>J6</f>
        <v>j.brąz</v>
      </c>
      <c r="D715" s="421">
        <v>96427</v>
      </c>
      <c r="E715" s="419" t="str">
        <f>+VLOOKUP(A715,cennik!A:G,2,FALSE)</f>
        <v>SEVROLL Fox II rączka 2,7 m, oliwka</v>
      </c>
      <c r="F715" s="419" t="str">
        <f>+VLOOKUP(A715,cennik!A:B,2,FALSE)</f>
        <v>SEVROLL Fox II rączka 2,7 m, oliwka</v>
      </c>
      <c r="G715" s="417"/>
      <c r="H715" s="417"/>
      <c r="I715" s="417" t="str">
        <f>J6</f>
        <v>j.brąz</v>
      </c>
      <c r="Z715" s="1" t="b">
        <f t="shared" si="17"/>
        <v>1</v>
      </c>
    </row>
    <row r="716" spans="1:26" ht="15" customHeight="1" x14ac:dyDescent="0.3">
      <c r="A716" s="421">
        <v>542872</v>
      </c>
      <c r="B716" s="419"/>
      <c r="C716" s="417" t="str">
        <f>J5</f>
        <v>złoty/mosiądz</v>
      </c>
      <c r="D716" s="421">
        <v>542872</v>
      </c>
      <c r="E716" s="419" t="str">
        <f>+VLOOKUP(A716,cennik!A:G,2,FALSE)</f>
        <v>SEVROLL 06819 Fox II rączka 2,7m złoty/mosiądz</v>
      </c>
      <c r="F716" s="419" t="str">
        <f>+VLOOKUP(A716,cennik!A:B,2,FALSE)</f>
        <v>SEVROLL 06819 Fox II rączka 2,7m złoty/mosiądz</v>
      </c>
      <c r="G716" s="417"/>
      <c r="H716" s="417"/>
      <c r="I716" s="417" t="str">
        <f>J5</f>
        <v>złoty/mosiądz</v>
      </c>
      <c r="Z716" s="1" t="b">
        <f t="shared" si="17"/>
        <v>1</v>
      </c>
    </row>
    <row r="717" spans="1:26" ht="15" customHeight="1" x14ac:dyDescent="0.3">
      <c r="A717" s="421">
        <v>96429</v>
      </c>
      <c r="B717" s="419"/>
      <c r="C717" s="417" t="str">
        <f>J7</f>
        <v>j.brąz szczotkowany</v>
      </c>
      <c r="D717" s="421">
        <v>96429</v>
      </c>
      <c r="E717" s="419" t="str">
        <f>+VLOOKUP(A717,cennik!A:G,2,FALSE)</f>
        <v>SEVROLL Fox II rączka 2,7 m, oliwka szczotkowana</v>
      </c>
      <c r="F717" s="419" t="str">
        <f>+VLOOKUP(A717,cennik!A:B,2,FALSE)</f>
        <v>SEVROLL Fox II rączka 2,7 m, oliwka szczotkowana</v>
      </c>
      <c r="G717" s="417"/>
      <c r="H717" s="417"/>
      <c r="I717" s="417" t="str">
        <f>J7</f>
        <v>j.brąz szczotkowany</v>
      </c>
      <c r="Z717" s="1" t="b">
        <f t="shared" si="17"/>
        <v>1</v>
      </c>
    </row>
    <row r="718" spans="1:26" ht="15" customHeight="1" x14ac:dyDescent="0.3">
      <c r="A718" s="421">
        <v>96421</v>
      </c>
      <c r="B718" s="419"/>
      <c r="C718" s="417" t="str">
        <f>J4</f>
        <v>srebrny</v>
      </c>
      <c r="D718" s="421">
        <v>96421</v>
      </c>
      <c r="E718" s="419" t="str">
        <f>+VLOOKUP(A718,cennik!A:G,2,FALSE)</f>
        <v>SEVROLL Fox II rączka 2,7 m, srebrna</v>
      </c>
      <c r="F718" s="419" t="str">
        <f>+VLOOKUP(A718,cennik!A:B,2,FALSE)</f>
        <v>SEVROLL Fox II rączka 2,7 m, srebrna</v>
      </c>
      <c r="G718" s="417"/>
      <c r="H718" s="417"/>
      <c r="I718" s="417" t="str">
        <f>J4</f>
        <v>srebrny</v>
      </c>
      <c r="Z718" s="1" t="b">
        <f t="shared" si="17"/>
        <v>1</v>
      </c>
    </row>
    <row r="719" spans="1:26" ht="15" customHeight="1" x14ac:dyDescent="0.3">
      <c r="A719" s="421">
        <v>205074</v>
      </c>
      <c r="B719" s="419"/>
      <c r="C719" s="417" t="str">
        <f>J8</f>
        <v>szczot.oliwa ciemna</v>
      </c>
      <c r="D719" s="421">
        <v>205074</v>
      </c>
      <c r="E719" s="419" t="str">
        <f>+VLOOKUP(A719,cennik!A:G,2,FALSE)</f>
        <v>SEVROLL Fox II rączka 2,7 m koniak szczotkowany</v>
      </c>
      <c r="F719" s="419" t="str">
        <f>+VLOOKUP(A719,cennik!A:B,2,FALSE)</f>
        <v>SEVROLL Fox II rączka 2,7 m koniak szczotkowany</v>
      </c>
      <c r="G719" s="417"/>
      <c r="H719" s="417"/>
      <c r="I719" s="417" t="str">
        <f>J8</f>
        <v>szczot.oliwa ciemna</v>
      </c>
      <c r="Z719" s="1" t="b">
        <f t="shared" si="17"/>
        <v>1</v>
      </c>
    </row>
    <row r="720" spans="1:26" ht="15" customHeight="1" x14ac:dyDescent="0.3">
      <c r="A720" s="421">
        <v>205077</v>
      </c>
      <c r="B720" s="419"/>
      <c r="C720" s="417" t="str">
        <f>J9</f>
        <v>szczot.czarna</v>
      </c>
      <c r="D720" s="421">
        <v>205077</v>
      </c>
      <c r="E720" s="419" t="str">
        <f>+VLOOKUP(A720,cennik!A:G,2,FALSE)</f>
        <v>SEVROLL Fox II rączka 2,7m czarny szczotkowany</v>
      </c>
      <c r="F720" s="419" t="str">
        <f>+VLOOKUP(A720,cennik!A:B,2,FALSE)</f>
        <v>SEVROLL Fox II rączka 2,7m czarny szczotkowany</v>
      </c>
      <c r="G720" s="417"/>
      <c r="H720" s="417"/>
      <c r="I720" s="417" t="str">
        <f>J9</f>
        <v>szczot.czarna</v>
      </c>
      <c r="Z720" s="1" t="b">
        <f t="shared" si="17"/>
        <v>1</v>
      </c>
    </row>
    <row r="721" spans="1:26" ht="15" customHeight="1" x14ac:dyDescent="0.3">
      <c r="A721" s="421">
        <v>489302</v>
      </c>
      <c r="B721" s="419"/>
      <c r="C721" s="417" t="str">
        <f>J18</f>
        <v>biały mat</v>
      </c>
      <c r="D721" s="421">
        <v>489302</v>
      </c>
      <c r="E721" s="419" t="str">
        <f>+VLOOKUP(A721,cennik!A:G,2,FALSE)</f>
        <v>SEVROLL 05900 Fox II rączka 2,7m biały mat</v>
      </c>
      <c r="F721" s="419" t="str">
        <f>+VLOOKUP(A721,cennik!A:B,2,FALSE)</f>
        <v>SEVROLL 05900 Fox II rączka 2,7m biały mat</v>
      </c>
      <c r="G721" s="417"/>
      <c r="H721" s="417"/>
      <c r="I721" s="417" t="str">
        <f>J18</f>
        <v>biały mat</v>
      </c>
      <c r="Z721" s="1" t="b">
        <f t="shared" si="17"/>
        <v>1</v>
      </c>
    </row>
    <row r="722" spans="1:26" ht="15" customHeight="1" x14ac:dyDescent="0.3">
      <c r="A722" s="421">
        <v>265065</v>
      </c>
      <c r="B722" s="419"/>
      <c r="C722" s="417" t="str">
        <f>J15</f>
        <v> biały połysk</v>
      </c>
      <c r="D722" s="421">
        <v>265065</v>
      </c>
      <c r="E722" s="419" t="str">
        <f>+VLOOKUP(A722,cennik!A:G,2,FALSE)</f>
        <v>SEVROLL Fox II rączka 2,7m biały połysk</v>
      </c>
      <c r="F722" s="419" t="str">
        <f>+VLOOKUP(A722,cennik!A:B,2,FALSE)</f>
        <v>SEVROLL Fox II rączka 2,7m biały połysk</v>
      </c>
      <c r="G722" s="417"/>
      <c r="H722" s="417"/>
      <c r="I722" s="417" t="str">
        <f>J15</f>
        <v> biały połysk</v>
      </c>
      <c r="Z722" s="1" t="b">
        <f t="shared" si="17"/>
        <v>1</v>
      </c>
    </row>
    <row r="723" spans="1:26" ht="15" customHeight="1" x14ac:dyDescent="0.3">
      <c r="A723" s="418">
        <v>395506</v>
      </c>
      <c r="B723" s="417"/>
      <c r="C723" s="417" t="str">
        <f>J16</f>
        <v>czarny połysk</v>
      </c>
      <c r="D723" s="418">
        <v>395506</v>
      </c>
      <c r="E723" s="419" t="str">
        <f>+VLOOKUP(A723,cennik!A:G,2,FALSE)</f>
        <v>SEVROLL Fox II rączka 2,7m czarny połysk</v>
      </c>
      <c r="F723" s="419" t="str">
        <f>+VLOOKUP(A723,cennik!A:B,2,FALSE)</f>
        <v>SEVROLL Fox II rączka 2,7m czarny połysk</v>
      </c>
      <c r="G723" s="417"/>
      <c r="H723" s="417"/>
      <c r="I723" s="417" t="str">
        <f>J16</f>
        <v>czarny połysk</v>
      </c>
      <c r="Z723" s="1" t="b">
        <f t="shared" si="17"/>
        <v>1</v>
      </c>
    </row>
    <row r="724" spans="1:26" ht="15" customHeight="1" x14ac:dyDescent="0.3">
      <c r="A724" s="418">
        <v>495587</v>
      </c>
      <c r="B724" s="417"/>
      <c r="C724" s="417" t="str">
        <f>J12</f>
        <v>grafit</v>
      </c>
      <c r="D724" s="418">
        <v>495587</v>
      </c>
      <c r="E724" s="419" t="str">
        <f>+VLOOKUP(A724,cennik!A:G,2,FALSE)</f>
        <v>SEVROLL 06019 Fox II rączka 2,7m grafit</v>
      </c>
      <c r="F724" s="419" t="str">
        <f>+VLOOKUP(A724,cennik!A:B,2,FALSE)</f>
        <v>SEVROLL 06019 Fox II rączka 2,7m grafit</v>
      </c>
      <c r="G724" s="417"/>
      <c r="H724" s="417"/>
      <c r="I724" s="417"/>
      <c r="Z724" s="1" t="b">
        <f t="shared" si="17"/>
        <v>1</v>
      </c>
    </row>
    <row r="725" spans="1:26" ht="15" customHeight="1" x14ac:dyDescent="0.3">
      <c r="A725" s="417">
        <v>425057</v>
      </c>
      <c r="B725" s="417"/>
      <c r="C725" s="417" t="str">
        <f>J17</f>
        <v> czarny mat</v>
      </c>
      <c r="D725" s="417">
        <v>425057</v>
      </c>
      <c r="E725" s="419" t="str">
        <f>+VLOOKUP(A725,cennik!A:G,2,FALSE)</f>
        <v>SEVROLL Fox II rączka 2,7m czarny mat</v>
      </c>
      <c r="F725" s="419" t="str">
        <f>+VLOOKUP(A725,cennik!A:B,2,FALSE)</f>
        <v>SEVROLL Fox II rączka 2,7m czarny mat</v>
      </c>
      <c r="G725" s="417"/>
      <c r="H725" s="417"/>
      <c r="I725" s="417" t="str">
        <f>J17</f>
        <v> czarny mat</v>
      </c>
      <c r="Z725" s="1" t="b">
        <f t="shared" si="17"/>
        <v>1</v>
      </c>
    </row>
    <row r="726" spans="1:26" ht="15" customHeight="1" x14ac:dyDescent="0.3">
      <c r="A726" s="417">
        <v>524826</v>
      </c>
      <c r="B726" s="417"/>
      <c r="C726" s="417" t="str">
        <f>J22</f>
        <v>czarny lakier strukturalny</v>
      </c>
      <c r="D726" s="417">
        <v>524826</v>
      </c>
      <c r="E726" s="419" t="str">
        <f>+VLOOKUP(A726,cennik!A:G,2,FALSE)</f>
        <v>SEVROLL 06126 Fox II rączka 2,7m czarny lakier strukturalny</v>
      </c>
      <c r="F726" s="419" t="str">
        <f>+VLOOKUP(A726,cennik!A:B,2,FALSE)</f>
        <v>SEVROLL 06126 Fox II rączka 2,7m czarny lakier strukturalny</v>
      </c>
      <c r="G726" s="417"/>
      <c r="H726" s="417"/>
      <c r="I726" s="417" t="str">
        <f>J22</f>
        <v>czarny lakier strukturalny</v>
      </c>
    </row>
    <row r="727" spans="1:26" ht="15" customHeight="1" x14ac:dyDescent="0.3">
      <c r="A727" s="417">
        <v>372604</v>
      </c>
      <c r="B727" s="441" t="s">
        <v>2626</v>
      </c>
      <c r="C727" s="417" t="str">
        <f>J4</f>
        <v>srebrny</v>
      </c>
      <c r="D727" s="417">
        <v>372604</v>
      </c>
      <c r="E727" s="419" t="str">
        <f>+VLOOKUP(A727,cennik!A:G,2,FALSE)</f>
        <v>SEVROLL Rączka Vitara 2,7m srebrna</v>
      </c>
      <c r="F727" s="419" t="str">
        <f>+VLOOKUP(A727,cennik!A:B,2,FALSE)</f>
        <v>SEVROLL Rączka Vitara 2,7m srebrna</v>
      </c>
      <c r="G727" s="417"/>
      <c r="H727" s="417"/>
      <c r="I727" s="417"/>
      <c r="Z727" s="1" t="b">
        <f t="shared" si="17"/>
        <v>1</v>
      </c>
    </row>
    <row r="728" spans="1:26" ht="15" customHeight="1" x14ac:dyDescent="0.3">
      <c r="A728" s="417">
        <v>372605</v>
      </c>
      <c r="B728" s="441" t="s">
        <v>2626</v>
      </c>
      <c r="C728" s="417" t="str">
        <f>J6</f>
        <v>j.brąz</v>
      </c>
      <c r="D728" s="417">
        <v>372605</v>
      </c>
      <c r="E728" s="419" t="str">
        <f>+VLOOKUP(A728,cennik!A:G,2,FALSE)</f>
        <v>SEVROLL Rączka Vitara 2,7m oliwka</v>
      </c>
      <c r="F728" s="419" t="str">
        <f>+VLOOKUP(A728,cennik!A:B,2,FALSE)</f>
        <v>SEVROLL Rączka Vitara 2,7m oliwka</v>
      </c>
      <c r="G728" s="417"/>
      <c r="H728" s="417"/>
      <c r="I728" s="417"/>
      <c r="Z728" s="1" t="b">
        <f t="shared" si="17"/>
        <v>1</v>
      </c>
    </row>
    <row r="729" spans="1:26" ht="15" customHeight="1" x14ac:dyDescent="0.3">
      <c r="A729" s="417">
        <v>489309</v>
      </c>
      <c r="B729" s="441" t="s">
        <v>2626</v>
      </c>
      <c r="C729" s="417" t="str">
        <f>J17</f>
        <v> czarny mat</v>
      </c>
      <c r="D729" s="417">
        <v>489309</v>
      </c>
      <c r="E729" s="419" t="str">
        <f>+VLOOKUP(A729,cennik!A:G,2,FALSE)</f>
        <v>SEVROLL Rączka Vitara 2,7m czarny mat</v>
      </c>
      <c r="F729" s="419" t="str">
        <f>+VLOOKUP(A729,cennik!A:B,2,FALSE)</f>
        <v>SEVROLL Rączka Vitara 2,7m czarny mat</v>
      </c>
      <c r="G729" s="417"/>
      <c r="H729" s="417"/>
      <c r="I729" s="417"/>
      <c r="Z729" s="1" t="b">
        <f t="shared" si="17"/>
        <v>1</v>
      </c>
    </row>
    <row r="730" spans="1:26" ht="15" customHeight="1" x14ac:dyDescent="0.3">
      <c r="A730" s="417">
        <v>372606</v>
      </c>
      <c r="B730" s="441" t="s">
        <v>2626</v>
      </c>
      <c r="C730" s="417" t="str">
        <f>J15</f>
        <v> biały połysk</v>
      </c>
      <c r="D730" s="417">
        <v>372606</v>
      </c>
      <c r="E730" s="419" t="str">
        <f>+VLOOKUP(A730,cennik!A:G,2,FALSE)</f>
        <v>SEVROLL Rączka Vitara 2,7m biały błyszczący</v>
      </c>
      <c r="F730" s="419" t="str">
        <f>+VLOOKUP(A730,cennik!A:B,2,FALSE)</f>
        <v>SEVROLL Rączka Vitara 2,7m biały błyszczący</v>
      </c>
      <c r="G730" s="417"/>
      <c r="H730" s="417"/>
      <c r="I730" s="417"/>
      <c r="Z730" s="1" t="b">
        <f t="shared" si="17"/>
        <v>1</v>
      </c>
    </row>
    <row r="731" spans="1:26" ht="15" customHeight="1" x14ac:dyDescent="0.3">
      <c r="A731" s="49">
        <v>245816</v>
      </c>
      <c r="B731" s="48" t="s">
        <v>800</v>
      </c>
      <c r="C731" s="1" t="str">
        <f>J6</f>
        <v>j.brąz</v>
      </c>
      <c r="D731" s="49">
        <v>245816</v>
      </c>
      <c r="E731" s="48" t="str">
        <f>+VLOOKUP(A731,cennik!A:G,2,FALSE)</f>
        <v>SEVROLL Focus II 18mm rączka 2,7m jasny brąz</v>
      </c>
      <c r="F731" s="48" t="str">
        <f>+VLOOKUP(A731,cennik!A:B,2,FALSE)</f>
        <v>SEVROLL Focus II 18mm rączka 2,7m jasny brąz</v>
      </c>
      <c r="I731" s="1" t="str">
        <f>J6</f>
        <v>j.brąz</v>
      </c>
      <c r="Z731" s="1" t="b">
        <f t="shared" si="17"/>
        <v>1</v>
      </c>
    </row>
    <row r="732" spans="1:26" ht="15" customHeight="1" x14ac:dyDescent="0.3">
      <c r="A732" s="49">
        <v>245815</v>
      </c>
      <c r="B732" s="48"/>
      <c r="C732" s="1" t="str">
        <f>J4</f>
        <v>srebrny</v>
      </c>
      <c r="D732" s="49">
        <v>245815</v>
      </c>
      <c r="E732" s="48" t="str">
        <f>+VLOOKUP(A732,cennik!A:G,2,FALSE)</f>
        <v>SEVROLL Focus II 18mm rączka 2,7m srebrny</v>
      </c>
      <c r="F732" s="48" t="str">
        <f>+VLOOKUP(A732,cennik!A:B,2,FALSE)</f>
        <v>SEVROLL Focus II 18mm rączka 2,7m srebrny</v>
      </c>
      <c r="I732" s="1" t="str">
        <f>J4</f>
        <v>srebrny</v>
      </c>
      <c r="Z732" s="1" t="b">
        <f t="shared" si="17"/>
        <v>1</v>
      </c>
    </row>
    <row r="733" spans="1:26" ht="15" customHeight="1" x14ac:dyDescent="0.3">
      <c r="A733" s="49">
        <v>489301</v>
      </c>
      <c r="B733" s="48"/>
      <c r="C733" s="1" t="str">
        <f>J17</f>
        <v> czarny mat</v>
      </c>
      <c r="D733" s="49">
        <v>489301</v>
      </c>
      <c r="E733" s="48" t="str">
        <f>+VLOOKUP(A733,cennik!A:G,2,FALSE)</f>
        <v>SEVROLL 05903 Focus II 18mm rączka 2,7m</v>
      </c>
      <c r="F733" s="48" t="str">
        <f>+VLOOKUP(A733,cennik!A:B,2,FALSE)</f>
        <v>SEVROLL 05903 Focus II 18mm rączka 2,7m</v>
      </c>
      <c r="Z733" s="1" t="b">
        <f t="shared" si="17"/>
        <v>1</v>
      </c>
    </row>
    <row r="734" spans="1:26" ht="15" customHeight="1" x14ac:dyDescent="0.3">
      <c r="A734" s="49">
        <v>542589</v>
      </c>
      <c r="B734" s="48"/>
      <c r="C734" s="1" t="str">
        <f>J5</f>
        <v>złoty/mosiądz</v>
      </c>
      <c r="D734" s="49">
        <v>542589</v>
      </c>
      <c r="E734" s="48" t="str">
        <f>+VLOOKUP(A734,cennik!A:G,2,FALSE)</f>
        <v>SEVROLL 06818 Focus II 18 mm rączka 2,7 m, złota/mosiądz</v>
      </c>
      <c r="F734" s="48" t="str">
        <f>+VLOOKUP(A734,cennik!A:B,2,FALSE)</f>
        <v>SEVROLL 06818 Focus II 18 mm rączka 2,7 m, złota/mosiądz</v>
      </c>
      <c r="I734" s="1" t="str">
        <f>J5</f>
        <v>złoty/mosiądz</v>
      </c>
      <c r="Z734" s="1" t="b">
        <f t="shared" si="17"/>
        <v>1</v>
      </c>
    </row>
    <row r="735" spans="1:26" ht="15" customHeight="1" x14ac:dyDescent="0.3">
      <c r="A735" s="49">
        <v>90105</v>
      </c>
      <c r="B735" s="48" t="s">
        <v>79</v>
      </c>
      <c r="C735" s="1" t="str">
        <f>J6</f>
        <v>j.brąz</v>
      </c>
      <c r="D735" s="49">
        <v>90105</v>
      </c>
      <c r="E735" s="48" t="str">
        <f>+VLOOKUP(A735,cennik!A:G,2,FALSE)</f>
        <v>SEVROLL Universal 18 rączka 2,7 m, jasny brąz</v>
      </c>
      <c r="F735" s="48" t="str">
        <f>+VLOOKUP(A735,cennik!A:B,2,FALSE)</f>
        <v>SEVROLL Universal 18 rączka 2,7 m, jasny brąz</v>
      </c>
      <c r="I735" s="1" t="str">
        <f>J6</f>
        <v>j.brąz</v>
      </c>
      <c r="Z735" s="1" t="b">
        <f t="shared" si="17"/>
        <v>1</v>
      </c>
    </row>
    <row r="736" spans="1:26" ht="15" customHeight="1" x14ac:dyDescent="0.3">
      <c r="A736" s="49">
        <v>90106</v>
      </c>
      <c r="B736" s="48"/>
      <c r="C736" s="1" t="str">
        <f>J4</f>
        <v>srebrny</v>
      </c>
      <c r="D736" s="49">
        <v>90106</v>
      </c>
      <c r="E736" s="48" t="str">
        <f>+VLOOKUP(A736,cennik!A:G,2,FALSE)</f>
        <v>SEVROLL Universal 18 rączka 2,7 m, srebrna</v>
      </c>
      <c r="F736" s="48" t="str">
        <f>+VLOOKUP(A736,cennik!A:B,2,FALSE)</f>
        <v>SEVROLL Universal 18 rączka 2,7 m, srebrna</v>
      </c>
      <c r="I736" s="1" t="str">
        <f>J4</f>
        <v>srebrny</v>
      </c>
      <c r="Z736" s="1" t="b">
        <f t="shared" si="17"/>
        <v>1</v>
      </c>
    </row>
    <row r="737" spans="1:26" ht="15" customHeight="1" x14ac:dyDescent="0.3">
      <c r="A737" s="49">
        <v>98110</v>
      </c>
      <c r="B737" s="48" t="s">
        <v>82</v>
      </c>
      <c r="C737" s="1" t="str">
        <f>CONCATENATE(H737,"-",J4)</f>
        <v>1700-srebrny</v>
      </c>
      <c r="D737" s="49">
        <v>98110</v>
      </c>
      <c r="E737" s="48" t="str">
        <f>+VLOOKUP(A737,cennik!A:G,2,FALSE)</f>
        <v>SEVROLL Comfort tor górny 1,7m srebrny</v>
      </c>
      <c r="F737" s="48" t="str">
        <f>+VLOOKUP(A737,cennik!A:B,2,FALSE)</f>
        <v>SEVROLL Comfort tor górny 1,7m srebrny</v>
      </c>
      <c r="H737" s="1" t="s">
        <v>464</v>
      </c>
      <c r="I737" s="1" t="str">
        <f>CONCATENATE(H737,"-",J4)</f>
        <v>1700-srebrny</v>
      </c>
      <c r="Z737" s="1" t="b">
        <f t="shared" si="17"/>
        <v>1</v>
      </c>
    </row>
    <row r="738" spans="1:26" ht="15" customHeight="1" x14ac:dyDescent="0.3">
      <c r="A738" s="49">
        <v>227321</v>
      </c>
      <c r="B738" s="48"/>
      <c r="C738" s="1" t="str">
        <f>CONCATENATE(H738,"-",J4)</f>
        <v>2350-srebrny</v>
      </c>
      <c r="D738" s="49">
        <v>227321</v>
      </c>
      <c r="E738" s="48" t="str">
        <f>+VLOOKUP(A738,cennik!A:G,2,FALSE)</f>
        <v>SEVROLL Comfort tor górny 2,35m srebrny</v>
      </c>
      <c r="F738" s="48" t="str">
        <f>+VLOOKUP(A738,cennik!A:B,2,FALSE)</f>
        <v>SEVROLL Comfort tor górny 2,35m srebrny</v>
      </c>
      <c r="H738" s="1" t="s">
        <v>465</v>
      </c>
      <c r="I738" s="1" t="str">
        <f>CONCATENATE(H738,"-",J4)</f>
        <v>2350-srebrny</v>
      </c>
      <c r="Z738" s="1" t="b">
        <f t="shared" si="17"/>
        <v>1</v>
      </c>
    </row>
    <row r="739" spans="1:26" ht="15" customHeight="1" x14ac:dyDescent="0.3">
      <c r="A739" s="49">
        <v>227324</v>
      </c>
      <c r="B739" s="48"/>
      <c r="C739" s="1" t="str">
        <f>CONCATENATE(H739,"-",J4)</f>
        <v>3000-srebrny</v>
      </c>
      <c r="D739" s="49">
        <v>227324</v>
      </c>
      <c r="E739" s="48" t="str">
        <f>+VLOOKUP(A739,cennik!A:G,2,FALSE)</f>
        <v>SEVROLL Comfort tor górny 3m srebrny</v>
      </c>
      <c r="F739" s="48" t="str">
        <f>+VLOOKUP(A739,cennik!A:B,2,FALSE)</f>
        <v>SEVROLL Comfort tor górny 3m srebrny</v>
      </c>
      <c r="H739" s="1" t="s">
        <v>466</v>
      </c>
      <c r="I739" s="1" t="str">
        <f>CONCATENATE(H739,"-",J4)</f>
        <v>3000-srebrny</v>
      </c>
      <c r="Z739" s="1" t="b">
        <f t="shared" si="17"/>
        <v>1</v>
      </c>
    </row>
    <row r="740" spans="1:26" ht="15" customHeight="1" x14ac:dyDescent="0.3">
      <c r="A740" s="49">
        <v>98079</v>
      </c>
      <c r="B740" s="48"/>
      <c r="C740" s="1" t="str">
        <f>CONCATENATE(H740,"-",J4)</f>
        <v>4050-srebrny</v>
      </c>
      <c r="D740" s="49">
        <v>98079</v>
      </c>
      <c r="E740" s="48" t="str">
        <f>+VLOOKUP(A740,cennik!A:G,2,FALSE)</f>
        <v>SEVROLL Comfort tor górny 4,05m srebrny</v>
      </c>
      <c r="F740" s="48" t="str">
        <f>+VLOOKUP(A740,cennik!A:B,2,FALSE)</f>
        <v>SEVROLL Comfort tor górny 4,05m srebrny</v>
      </c>
      <c r="H740" s="1" t="s">
        <v>467</v>
      </c>
      <c r="I740" s="1" t="str">
        <f>CONCATENATE(H740,"-",J4)</f>
        <v>4050-srebrny</v>
      </c>
      <c r="Z740" s="1" t="b">
        <f t="shared" si="17"/>
        <v>1</v>
      </c>
    </row>
    <row r="741" spans="1:26" ht="15" customHeight="1" x14ac:dyDescent="0.3">
      <c r="A741" s="49">
        <v>227196</v>
      </c>
      <c r="B741" s="48"/>
      <c r="C741" s="1" t="str">
        <f>CONCATENATE(H741,"-",J4)</f>
        <v>6000-srebrny</v>
      </c>
      <c r="D741" s="49">
        <v>227196</v>
      </c>
      <c r="E741" s="48" t="str">
        <f>+VLOOKUP(A741,cennik!A:G,2,FALSE)</f>
        <v>SEVROLL Comfort tor górny 6m srebrny</v>
      </c>
      <c r="F741" s="48" t="str">
        <f>+VLOOKUP(A741,cennik!A:B,2,FALSE)</f>
        <v>SEVROLL Comfort tor górny 6m srebrny</v>
      </c>
      <c r="H741" s="144" t="s">
        <v>536</v>
      </c>
      <c r="I741" s="1" t="str">
        <f>CONCATENATE(H741,"-",J4)</f>
        <v>6000-srebrny</v>
      </c>
      <c r="Z741" s="1" t="b">
        <f t="shared" si="17"/>
        <v>1</v>
      </c>
    </row>
    <row r="742" spans="1:26" ht="15" customHeight="1" x14ac:dyDescent="0.3">
      <c r="A742" s="49">
        <v>98111</v>
      </c>
      <c r="B742" s="48"/>
      <c r="C742" s="1" t="str">
        <f>CONCATENATE(H742,"-",J6)</f>
        <v>1700-j.brąz</v>
      </c>
      <c r="D742" s="49">
        <v>98111</v>
      </c>
      <c r="E742" s="48" t="str">
        <f>+VLOOKUP(A742,cennik!A:G,2,FALSE)</f>
        <v>SEVROLL Comfort tor górny 1,7m jasny brąz</v>
      </c>
      <c r="F742" s="48" t="str">
        <f>+VLOOKUP(A742,cennik!A:B,2,FALSE)</f>
        <v>SEVROLL Comfort tor górny 1,7m jasny brąz</v>
      </c>
      <c r="H742" s="1" t="s">
        <v>464</v>
      </c>
      <c r="I742" s="1" t="str">
        <f>CONCATENATE(H742,"-",J6)</f>
        <v>1700-j.brąz</v>
      </c>
      <c r="Z742" s="1" t="b">
        <f t="shared" si="17"/>
        <v>1</v>
      </c>
    </row>
    <row r="743" spans="1:26" ht="15" customHeight="1" x14ac:dyDescent="0.3">
      <c r="A743" s="49">
        <v>98113</v>
      </c>
      <c r="B743" s="48"/>
      <c r="C743" s="1" t="str">
        <f>CONCATENATE(H743,"-",J6)</f>
        <v>2350-j.brąz</v>
      </c>
      <c r="D743" s="49">
        <v>98113</v>
      </c>
      <c r="E743" s="48" t="str">
        <f>+VLOOKUP(A743,cennik!A:G,2,FALSE)</f>
        <v>SEVROLL Comfort tor górny 2,35m jasny brąz</v>
      </c>
      <c r="F743" s="48" t="str">
        <f>+VLOOKUP(A743,cennik!A:B,2,FALSE)</f>
        <v>SEVROLL Comfort tor górny 2,35m jasny brąz</v>
      </c>
      <c r="H743" s="1" t="s">
        <v>465</v>
      </c>
      <c r="I743" s="1" t="str">
        <f>CONCATENATE(H743,"-",J6)</f>
        <v>2350-j.brąz</v>
      </c>
      <c r="Z743" s="1" t="b">
        <f t="shared" si="17"/>
        <v>1</v>
      </c>
    </row>
    <row r="744" spans="1:26" ht="15" customHeight="1" x14ac:dyDescent="0.3">
      <c r="A744" s="49">
        <v>98115</v>
      </c>
      <c r="B744" s="48"/>
      <c r="C744" s="1" t="str">
        <f>CONCATENATE(H744,"-",J6)</f>
        <v>3000-j.brąz</v>
      </c>
      <c r="D744" s="49">
        <v>98115</v>
      </c>
      <c r="E744" s="48" t="str">
        <f>+VLOOKUP(A744,cennik!A:G,2,FALSE)</f>
        <v>SEVROLL Comfort tor górny 3m jasny brąz</v>
      </c>
      <c r="F744" s="48" t="str">
        <f>+VLOOKUP(A744,cennik!A:B,2,FALSE)</f>
        <v>SEVROLL Comfort tor górny 3m jasny brąz</v>
      </c>
      <c r="H744" s="1" t="s">
        <v>466</v>
      </c>
      <c r="I744" s="1" t="str">
        <f>CONCATENATE(H744,"-",J6)</f>
        <v>3000-j.brąz</v>
      </c>
      <c r="Z744" s="1" t="b">
        <f t="shared" si="17"/>
        <v>1</v>
      </c>
    </row>
    <row r="745" spans="1:26" ht="15" customHeight="1" x14ac:dyDescent="0.3">
      <c r="A745" s="49">
        <v>98117</v>
      </c>
      <c r="B745" s="48"/>
      <c r="C745" s="1" t="str">
        <f>CONCATENATE(H745,"-",J6)</f>
        <v>4050-j.brąz</v>
      </c>
      <c r="D745" s="49">
        <v>98117</v>
      </c>
      <c r="E745" s="48" t="str">
        <f>+VLOOKUP(A745,cennik!A:G,2,FALSE)</f>
        <v>SEVROLL Comfort tor górny 4,05m jasny brąz</v>
      </c>
      <c r="F745" s="48" t="str">
        <f>+VLOOKUP(A745,cennik!A:B,2,FALSE)</f>
        <v>SEVROLL Comfort tor górny 4,05m jasny brąz</v>
      </c>
      <c r="H745" s="1" t="s">
        <v>467</v>
      </c>
      <c r="I745" s="1" t="str">
        <f>CONCATENATE(H745,"-",J6)</f>
        <v>4050-j.brąz</v>
      </c>
      <c r="Z745" s="1" t="b">
        <f t="shared" si="17"/>
        <v>1</v>
      </c>
    </row>
    <row r="746" spans="1:26" ht="15" customHeight="1" x14ac:dyDescent="0.3">
      <c r="A746" s="49">
        <v>227197</v>
      </c>
      <c r="B746" s="48"/>
      <c r="C746" s="1" t="str">
        <f>CONCATENATE(H746,"-",J6)</f>
        <v>6000-j.brąz</v>
      </c>
      <c r="D746" s="49">
        <v>227197</v>
      </c>
      <c r="E746" s="48" t="str">
        <f>+VLOOKUP(A746,cennik!A:G,2,FALSE)</f>
        <v>SEVROLL Comfort tor górny 6 m oliwka</v>
      </c>
      <c r="F746" s="48" t="str">
        <f>+VLOOKUP(A746,cennik!A:B,2,FALSE)</f>
        <v>SEVROLL Comfort tor górny 6 m oliwka</v>
      </c>
      <c r="H746" s="144" t="s">
        <v>536</v>
      </c>
      <c r="I746" s="1" t="str">
        <f>CONCATENATE(H746,"-",J6)</f>
        <v>6000-j.brąz</v>
      </c>
      <c r="Z746" s="1" t="b">
        <f t="shared" si="17"/>
        <v>1</v>
      </c>
    </row>
    <row r="747" spans="1:26" ht="15" customHeight="1" x14ac:dyDescent="0.3">
      <c r="A747" s="49">
        <v>163106</v>
      </c>
      <c r="B747" s="48" t="s">
        <v>83</v>
      </c>
      <c r="C747" s="1" t="str">
        <f>CONCATENATE(H747,"-",J4)</f>
        <v>1700-srebrny</v>
      </c>
      <c r="D747" s="49">
        <v>163106</v>
      </c>
      <c r="E747" s="48" t="str">
        <f>+VLOOKUP(A747,cennik!A:G,2,FALSE)</f>
        <v>SEVROLL Doubler II tor dolny 1,7m srebrna</v>
      </c>
      <c r="F747" s="48" t="str">
        <f>+VLOOKUP(A747,cennik!A:B,2,FALSE)</f>
        <v>SEVROLL Doubler II tor dolny 1,7m srebrna</v>
      </c>
      <c r="H747" s="1" t="s">
        <v>464</v>
      </c>
      <c r="I747" s="1" t="str">
        <f>CONCATENATE(H747,"-",J4)</f>
        <v>1700-srebrny</v>
      </c>
      <c r="Z747" s="1" t="b">
        <f t="shared" si="17"/>
        <v>1</v>
      </c>
    </row>
    <row r="748" spans="1:26" ht="15" customHeight="1" x14ac:dyDescent="0.3">
      <c r="A748" s="49">
        <v>163107</v>
      </c>
      <c r="B748" s="48"/>
      <c r="C748" s="1" t="str">
        <f>CONCATENATE(H748,"-",J4)</f>
        <v>2350-srebrny</v>
      </c>
      <c r="D748" s="49">
        <v>163107</v>
      </c>
      <c r="E748" s="48" t="str">
        <f>+VLOOKUP(A748,cennik!A:G,2,FALSE)</f>
        <v>SEVROLL 02850 Doubler II tor dolny 2,35m srebrny</v>
      </c>
      <c r="F748" s="48" t="str">
        <f>+VLOOKUP(A748,cennik!A:B,2,FALSE)</f>
        <v>SEVROLL 02850 Doubler II tor dolny 2,35m srebrny</v>
      </c>
      <c r="H748" s="1" t="s">
        <v>465</v>
      </c>
      <c r="I748" s="1" t="str">
        <f>CONCATENATE(H748,"-",J4)</f>
        <v>2350-srebrny</v>
      </c>
      <c r="Z748" s="1" t="b">
        <f t="shared" si="17"/>
        <v>1</v>
      </c>
    </row>
    <row r="749" spans="1:26" ht="15" customHeight="1" x14ac:dyDescent="0.3">
      <c r="A749" s="49">
        <v>163108</v>
      </c>
      <c r="B749" s="48"/>
      <c r="C749" s="1" t="str">
        <f>CONCATENATE(H749,"-",J4)</f>
        <v>3000-srebrny</v>
      </c>
      <c r="D749" s="49">
        <v>163108</v>
      </c>
      <c r="E749" s="48" t="str">
        <f>+VLOOKUP(A749,cennik!A:G,2,FALSE)</f>
        <v>SEVROLL 02851 Doubler II tor dolny 3m srebrny</v>
      </c>
      <c r="F749" s="48" t="str">
        <f>+VLOOKUP(A749,cennik!A:B,2,FALSE)</f>
        <v>SEVROLL 02851 Doubler II tor dolny 3m srebrny</v>
      </c>
      <c r="H749" s="1" t="s">
        <v>466</v>
      </c>
      <c r="I749" s="1" t="str">
        <f>CONCATENATE(H749,"-",J4)</f>
        <v>3000-srebrny</v>
      </c>
      <c r="Z749" s="1" t="b">
        <f t="shared" si="17"/>
        <v>1</v>
      </c>
    </row>
    <row r="750" spans="1:26" ht="15" customHeight="1" x14ac:dyDescent="0.3">
      <c r="A750" s="49">
        <v>98107</v>
      </c>
      <c r="B750" s="48"/>
      <c r="C750" s="1" t="str">
        <f>CONCATENATE(H750,"-",J4)</f>
        <v>4050-srebrny</v>
      </c>
      <c r="D750" s="49">
        <v>98107</v>
      </c>
      <c r="E750" s="48" t="str">
        <f>+VLOOKUP(A750,cennik!A:G,2,FALSE)</f>
        <v>SEVROLL Doubler II tor dolny 4,05m srebrny</v>
      </c>
      <c r="F750" s="48" t="str">
        <f>+VLOOKUP(A750,cennik!A:B,2,FALSE)</f>
        <v>SEVROLL Doubler II tor dolny 4,05m srebrny</v>
      </c>
      <c r="H750" s="1" t="s">
        <v>467</v>
      </c>
      <c r="I750" s="1" t="str">
        <f>CONCATENATE(H750,"-",J4)</f>
        <v>4050-srebrny</v>
      </c>
      <c r="Z750" s="1" t="b">
        <f t="shared" si="17"/>
        <v>1</v>
      </c>
    </row>
    <row r="751" spans="1:26" ht="15" customHeight="1" x14ac:dyDescent="0.3">
      <c r="A751" s="49">
        <v>163110</v>
      </c>
      <c r="B751" s="48"/>
      <c r="C751" s="1" t="str">
        <f>CONCATENATE(H751,"-",J4)</f>
        <v>6000-srebrny</v>
      </c>
      <c r="D751" s="49">
        <v>163110</v>
      </c>
      <c r="E751" s="48" t="str">
        <f>+VLOOKUP(A751,cennik!A:G,2,FALSE)</f>
        <v>SEVROLL Doubler II tor dolny 6m srebrna</v>
      </c>
      <c r="F751" s="48" t="str">
        <f>+VLOOKUP(A751,cennik!A:B,2,FALSE)</f>
        <v>SEVROLL Doubler II tor dolny 6m srebrna</v>
      </c>
      <c r="H751" s="144" t="s">
        <v>536</v>
      </c>
      <c r="I751" s="1" t="str">
        <f>CONCATENATE(H751,"-",J4)</f>
        <v>6000-srebrny</v>
      </c>
      <c r="Z751" s="1" t="b">
        <f t="shared" si="17"/>
        <v>1</v>
      </c>
    </row>
    <row r="752" spans="1:26" ht="15" customHeight="1" x14ac:dyDescent="0.3">
      <c r="A752" s="49">
        <v>163111</v>
      </c>
      <c r="B752" s="48"/>
      <c r="C752" s="1" t="str">
        <f>CONCATENATE(H752,"-",J6)</f>
        <v>1700-j.brąz</v>
      </c>
      <c r="D752" s="49">
        <v>163111</v>
      </c>
      <c r="E752" s="48" t="str">
        <f>+VLOOKUP(A752,cennik!A:G,2,FALSE)</f>
        <v>SEVROLL Doubler II tor dolny 1,7m jasny brąz</v>
      </c>
      <c r="F752" s="48" t="str">
        <f>+VLOOKUP(A752,cennik!A:B,2,FALSE)</f>
        <v>SEVROLL Doubler II tor dolny 1,7m jasny brąz</v>
      </c>
      <c r="H752" s="1" t="s">
        <v>464</v>
      </c>
      <c r="I752" s="1" t="str">
        <f>CONCATENATE(H752,"-",J6)</f>
        <v>1700-j.brąz</v>
      </c>
      <c r="Z752" s="1" t="b">
        <f t="shared" si="17"/>
        <v>1</v>
      </c>
    </row>
    <row r="753" spans="1:26" ht="15" customHeight="1" x14ac:dyDescent="0.3">
      <c r="A753" s="49">
        <v>163112</v>
      </c>
      <c r="B753" s="48"/>
      <c r="C753" s="1" t="str">
        <f>CONCATENATE(H753,"-",J6)</f>
        <v>2350-j.brąz</v>
      </c>
      <c r="D753" s="49">
        <v>163112</v>
      </c>
      <c r="E753" s="48" t="str">
        <f>+VLOOKUP(A753,cennik!A:G,2,FALSE)</f>
        <v>SEVROLL Doubler II tor dolny 2,35m jasny brąz</v>
      </c>
      <c r="F753" s="48" t="str">
        <f>+VLOOKUP(A753,cennik!A:B,2,FALSE)</f>
        <v>SEVROLL Doubler II tor dolny 2,35m jasny brąz</v>
      </c>
      <c r="H753" s="1" t="s">
        <v>465</v>
      </c>
      <c r="I753" s="1" t="str">
        <f>CONCATENATE(H753,"-",J6)</f>
        <v>2350-j.brąz</v>
      </c>
      <c r="Z753" s="1" t="b">
        <f t="shared" si="17"/>
        <v>1</v>
      </c>
    </row>
    <row r="754" spans="1:26" ht="15" customHeight="1" x14ac:dyDescent="0.3">
      <c r="A754" s="49">
        <v>163113</v>
      </c>
      <c r="B754" s="48"/>
      <c r="C754" s="1" t="str">
        <f>CONCATENATE(H754,"-",J6)</f>
        <v>3000-j.brąz</v>
      </c>
      <c r="D754" s="49">
        <v>163113</v>
      </c>
      <c r="E754" s="48" t="str">
        <f>+VLOOKUP(A754,cennik!A:G,2,FALSE)</f>
        <v>SEVROLL Doubler II tor dolny 3m jasny brąz</v>
      </c>
      <c r="F754" s="48" t="str">
        <f>+VLOOKUP(A754,cennik!A:B,2,FALSE)</f>
        <v>SEVROLL Doubler II tor dolny 3m jasny brąz</v>
      </c>
      <c r="H754" s="1" t="s">
        <v>466</v>
      </c>
      <c r="I754" s="1" t="str">
        <f>CONCATENATE(H754,"-",J6)</f>
        <v>3000-j.brąz</v>
      </c>
      <c r="Z754" s="1" t="b">
        <f t="shared" si="17"/>
        <v>1</v>
      </c>
    </row>
    <row r="755" spans="1:26" ht="15" customHeight="1" x14ac:dyDescent="0.3">
      <c r="A755" s="49">
        <v>163114</v>
      </c>
      <c r="B755" s="48"/>
      <c r="C755" s="1" t="str">
        <f>CONCATENATE(H755,"-",J6)</f>
        <v>4050-j.brąz</v>
      </c>
      <c r="D755" s="49">
        <v>163114</v>
      </c>
      <c r="E755" s="48" t="str">
        <f>+VLOOKUP(A755,cennik!A:G,2,FALSE)</f>
        <v>SEVROLL Doubler II tor dolny 4,05m jasny brąz</v>
      </c>
      <c r="F755" s="48" t="str">
        <f>+VLOOKUP(A755,cennik!A:B,2,FALSE)</f>
        <v>SEVROLL Doubler II tor dolny 4,05m jasny brąz</v>
      </c>
      <c r="H755" s="1" t="s">
        <v>467</v>
      </c>
      <c r="I755" s="1" t="str">
        <f>CONCATENATE(H755,"-",J6)</f>
        <v>4050-j.brąz</v>
      </c>
      <c r="Z755" s="1" t="b">
        <f t="shared" si="17"/>
        <v>1</v>
      </c>
    </row>
    <row r="756" spans="1:26" ht="15" customHeight="1" x14ac:dyDescent="0.3">
      <c r="A756" s="49">
        <v>163115</v>
      </c>
      <c r="B756" s="48"/>
      <c r="C756" s="1" t="str">
        <f>CONCATENATE(H756,"-",J6)</f>
        <v>6000-j.brąz</v>
      </c>
      <c r="D756" s="49">
        <v>163115</v>
      </c>
      <c r="E756" s="48" t="str">
        <f>+VLOOKUP(A756,cennik!A:G,2,FALSE)</f>
        <v>SEVROLL Doubler II tor dolny 6m jasny brąz</v>
      </c>
      <c r="F756" s="48" t="str">
        <f>+VLOOKUP(A756,cennik!A:B,2,FALSE)</f>
        <v>SEVROLL Doubler II tor dolny 6m jasny brąz</v>
      </c>
      <c r="H756" s="144" t="s">
        <v>536</v>
      </c>
      <c r="I756" s="1" t="str">
        <f>CONCATENATE(H756,"-",J6)</f>
        <v>6000-j.brąz</v>
      </c>
      <c r="Z756" s="1" t="b">
        <f t="shared" si="17"/>
        <v>1</v>
      </c>
    </row>
    <row r="757" spans="1:26" ht="15" customHeight="1" x14ac:dyDescent="0.3">
      <c r="A757" s="49">
        <v>163122</v>
      </c>
      <c r="B757" s="48" t="s">
        <v>720</v>
      </c>
      <c r="C757" s="1" t="str">
        <f>CONCATENATE(H757,"-",J4)</f>
        <v>1700-srebrny</v>
      </c>
      <c r="D757" s="49">
        <v>163122</v>
      </c>
      <c r="E757" s="48" t="str">
        <f>+VLOOKUP(A757,cennik!A:G,2,FALSE)</f>
        <v>SEVROLL Doubler II maskownica 1,7m srebrna</v>
      </c>
      <c r="F757" s="48" t="str">
        <f>+VLOOKUP(A757,cennik!A:B,2,FALSE)</f>
        <v>SEVROLL Doubler II maskownica 1,7m srebrna</v>
      </c>
      <c r="H757" s="1" t="s">
        <v>464</v>
      </c>
      <c r="I757" s="1" t="str">
        <f>CONCATENATE(H757,"-",J4)</f>
        <v>1700-srebrny</v>
      </c>
      <c r="Z757" s="1" t="b">
        <f t="shared" si="17"/>
        <v>1</v>
      </c>
    </row>
    <row r="758" spans="1:26" ht="15" customHeight="1" x14ac:dyDescent="0.3">
      <c r="A758" s="49">
        <v>163123</v>
      </c>
      <c r="B758" s="48"/>
      <c r="C758" s="1" t="str">
        <f>CONCATENATE(H758,"-",J4)</f>
        <v>2350-srebrny</v>
      </c>
      <c r="D758" s="49">
        <v>163123</v>
      </c>
      <c r="E758" s="48" t="str">
        <f>+VLOOKUP(A758,cennik!A:G,2,FALSE)</f>
        <v>SEVROLL 02865 Doubler II maskownica 2,35m srebrna</v>
      </c>
      <c r="F758" s="48" t="str">
        <f>+VLOOKUP(A758,cennik!A:B,2,FALSE)</f>
        <v>SEVROLL 02865 Doubler II maskownica 2,35m srebrna</v>
      </c>
      <c r="H758" s="1" t="s">
        <v>465</v>
      </c>
      <c r="I758" s="1" t="str">
        <f>CONCATENATE(H758,"-",J4)</f>
        <v>2350-srebrny</v>
      </c>
      <c r="Z758" s="1" t="b">
        <f t="shared" si="17"/>
        <v>1</v>
      </c>
    </row>
    <row r="759" spans="1:26" ht="15" customHeight="1" x14ac:dyDescent="0.3">
      <c r="A759" s="49">
        <v>163125</v>
      </c>
      <c r="B759" s="48"/>
      <c r="C759" s="1" t="str">
        <f>CONCATENATE(H759,"-",J4)</f>
        <v>3000-srebrny</v>
      </c>
      <c r="D759" s="49">
        <v>163125</v>
      </c>
      <c r="E759" s="48" t="str">
        <f>+VLOOKUP(A759,cennik!A:G,2,FALSE)</f>
        <v>SEVROLL Doubler II maskownica 3m srebrny</v>
      </c>
      <c r="F759" s="48" t="str">
        <f>+VLOOKUP(A759,cennik!A:B,2,FALSE)</f>
        <v>SEVROLL Doubler II maskownica 3m srebrny</v>
      </c>
      <c r="H759" s="1" t="s">
        <v>466</v>
      </c>
      <c r="I759" s="1" t="str">
        <f>CONCATENATE(H759,"-",J4)</f>
        <v>3000-srebrny</v>
      </c>
      <c r="Z759" s="1" t="b">
        <f t="shared" si="17"/>
        <v>1</v>
      </c>
    </row>
    <row r="760" spans="1:26" ht="15" customHeight="1" x14ac:dyDescent="0.3">
      <c r="A760" s="49">
        <v>162670</v>
      </c>
      <c r="B760" s="48"/>
      <c r="C760" s="1" t="str">
        <f>CONCATENATE(H760,"-",J4)</f>
        <v>4050-srebrny</v>
      </c>
      <c r="D760" s="49">
        <v>162670</v>
      </c>
      <c r="E760" s="48" t="str">
        <f>+VLOOKUP(A760,cennik!A:G,2,FALSE)</f>
        <v>SEVROLL 02867 Doubler II maskownica 4,05m srebrna</v>
      </c>
      <c r="F760" s="48" t="str">
        <f>+VLOOKUP(A760,cennik!A:B,2,FALSE)</f>
        <v>SEVROLL 02867 Doubler II maskownica 4,05m srebrna</v>
      </c>
      <c r="H760" s="1" t="s">
        <v>467</v>
      </c>
      <c r="I760" s="1" t="str">
        <f>CONCATENATE(H760,"-",J4)</f>
        <v>4050-srebrny</v>
      </c>
      <c r="Z760" s="1" t="b">
        <f t="shared" si="17"/>
        <v>1</v>
      </c>
    </row>
    <row r="761" spans="1:26" ht="15" customHeight="1" x14ac:dyDescent="0.3">
      <c r="A761" s="49">
        <v>163128</v>
      </c>
      <c r="B761" s="48"/>
      <c r="C761" s="1" t="str">
        <f>CONCATENATE(H761,"-",J4)</f>
        <v>6000-srebrny</v>
      </c>
      <c r="D761" s="49">
        <v>163128</v>
      </c>
      <c r="E761" s="48" t="str">
        <f>+VLOOKUP(A761,cennik!A:G,2,FALSE)</f>
        <v>SEVROLL Doubler II maskownica 6m srebrna</v>
      </c>
      <c r="F761" s="48" t="str">
        <f>+VLOOKUP(A761,cennik!A:B,2,FALSE)</f>
        <v>SEVROLL Doubler II maskownica 6m srebrna</v>
      </c>
      <c r="H761" s="144" t="s">
        <v>536</v>
      </c>
      <c r="I761" s="1" t="str">
        <f>CONCATENATE(H761,"-",J4)</f>
        <v>6000-srebrny</v>
      </c>
      <c r="Z761" s="1" t="b">
        <f t="shared" si="17"/>
        <v>1</v>
      </c>
    </row>
    <row r="762" spans="1:26" ht="15" customHeight="1" x14ac:dyDescent="0.3">
      <c r="A762" s="49">
        <v>163129</v>
      </c>
      <c r="B762" s="48"/>
      <c r="C762" s="1" t="str">
        <f>CONCATENATE(H762,"-",J6)</f>
        <v>1700-j.brąz</v>
      </c>
      <c r="D762" s="49">
        <v>163129</v>
      </c>
      <c r="E762" s="48" t="str">
        <f>+VLOOKUP(A762,cennik!A:G,2,FALSE)</f>
        <v>SEVROLL Doubler II maskownica 1,7m jasny brąz</v>
      </c>
      <c r="F762" s="48" t="str">
        <f>+VLOOKUP(A762,cennik!A:B,2,FALSE)</f>
        <v>SEVROLL Doubler II maskownica 1,7m jasny brąz</v>
      </c>
      <c r="H762" s="1" t="s">
        <v>464</v>
      </c>
      <c r="I762" s="1" t="str">
        <f>CONCATENATE(H762,"-",J6)</f>
        <v>1700-j.brąz</v>
      </c>
      <c r="Z762" s="1" t="b">
        <f t="shared" si="17"/>
        <v>1</v>
      </c>
    </row>
    <row r="763" spans="1:26" ht="15" customHeight="1" x14ac:dyDescent="0.3">
      <c r="A763" s="49">
        <v>163131</v>
      </c>
      <c r="B763" s="48"/>
      <c r="C763" s="1" t="str">
        <f>CONCATENATE(H763,"-",J6)</f>
        <v>2350-j.brąz</v>
      </c>
      <c r="D763" s="49">
        <v>163131</v>
      </c>
      <c r="E763" s="48" t="str">
        <f>+VLOOKUP(A763,cennik!A:G,2,FALSE)</f>
        <v>SEVROLL Doubler II maskownica 2,35m jasny brąz</v>
      </c>
      <c r="F763" s="48" t="str">
        <f>+VLOOKUP(A763,cennik!A:B,2,FALSE)</f>
        <v>SEVROLL Doubler II maskownica 2,35m jasny brąz</v>
      </c>
      <c r="H763" s="1" t="s">
        <v>465</v>
      </c>
      <c r="I763" s="1" t="str">
        <f>CONCATENATE(H763,"-",J6)</f>
        <v>2350-j.brąz</v>
      </c>
      <c r="Z763" s="1" t="b">
        <f t="shared" si="17"/>
        <v>1</v>
      </c>
    </row>
    <row r="764" spans="1:26" ht="15" customHeight="1" x14ac:dyDescent="0.3">
      <c r="A764" s="49">
        <v>163132</v>
      </c>
      <c r="B764" s="48"/>
      <c r="C764" s="1" t="str">
        <f>CONCATENATE(H764,"-",J6)</f>
        <v>3000-j.brąz</v>
      </c>
      <c r="D764" s="49">
        <v>163132</v>
      </c>
      <c r="E764" s="48" t="str">
        <f>+VLOOKUP(A764,cennik!A:G,2,FALSE)</f>
        <v>SEVROLL Doubler II maskownica 3m jasny brąz</v>
      </c>
      <c r="F764" s="48" t="str">
        <f>+VLOOKUP(A764,cennik!A:B,2,FALSE)</f>
        <v>SEVROLL Doubler II maskownica 3m jasny brąz</v>
      </c>
      <c r="H764" s="1" t="s">
        <v>466</v>
      </c>
      <c r="I764" s="1" t="str">
        <f>CONCATENATE(H764,"-",J6)</f>
        <v>3000-j.brąz</v>
      </c>
      <c r="Z764" s="1" t="b">
        <f t="shared" si="17"/>
        <v>1</v>
      </c>
    </row>
    <row r="765" spans="1:26" ht="15" customHeight="1" x14ac:dyDescent="0.3">
      <c r="A765" s="49">
        <v>163133</v>
      </c>
      <c r="B765" s="48"/>
      <c r="C765" s="1" t="str">
        <f>CONCATENATE(H765,"-",J6)</f>
        <v>4050-j.brąz</v>
      </c>
      <c r="D765" s="49">
        <v>163133</v>
      </c>
      <c r="E765" s="48" t="str">
        <f>+VLOOKUP(A765,cennik!A:G,2,FALSE)</f>
        <v>SEVROLL Doubler II maskownica 4,05m jasny brąz</v>
      </c>
      <c r="F765" s="48" t="str">
        <f>+VLOOKUP(A765,cennik!A:B,2,FALSE)</f>
        <v>SEVROLL Doubler II maskownica 4,05m jasny brąz</v>
      </c>
      <c r="H765" s="1" t="s">
        <v>467</v>
      </c>
      <c r="I765" s="1" t="str">
        <f>CONCATENATE(H765,"-",J6)</f>
        <v>4050-j.brąz</v>
      </c>
      <c r="Z765" s="1" t="b">
        <f t="shared" si="17"/>
        <v>1</v>
      </c>
    </row>
    <row r="766" spans="1:26" ht="15" customHeight="1" x14ac:dyDescent="0.3">
      <c r="A766" s="49">
        <v>163134</v>
      </c>
      <c r="B766" s="48"/>
      <c r="C766" s="1" t="str">
        <f>CONCATENATE(H766,"-",J6)</f>
        <v>6000-j.brąz</v>
      </c>
      <c r="D766" s="49">
        <v>163134</v>
      </c>
      <c r="E766" s="48" t="str">
        <f>+VLOOKUP(A766,cennik!A:G,2,FALSE)</f>
        <v>SEVROLL Doubler II maskownica 6m jasny brąz</v>
      </c>
      <c r="F766" s="48" t="str">
        <f>+VLOOKUP(A766,cennik!A:B,2,FALSE)</f>
        <v>SEVROLL Doubler II maskownica 6m jasny brąz</v>
      </c>
      <c r="H766" s="144" t="s">
        <v>536</v>
      </c>
      <c r="I766" s="1" t="str">
        <f>CONCATENATE(H766,"-",J6)</f>
        <v>6000-j.brąz</v>
      </c>
      <c r="Z766" s="1" t="b">
        <f t="shared" si="17"/>
        <v>1</v>
      </c>
    </row>
    <row r="767" spans="1:26" ht="15" customHeight="1" x14ac:dyDescent="0.3">
      <c r="A767" s="49">
        <v>89106</v>
      </c>
      <c r="B767" s="48" t="s">
        <v>92</v>
      </c>
      <c r="C767" s="1" t="str">
        <f>CONCATENATE(H767,"-",J4)</f>
        <v>1700-srebrny</v>
      </c>
      <c r="D767" s="49">
        <v>89106</v>
      </c>
      <c r="E767" s="48" t="str">
        <f>+VLOOKUP(A767,cennik!A:G,2,FALSE)</f>
        <v>SEVROLL 01023 Gemini horní vedení 1,7m stříbrná</v>
      </c>
      <c r="F767" s="48" t="str">
        <f>+VLOOKUP(A767,cennik!A:B,2,FALSE)</f>
        <v>SEVROLL 01023 Gemini horní vedení 1,7m stříbrná</v>
      </c>
      <c r="H767" s="1">
        <v>1700</v>
      </c>
      <c r="I767" s="1" t="str">
        <f>CONCATENATE(H767,"-",J4)</f>
        <v>1700-srebrny</v>
      </c>
      <c r="Z767" s="1" t="b">
        <f t="shared" si="17"/>
        <v>1</v>
      </c>
    </row>
    <row r="768" spans="1:26" ht="15" customHeight="1" x14ac:dyDescent="0.3">
      <c r="A768" s="49">
        <v>89109</v>
      </c>
      <c r="B768" s="48"/>
      <c r="C768" s="1" t="str">
        <f>CONCATENATE(H768,"-",J4)</f>
        <v>2350-srebrny</v>
      </c>
      <c r="D768" s="49">
        <v>89109</v>
      </c>
      <c r="E768" s="48" t="str">
        <f>+VLOOKUP(A768,cennik!A:G,2,FALSE)</f>
        <v>SEVROLL 01025 Gemini horní vedení 2,35m stříbrná</v>
      </c>
      <c r="F768" s="48" t="str">
        <f>+VLOOKUP(A768,cennik!A:B,2,FALSE)</f>
        <v>SEVROLL 01025 Gemini horní vedení 2,35m stříbrná</v>
      </c>
      <c r="H768" s="1">
        <v>2350</v>
      </c>
      <c r="I768" s="1" t="str">
        <f>CONCATENATE(H768,"-",J4)</f>
        <v>2350-srebrny</v>
      </c>
      <c r="Z768" s="1" t="b">
        <f t="shared" si="17"/>
        <v>1</v>
      </c>
    </row>
    <row r="769" spans="1:26" ht="15" customHeight="1" x14ac:dyDescent="0.3">
      <c r="A769" s="49">
        <v>89112</v>
      </c>
      <c r="B769" s="48"/>
      <c r="C769" s="1" t="str">
        <f>CONCATENATE(H769,"-",J4)</f>
        <v>3000-srebrny</v>
      </c>
      <c r="D769" s="49">
        <v>89112</v>
      </c>
      <c r="E769" s="48" t="str">
        <f>+VLOOKUP(A769,cennik!A:G,2,FALSE)</f>
        <v>SEVROLL 01026 Gemini horní vedení 3m stříbrná</v>
      </c>
      <c r="F769" s="48" t="str">
        <f>+VLOOKUP(A769,cennik!A:B,2,FALSE)</f>
        <v>SEVROLL 01026 Gemini horní vedení 3m stříbrná</v>
      </c>
      <c r="H769" s="1">
        <v>3000</v>
      </c>
      <c r="I769" s="1" t="str">
        <f>CONCATENATE(H769,"-",J4)</f>
        <v>3000-srebrny</v>
      </c>
      <c r="Z769" s="1" t="b">
        <f t="shared" si="17"/>
        <v>1</v>
      </c>
    </row>
    <row r="770" spans="1:26" ht="15" customHeight="1" thickBot="1" x14ac:dyDescent="0.35">
      <c r="A770" s="49">
        <v>89115</v>
      </c>
      <c r="B770" s="48"/>
      <c r="C770" s="1" t="str">
        <f>CONCATENATE(H770,"-",J4)</f>
        <v>4050-srebrny</v>
      </c>
      <c r="D770" s="49">
        <v>89115</v>
      </c>
      <c r="E770" s="48" t="str">
        <f>+VLOOKUP(A770,cennik!A:G,2,FALSE)</f>
        <v>SEVROLL 01469 Gemini horní vedení 4,05m stříbrná</v>
      </c>
      <c r="F770" s="48" t="str">
        <f>+VLOOKUP(A770,cennik!A:B,2,FALSE)</f>
        <v>SEVROLL 01469 Gemini horní vedení 4,05m stříbrná</v>
      </c>
      <c r="H770" s="1">
        <v>4050</v>
      </c>
      <c r="I770" s="1" t="str">
        <f>CONCATENATE(H770,"-",J4)</f>
        <v>4050-srebrny</v>
      </c>
      <c r="Z770" s="1" t="b">
        <f t="shared" si="17"/>
        <v>1</v>
      </c>
    </row>
    <row r="771" spans="1:26" ht="15" customHeight="1" thickBot="1" x14ac:dyDescent="0.35">
      <c r="A771" s="49">
        <v>134933</v>
      </c>
      <c r="B771" s="48"/>
      <c r="C771" s="1" t="str">
        <f>CONCATENATE(H771,"-",J4)</f>
        <v>6000-srebrny</v>
      </c>
      <c r="D771" s="49">
        <v>134933</v>
      </c>
      <c r="E771" s="48" t="str">
        <f>+VLOOKUP(A771,cennik!A:G,2,FALSE)</f>
        <v>SEVROLL Gemini tor górny 6m, srebrny</v>
      </c>
      <c r="F771" s="48" t="str">
        <f>+VLOOKUP(A771,cennik!A:B,2,FALSE)</f>
        <v>SEVROLL Gemini tor górny 6m, srebrny</v>
      </c>
      <c r="H771" s="164">
        <v>6000</v>
      </c>
      <c r="I771" s="1" t="str">
        <f>CONCATENATE(H771,"-",J4)</f>
        <v>6000-srebrny</v>
      </c>
      <c r="Z771" s="1" t="b">
        <f t="shared" si="17"/>
        <v>1</v>
      </c>
    </row>
    <row r="772" spans="1:26" ht="15" customHeight="1" x14ac:dyDescent="0.3">
      <c r="A772" s="49">
        <v>84385</v>
      </c>
      <c r="B772" s="48" t="s">
        <v>613</v>
      </c>
      <c r="C772" s="1" t="str">
        <f>CONCATENATE(H772,"-",J4)</f>
        <v>1700-srebrny</v>
      </c>
      <c r="D772" s="49">
        <v>84385</v>
      </c>
      <c r="E772" s="48" t="str">
        <f>+VLOOKUP(A772,cennik!A:G,2,FALSE)</f>
        <v>SEVROLL Elegant II tor dolny 1,7m srebrny</v>
      </c>
      <c r="F772" s="48" t="str">
        <f>+VLOOKUP(A772,cennik!A:B,2,FALSE)</f>
        <v>SEVROLL Elegant II tor dolny 1,7m srebrny</v>
      </c>
      <c r="H772" s="1">
        <v>1700</v>
      </c>
      <c r="I772" s="1" t="str">
        <f>CONCATENATE(H772,"-",J4)</f>
        <v>1700-srebrny</v>
      </c>
      <c r="Z772" s="1" t="b">
        <f t="shared" si="17"/>
        <v>1</v>
      </c>
    </row>
    <row r="773" spans="1:26" ht="15" customHeight="1" x14ac:dyDescent="0.3">
      <c r="A773" s="49">
        <v>84388</v>
      </c>
      <c r="B773" s="48"/>
      <c r="C773" s="1" t="str">
        <f>CONCATENATE(H773,"-",J4)</f>
        <v>2350-srebrny</v>
      </c>
      <c r="D773" s="49">
        <v>84388</v>
      </c>
      <c r="E773" s="48" t="str">
        <f>+VLOOKUP(A773,cennik!A:G,2,FALSE)</f>
        <v>SEVROLL Elegant II tor dolny 2,35m srebrny</v>
      </c>
      <c r="F773" s="48" t="str">
        <f>+VLOOKUP(A773,cennik!A:B,2,FALSE)</f>
        <v>SEVROLL Elegant II tor dolny 2,35m srebrny</v>
      </c>
      <c r="H773" s="1">
        <v>2350</v>
      </c>
      <c r="I773" s="1" t="str">
        <f>CONCATENATE(H773,"-",J4)</f>
        <v>2350-srebrny</v>
      </c>
      <c r="Z773" s="1" t="b">
        <f t="shared" ref="Z773:Z849" si="18">A773=D773</f>
        <v>1</v>
      </c>
    </row>
    <row r="774" spans="1:26" ht="15" customHeight="1" x14ac:dyDescent="0.3">
      <c r="A774" s="49">
        <v>84391</v>
      </c>
      <c r="B774" s="48"/>
      <c r="C774" s="1" t="str">
        <f>CONCATENATE(H774,"-",J4)</f>
        <v>3000-srebrny</v>
      </c>
      <c r="D774" s="49">
        <v>84391</v>
      </c>
      <c r="E774" s="48" t="str">
        <f>+VLOOKUP(A774,cennik!A:G,2,FALSE)</f>
        <v>SEVROLL Elegant II tor dolny 3m srebrny</v>
      </c>
      <c r="F774" s="48" t="str">
        <f>+VLOOKUP(A774,cennik!A:B,2,FALSE)</f>
        <v>SEVROLL Elegant II tor dolny 3m srebrny</v>
      </c>
      <c r="H774" s="1">
        <v>3000</v>
      </c>
      <c r="I774" s="1" t="str">
        <f>CONCATENATE(H774,"-",J4)</f>
        <v>3000-srebrny</v>
      </c>
      <c r="Z774" s="1" t="b">
        <f t="shared" si="18"/>
        <v>1</v>
      </c>
    </row>
    <row r="775" spans="1:26" ht="15" customHeight="1" thickBot="1" x14ac:dyDescent="0.35">
      <c r="A775" s="49">
        <v>84394</v>
      </c>
      <c r="B775" s="48"/>
      <c r="C775" s="1" t="str">
        <f>CONCATENATE(H775,"-",J4)</f>
        <v>4050-srebrny</v>
      </c>
      <c r="D775" s="49">
        <v>84394</v>
      </c>
      <c r="E775" s="48" t="str">
        <f>+VLOOKUP(A775,cennik!A:G,2,FALSE)</f>
        <v>SEVROLL Elegant II tor dolny 4,05m srebrny</v>
      </c>
      <c r="F775" s="48" t="str">
        <f>+VLOOKUP(A775,cennik!A:B,2,FALSE)</f>
        <v>SEVROLL Elegant II tor dolny 4,05m srebrny</v>
      </c>
      <c r="H775" s="1">
        <v>4050</v>
      </c>
      <c r="I775" s="1" t="str">
        <f>CONCATENATE(H775,"-",J4)</f>
        <v>4050-srebrny</v>
      </c>
      <c r="Z775" s="1" t="b">
        <f t="shared" si="18"/>
        <v>1</v>
      </c>
    </row>
    <row r="776" spans="1:26" ht="15" customHeight="1" thickBot="1" x14ac:dyDescent="0.35">
      <c r="A776" s="49">
        <v>350687</v>
      </c>
      <c r="B776" s="48"/>
      <c r="C776" s="1" t="str">
        <f>CONCATENATE(H776,"-",J4)</f>
        <v>6000-srebrny</v>
      </c>
      <c r="D776" s="49">
        <v>350687</v>
      </c>
      <c r="E776" s="48" t="str">
        <f>+VLOOKUP(A776,cennik!A:G,2,FALSE)</f>
        <v>SEVROLL Elegant II tor dolny 6m, srebrny</v>
      </c>
      <c r="F776" s="48" t="str">
        <f>+VLOOKUP(A776,cennik!A:B,2,FALSE)</f>
        <v>SEVROLL Elegant II tor dolny 6m, srebrny</v>
      </c>
      <c r="H776" s="164">
        <v>6000</v>
      </c>
      <c r="I776" s="1" t="str">
        <f>CONCATENATE(H776,"-",J4)</f>
        <v>6000-srebrny</v>
      </c>
      <c r="Z776" s="1" t="b">
        <f t="shared" si="18"/>
        <v>1</v>
      </c>
    </row>
    <row r="777" spans="1:26" ht="15" customHeight="1" x14ac:dyDescent="0.3">
      <c r="A777" s="49">
        <v>496366</v>
      </c>
      <c r="B777" s="48" t="s">
        <v>93</v>
      </c>
      <c r="C777" s="1" t="str">
        <f>CONCATENATE(H777,"-",J4)</f>
        <v>1700-srebrny</v>
      </c>
      <c r="D777" s="49">
        <v>496366</v>
      </c>
      <c r="E777" s="48" t="str">
        <f>+VLOOKUP(A777,cennik!A:G,2,FALSE)</f>
        <v>SEVROLL 05792 GM 18 tor 1,7 m srebrny</v>
      </c>
      <c r="F777" s="48" t="str">
        <f>+VLOOKUP(A777,cennik!A:B,2,FALSE)</f>
        <v>SEVROLL 05792 GM 18 tor 1,7 m srebrny</v>
      </c>
      <c r="H777" s="1">
        <v>1700</v>
      </c>
      <c r="I777" s="1" t="str">
        <f>CONCATENATE(H777,"-",J4)</f>
        <v>1700-srebrny</v>
      </c>
      <c r="Z777" s="1" t="b">
        <f t="shared" si="18"/>
        <v>1</v>
      </c>
    </row>
    <row r="778" spans="1:26" ht="15" customHeight="1" x14ac:dyDescent="0.3">
      <c r="A778" s="49">
        <v>496367</v>
      </c>
      <c r="B778" s="48"/>
      <c r="C778" s="1" t="str">
        <f>CONCATENATE(H778,"-",J4)</f>
        <v>2350-srebrny</v>
      </c>
      <c r="D778" s="49">
        <v>496367</v>
      </c>
      <c r="E778" s="48" t="str">
        <f>+VLOOKUP(A778,cennik!A:G,2,FALSE)</f>
        <v>SEVROLL 05793 GM 18 tor 2,35 m, srebrny</v>
      </c>
      <c r="F778" s="48" t="str">
        <f>+VLOOKUP(A778,cennik!A:B,2,FALSE)</f>
        <v>SEVROLL 05793 GM 18 tor 2,35 m, srebrny</v>
      </c>
      <c r="H778" s="1">
        <v>2350</v>
      </c>
      <c r="I778" s="1" t="str">
        <f>CONCATENATE(H778,"-",J4)</f>
        <v>2350-srebrny</v>
      </c>
      <c r="Z778" s="1" t="b">
        <f t="shared" si="18"/>
        <v>1</v>
      </c>
    </row>
    <row r="779" spans="1:26" ht="15" customHeight="1" x14ac:dyDescent="0.3">
      <c r="A779" s="49">
        <v>496970</v>
      </c>
      <c r="B779" s="48"/>
      <c r="C779" s="1" t="str">
        <f>CONCATENATE(H779,"-",J6)</f>
        <v>1700-j.brąz</v>
      </c>
      <c r="D779" s="49">
        <v>496970</v>
      </c>
      <c r="E779" s="48" t="str">
        <f>+VLOOKUP(A779,cennik!A:G,2,FALSE)</f>
        <v>SEVROLL 05795 GM 18 listwa pozioma górna 1,7m j.brąz</v>
      </c>
      <c r="F779" s="48" t="str">
        <f>+VLOOKUP(A779,cennik!A:B,2,FALSE)</f>
        <v>SEVROLL 05795 GM 18 listwa pozioma górna 1,7m j.brąz</v>
      </c>
      <c r="H779" s="1">
        <v>1700</v>
      </c>
      <c r="I779" s="1" t="str">
        <f>CONCATENATE(H779,"-",J6)</f>
        <v>1700-j.brąz</v>
      </c>
    </row>
    <row r="780" spans="1:26" ht="15" customHeight="1" x14ac:dyDescent="0.3">
      <c r="A780" s="49">
        <v>496971</v>
      </c>
      <c r="B780" s="48"/>
      <c r="C780" s="1" t="str">
        <f>CONCATENATE(H780,"-",J6)</f>
        <v>2350-j.brąz</v>
      </c>
      <c r="D780" s="49">
        <v>496971</v>
      </c>
      <c r="E780" s="48" t="str">
        <f>+VLOOKUP(A780,cennik!A:G,2,FALSE)</f>
        <v>SEVROLL 05796 GM 18 tor 2,35m, j.brąz</v>
      </c>
      <c r="F780" s="48" t="str">
        <f>+VLOOKUP(A780,cennik!A:B,2,FALSE)</f>
        <v>SEVROLL 05796 GM 18 tor 2,35m, j.brąz</v>
      </c>
      <c r="H780" s="1">
        <v>2350</v>
      </c>
      <c r="I780" s="1" t="str">
        <f>CONCATENATE(H780,"-",J6)</f>
        <v>2350-j.brąz</v>
      </c>
    </row>
    <row r="781" spans="1:26" ht="15" customHeight="1" x14ac:dyDescent="0.3">
      <c r="A781" s="49">
        <v>496972</v>
      </c>
      <c r="B781" s="48"/>
      <c r="C781" s="1" t="str">
        <f>CONCATENATE(H781,"-",J6)</f>
        <v>3000-j.brąz</v>
      </c>
      <c r="D781" s="49">
        <v>496972</v>
      </c>
      <c r="E781" s="48" t="str">
        <f>+VLOOKUP(A781,cennik!A:G,2,FALSE)</f>
        <v>SEVROLL 05797 GM 18 listwa pozioma górna 3m, jasny brąz</v>
      </c>
      <c r="F781" s="48" t="str">
        <f>+VLOOKUP(A781,cennik!A:B,2,FALSE)</f>
        <v>SEVROLL 05797 GM 18 listwa pozioma górna 3m, jasny brąz</v>
      </c>
      <c r="H781" s="1">
        <v>3000</v>
      </c>
      <c r="I781" s="1" t="str">
        <f>CONCATENATE(H781,"-",J6)</f>
        <v>3000-j.brąz</v>
      </c>
    </row>
    <row r="782" spans="1:26" ht="15" customHeight="1" x14ac:dyDescent="0.3">
      <c r="A782" s="49">
        <v>496974</v>
      </c>
      <c r="B782" s="48"/>
      <c r="C782" s="1" t="str">
        <f>CONCATENATE(H782,"-",J17)</f>
        <v>1700- czarny mat</v>
      </c>
      <c r="D782" s="49">
        <v>496974</v>
      </c>
      <c r="E782" s="48" t="str">
        <f>+VLOOKUP(A782,cennik!A:G,2,FALSE)</f>
        <v>SEVROLL 05918 GM 18 listwa pozioma górna 1,7m czarny mat</v>
      </c>
      <c r="F782" s="48" t="str">
        <f>+VLOOKUP(A782,cennik!A:B,2,FALSE)</f>
        <v>SEVROLL 05918 GM 18 listwa pozioma górna 1,7m czarny mat</v>
      </c>
      <c r="H782" s="1">
        <v>1700</v>
      </c>
      <c r="I782" s="1" t="str">
        <f>CONCATENATE(H782,"-",J17)</f>
        <v>1700- czarny mat</v>
      </c>
    </row>
    <row r="783" spans="1:26" ht="15" customHeight="1" x14ac:dyDescent="0.3">
      <c r="A783" s="49">
        <v>496977</v>
      </c>
      <c r="B783" s="48"/>
      <c r="C783" s="1" t="str">
        <f>CONCATENATE(H783,"-",J17)</f>
        <v>2350- czarny mat</v>
      </c>
      <c r="D783" s="49">
        <v>496977</v>
      </c>
      <c r="E783" s="48" t="str">
        <f>+VLOOKUP(A783,cennik!A:G,2,FALSE)</f>
        <v>SEVROLL 05919 GM 18 listwa pozioma górna 2,35m, czarny mat</v>
      </c>
      <c r="F783" s="48" t="str">
        <f>+VLOOKUP(A783,cennik!A:B,2,FALSE)</f>
        <v>SEVROLL 05919 GM 18 listwa pozioma górna 2,35m, czarny mat</v>
      </c>
      <c r="H783" s="1">
        <v>2350</v>
      </c>
      <c r="I783" s="1" t="str">
        <f>CONCATENATE(H783,"-",J17)</f>
        <v>2350- czarny mat</v>
      </c>
    </row>
    <row r="784" spans="1:26" ht="15" customHeight="1" x14ac:dyDescent="0.3">
      <c r="A784" s="49">
        <v>496979</v>
      </c>
      <c r="B784" s="48"/>
      <c r="C784" s="1" t="str">
        <f>CONCATENATE(H784,"-",J17)</f>
        <v>3000- czarny mat</v>
      </c>
      <c r="D784" s="49">
        <v>496979</v>
      </c>
      <c r="E784" s="48" t="str">
        <f>+VLOOKUP(A784,cennik!A:G,2,FALSE)</f>
        <v>SEVROLL 05920 GM 18 listwa pozioma górna 3m czarny mat</v>
      </c>
      <c r="F784" s="48" t="str">
        <f>+VLOOKUP(A784,cennik!A:B,2,FALSE)</f>
        <v>SEVROLL 05920 GM 18 listwa pozioma górna 3m czarny mat</v>
      </c>
      <c r="H784" s="1">
        <v>3000</v>
      </c>
      <c r="I784" s="1" t="str">
        <f>CONCATENATE(H784,"-",J17)</f>
        <v>3000- czarny mat</v>
      </c>
    </row>
    <row r="785" spans="1:26" ht="15" customHeight="1" x14ac:dyDescent="0.3">
      <c r="A785" s="49">
        <v>496368</v>
      </c>
      <c r="B785" s="48"/>
      <c r="C785" s="1" t="str">
        <f>CONCATENATE(H785,"-",J4)</f>
        <v>3000-srebrny</v>
      </c>
      <c r="D785" s="49">
        <v>496368</v>
      </c>
      <c r="E785" s="48" t="str">
        <f>+VLOOKUP(A785,cennik!A:G,2,FALSE)</f>
        <v>SEVROLL 05794 GM 18 Maxim tor 3 m, srebrny</v>
      </c>
      <c r="F785" s="48" t="str">
        <f>+VLOOKUP(A785,cennik!A:B,2,FALSE)</f>
        <v>SEVROLL 05794 GM 18 Maxim tor 3 m, srebrny</v>
      </c>
      <c r="H785" s="1">
        <v>3000</v>
      </c>
      <c r="I785" s="1" t="str">
        <f>CONCATENATE(H785,"-",J4)</f>
        <v>3000-srebrny</v>
      </c>
      <c r="Z785" s="1" t="b">
        <f t="shared" si="18"/>
        <v>1</v>
      </c>
    </row>
    <row r="786" spans="1:26" ht="15" customHeight="1" thickBot="1" x14ac:dyDescent="0.35">
      <c r="A786" s="49" t="s">
        <v>111</v>
      </c>
      <c r="B786" s="48"/>
      <c r="C786" s="1" t="str">
        <f>CONCATENATE(H786,"-",J4)</f>
        <v>4300-srebrny</v>
      </c>
      <c r="D786" s="49" t="s">
        <v>111</v>
      </c>
      <c r="E786" s="48" t="e">
        <f>+VLOOKUP(A786,cennik!A:G,2,FALSE)</f>
        <v>#N/A</v>
      </c>
      <c r="F786" s="48" t="e">
        <f>+VLOOKUP(A786,cennik!A:B,2,FALSE)</f>
        <v>#N/A</v>
      </c>
      <c r="H786" s="1" t="s">
        <v>468</v>
      </c>
      <c r="I786" s="1" t="str">
        <f>CONCATENATE(H786,"-",J4)</f>
        <v>4300-srebrny</v>
      </c>
      <c r="Z786" s="1" t="b">
        <f t="shared" si="18"/>
        <v>1</v>
      </c>
    </row>
    <row r="787" spans="1:26" ht="15" customHeight="1" thickBot="1" x14ac:dyDescent="0.35">
      <c r="A787" s="49" t="s">
        <v>111</v>
      </c>
      <c r="B787" s="48"/>
      <c r="C787" s="1" t="str">
        <f>CONCATENATE(H787,"-",J4)</f>
        <v>6000-srebrny</v>
      </c>
      <c r="D787" s="49" t="s">
        <v>111</v>
      </c>
      <c r="E787" s="48" t="e">
        <f>+VLOOKUP(A787,cennik!A:G,2,FALSE)</f>
        <v>#N/A</v>
      </c>
      <c r="F787" s="48" t="e">
        <f>+VLOOKUP(A787,cennik!A:B,2,FALSE)</f>
        <v>#N/A</v>
      </c>
      <c r="H787" s="164">
        <v>6000</v>
      </c>
      <c r="I787" s="1" t="str">
        <f>CONCATENATE(H787,"-",J4)</f>
        <v>6000-srebrny</v>
      </c>
      <c r="Z787" s="1" t="b">
        <f t="shared" si="18"/>
        <v>1</v>
      </c>
    </row>
    <row r="788" spans="1:26" ht="15" customHeight="1" x14ac:dyDescent="0.3">
      <c r="A788" s="49">
        <v>318657</v>
      </c>
      <c r="B788" s="48" t="s">
        <v>614</v>
      </c>
      <c r="C788" s="1" t="str">
        <f>CONCATENATE(H788,"-",J4)</f>
        <v>1700-srebrny</v>
      </c>
      <c r="D788" s="49">
        <v>318657</v>
      </c>
      <c r="E788" s="48" t="str">
        <f>+VLOOKUP(A788,cennik!A:G,2,FALSE)</f>
        <v>SEVROLL zaślepka do toru Elegant II 1,7m srebrny</v>
      </c>
      <c r="F788" s="48" t="str">
        <f>+VLOOKUP(A788,cennik!A:B,2,FALSE)</f>
        <v>SEVROLL zaślepka do toru Elegant II 1,7m srebrny</v>
      </c>
      <c r="H788" s="1">
        <v>1700</v>
      </c>
      <c r="I788" s="1" t="str">
        <f>CONCATENATE(H788,"-",J4)</f>
        <v>1700-srebrny</v>
      </c>
      <c r="Z788" s="1" t="b">
        <f t="shared" si="18"/>
        <v>1</v>
      </c>
    </row>
    <row r="789" spans="1:26" ht="15" customHeight="1" x14ac:dyDescent="0.3">
      <c r="A789" s="49">
        <v>318660</v>
      </c>
      <c r="B789" s="48"/>
      <c r="C789" s="1" t="str">
        <f>CONCATENATE(H789,"-",J4)</f>
        <v>2350-srebrny</v>
      </c>
      <c r="D789" s="49">
        <v>318660</v>
      </c>
      <c r="E789" s="48" t="str">
        <f>+VLOOKUP(A789,cennik!A:G,2,FALSE)</f>
        <v>SEVROLL zaślepka do toru Elegant II 2,35m srebrny</v>
      </c>
      <c r="F789" s="48" t="str">
        <f>+VLOOKUP(A789,cennik!A:B,2,FALSE)</f>
        <v>SEVROLL zaślepka do toru Elegant II 2,35m srebrny</v>
      </c>
      <c r="H789" s="1">
        <v>2350</v>
      </c>
      <c r="I789" s="1" t="str">
        <f>CONCATENATE(H789,"-",J4)</f>
        <v>2350-srebrny</v>
      </c>
      <c r="Z789" s="1" t="b">
        <f t="shared" si="18"/>
        <v>1</v>
      </c>
    </row>
    <row r="790" spans="1:26" ht="15" customHeight="1" x14ac:dyDescent="0.3">
      <c r="A790" s="49">
        <v>345408</v>
      </c>
      <c r="B790" s="48"/>
      <c r="C790" s="1" t="str">
        <f>CONCATENATE(H790,"-",J4)</f>
        <v>3000-srebrny</v>
      </c>
      <c r="D790" s="49">
        <v>345408</v>
      </c>
      <c r="E790" s="48" t="str">
        <f>+VLOOKUP(A790,cennik!A:G,2,FALSE)</f>
        <v>SEVROLL zaślepka do toru Elegant II 3m srebrny</v>
      </c>
      <c r="F790" s="48" t="str">
        <f>+VLOOKUP(A790,cennik!A:B,2,FALSE)</f>
        <v>SEVROLL zaślepka do toru Elegant II 3m srebrny</v>
      </c>
      <c r="H790" s="1">
        <v>3000</v>
      </c>
      <c r="I790" s="1" t="str">
        <f>CONCATENATE(H790,"-",J4)</f>
        <v>3000-srebrny</v>
      </c>
      <c r="Z790" s="1" t="b">
        <f t="shared" si="18"/>
        <v>1</v>
      </c>
    </row>
    <row r="791" spans="1:26" ht="15" customHeight="1" x14ac:dyDescent="0.3">
      <c r="A791" s="49">
        <v>345776</v>
      </c>
      <c r="B791" s="48"/>
      <c r="C791" s="1" t="str">
        <f>CONCATENATE(H791,"-",J4)</f>
        <v>4050-srebrny</v>
      </c>
      <c r="D791" s="49">
        <v>345776</v>
      </c>
      <c r="E791" s="48" t="str">
        <f>+VLOOKUP(A791,cennik!A:G,2,FALSE)</f>
        <v>SEVROLL zaślepka do toru Elegant II 4,05m srebrny</v>
      </c>
      <c r="F791" s="48" t="str">
        <f>+VLOOKUP(A791,cennik!A:B,2,FALSE)</f>
        <v>SEVROLL zaślepka do toru Elegant II 4,05m srebrny</v>
      </c>
      <c r="H791" s="1">
        <v>4050</v>
      </c>
      <c r="I791" s="1" t="str">
        <f>CONCATENATE(H791,"-",J4)</f>
        <v>4050-srebrny</v>
      </c>
      <c r="Z791" s="1" t="b">
        <f t="shared" si="18"/>
        <v>1</v>
      </c>
    </row>
    <row r="792" spans="1:26" ht="15" customHeight="1" x14ac:dyDescent="0.3">
      <c r="A792" s="49">
        <v>346118</v>
      </c>
      <c r="B792" s="48"/>
      <c r="C792" s="1" t="str">
        <f>CONCATENATE(H792,"-",J4)</f>
        <v>6000-srebrny</v>
      </c>
      <c r="D792" s="49">
        <v>346118</v>
      </c>
      <c r="E792" s="48" t="str">
        <f>+VLOOKUP(A792,cennik!A:G,2,FALSE)</f>
        <v>SEVROLL maska do toru Elegant II 6 m srebrny</v>
      </c>
      <c r="F792" s="48" t="str">
        <f>+VLOOKUP(A792,cennik!A:B,2,FALSE)</f>
        <v>SEVROLL maska do toru Elegant II 6 m srebrny</v>
      </c>
      <c r="H792" s="165">
        <v>6000</v>
      </c>
      <c r="I792" s="1" t="str">
        <f>CONCATENATE(H792,"-",J4)</f>
        <v>6000-srebrny</v>
      </c>
      <c r="Z792" s="1" t="b">
        <f t="shared" si="18"/>
        <v>1</v>
      </c>
    </row>
    <row r="793" spans="1:26" ht="15" customHeight="1" x14ac:dyDescent="0.3">
      <c r="A793" s="49">
        <v>496369</v>
      </c>
      <c r="B793" s="48" t="s">
        <v>94</v>
      </c>
      <c r="C793" s="1" t="str">
        <f>CONCATENATE(H793,"-",J4)</f>
        <v>1700-srebrny</v>
      </c>
      <c r="D793" s="49">
        <v>496369</v>
      </c>
      <c r="E793" s="48" t="str">
        <f>+VLOOKUP(A793,cennik!A:G,2,FALSE)</f>
        <v>SEVROLL 05798 GM 18 maskownica dolna 1,7 m, 18 mm, srebrna</v>
      </c>
      <c r="F793" s="48" t="str">
        <f>+VLOOKUP(A793,cennik!A:B,2,FALSE)</f>
        <v>SEVROLL 05798 GM 18 maskownica dolna 1,7 m, 18 mm, srebrna</v>
      </c>
      <c r="H793" s="1">
        <v>1700</v>
      </c>
      <c r="I793" s="1" t="str">
        <f>CONCATENATE(H793,"-",J4)</f>
        <v>1700-srebrny</v>
      </c>
      <c r="Z793" s="1" t="b">
        <f t="shared" si="18"/>
        <v>1</v>
      </c>
    </row>
    <row r="794" spans="1:26" ht="15" customHeight="1" x14ac:dyDescent="0.3">
      <c r="A794" s="49">
        <v>496370</v>
      </c>
      <c r="B794" s="48"/>
      <c r="C794" s="1" t="str">
        <f>CONCATENATE(H794,"-",J4)</f>
        <v>2350-srebrny</v>
      </c>
      <c r="D794" s="49">
        <v>496370</v>
      </c>
      <c r="E794" s="48" t="str">
        <f>+VLOOKUP(A794,cennik!A:G,2,FALSE)</f>
        <v>SEVROLL 05799 GM 18 maskownica dolna 2,35 m, 18mm srebrna</v>
      </c>
      <c r="F794" s="48" t="str">
        <f>+VLOOKUP(A794,cennik!A:B,2,FALSE)</f>
        <v>SEVROLL 05799 GM 18 maskownica dolna 2,35 m, 18mm srebrna</v>
      </c>
      <c r="H794" s="1">
        <v>2350</v>
      </c>
      <c r="I794" s="1" t="str">
        <f>CONCATENATE(H794,"-",J4)</f>
        <v>2350-srebrny</v>
      </c>
      <c r="Z794" s="1" t="b">
        <f t="shared" si="18"/>
        <v>1</v>
      </c>
    </row>
    <row r="795" spans="1:26" ht="15" customHeight="1" x14ac:dyDescent="0.3">
      <c r="A795" s="49">
        <v>496946</v>
      </c>
      <c r="B795" s="48"/>
      <c r="C795" s="1" t="str">
        <f>CONCATENATE(H795,"-",J6)</f>
        <v>1700-j.brąz</v>
      </c>
      <c r="D795" s="49">
        <v>496946</v>
      </c>
      <c r="E795" s="48" t="str">
        <f>+VLOOKUP(A795,cennik!A:G,2,FALSE)</f>
        <v>SEVROLL 05801 GM 18 listwa pozioma dolna 1,7m 18mm srebrny</v>
      </c>
      <c r="F795" s="48" t="str">
        <f>+VLOOKUP(A795,cennik!A:B,2,FALSE)</f>
        <v>SEVROLL 05801 GM 18 listwa pozioma dolna 1,7m 18mm srebrny</v>
      </c>
      <c r="H795" s="1">
        <v>1700</v>
      </c>
      <c r="I795" s="1" t="str">
        <f>CONCATENATE(H795,"-",J6)</f>
        <v>1700-j.brąz</v>
      </c>
    </row>
    <row r="796" spans="1:26" ht="15" customHeight="1" x14ac:dyDescent="0.3">
      <c r="A796" s="49">
        <v>496947</v>
      </c>
      <c r="B796" s="48"/>
      <c r="C796" s="1" t="str">
        <f>CONCATENATE(H796,"-",J6)</f>
        <v>2350-j.brąz</v>
      </c>
      <c r="D796" s="49">
        <v>496947</v>
      </c>
      <c r="E796" s="48" t="str">
        <f>+VLOOKUP(A796,cennik!A:G,2,FALSE)</f>
        <v>SEVROLL 05913 GM 18 listwa pozioma dolna 2,35m, j.brąz</v>
      </c>
      <c r="F796" s="48" t="str">
        <f>+VLOOKUP(A796,cennik!A:B,2,FALSE)</f>
        <v>SEVROLL 05913 GM 18 listwa pozioma dolna 2,35m, j.brąz</v>
      </c>
      <c r="H796" s="1">
        <v>2350</v>
      </c>
      <c r="I796" s="1" t="str">
        <f>CONCATENATE(H796,"-",J6)</f>
        <v>2350-j.brąz</v>
      </c>
    </row>
    <row r="797" spans="1:26" ht="15" customHeight="1" x14ac:dyDescent="0.3">
      <c r="A797" s="49">
        <v>496951</v>
      </c>
      <c r="B797" s="48"/>
      <c r="C797" s="1" t="str">
        <f>CONCATENATE(H797,"-",J6)</f>
        <v>3000-j.brąz</v>
      </c>
      <c r="D797" s="49">
        <v>496951</v>
      </c>
      <c r="E797" s="48" t="str">
        <f>+VLOOKUP(A797,cennik!A:G,2,FALSE)</f>
        <v>SEVROLL 05803 GM 18 listwa pozioma dolna 3m 18mm, jasny brąz</v>
      </c>
      <c r="F797" s="48" t="str">
        <f>+VLOOKUP(A797,cennik!A:B,2,FALSE)</f>
        <v>SEVROLL 05803 GM 18 listwa pozioma dolna 3m 18mm, jasny brąz</v>
      </c>
      <c r="H797" s="1">
        <v>3000</v>
      </c>
      <c r="I797" s="1" t="str">
        <f>CONCATENATE(H797,"-",J6)</f>
        <v>3000-j.brąz</v>
      </c>
    </row>
    <row r="798" spans="1:26" ht="15" customHeight="1" x14ac:dyDescent="0.3">
      <c r="A798" s="49">
        <v>496952</v>
      </c>
      <c r="B798" s="48"/>
      <c r="C798" s="1" t="str">
        <f>CONCATENATE(H798,"-",J17)</f>
        <v>1700- czarny mat</v>
      </c>
      <c r="D798" s="49">
        <v>496952</v>
      </c>
      <c r="E798" s="48" t="str">
        <f>+VLOOKUP(A798,cennik!A:G,2,FALSE)</f>
        <v>SEVROLL 05912 GM 18 listwa pozioma dolna 1,7m 18mm czarny mat</v>
      </c>
      <c r="F798" s="48" t="str">
        <f>+VLOOKUP(A798,cennik!A:B,2,FALSE)</f>
        <v>SEVROLL 05912 GM 18 listwa pozioma dolna 1,7m 18mm czarny mat</v>
      </c>
      <c r="H798" s="1">
        <v>1700</v>
      </c>
      <c r="I798" s="1" t="str">
        <f>CONCATENATE(H798,"-",J17)</f>
        <v>1700- czarny mat</v>
      </c>
    </row>
    <row r="799" spans="1:26" ht="15" customHeight="1" x14ac:dyDescent="0.3">
      <c r="A799" s="49">
        <v>496955</v>
      </c>
      <c r="B799" s="48"/>
      <c r="C799" s="1" t="str">
        <f>CONCATENATE(H799,"-",J17)</f>
        <v>2350- czarny mat</v>
      </c>
      <c r="D799" s="49">
        <v>496955</v>
      </c>
      <c r="E799" s="48" t="str">
        <f>+VLOOKUP(A799,cennik!A:G,2,FALSE)</f>
        <v>SEVROLL 05913 GM 18 listwa pozioma dolna 2,35m, czarny mat</v>
      </c>
      <c r="F799" s="48" t="str">
        <f>+VLOOKUP(A799,cennik!A:B,2,FALSE)</f>
        <v>SEVROLL 05913 GM 18 listwa pozioma dolna 2,35m, czarny mat</v>
      </c>
      <c r="H799" s="1">
        <v>2350</v>
      </c>
      <c r="I799" s="1" t="str">
        <f>CONCATENATE(H799,"-",J17)</f>
        <v>2350- czarny mat</v>
      </c>
    </row>
    <row r="800" spans="1:26" ht="15" customHeight="1" x14ac:dyDescent="0.3">
      <c r="A800" s="49">
        <v>496957</v>
      </c>
      <c r="B800" s="48"/>
      <c r="C800" s="1" t="str">
        <f>CONCATENATE(H800,"-",J17)</f>
        <v>3000- czarny mat</v>
      </c>
      <c r="D800" s="49">
        <v>496957</v>
      </c>
      <c r="E800" s="48" t="str">
        <f>+VLOOKUP(A800,cennik!A:G,2,FALSE)</f>
        <v>SEVROLL 05803 GM 18 listwa pozioma dolna 3m 18mm, czarny mat</v>
      </c>
      <c r="F800" s="48" t="str">
        <f>+VLOOKUP(A800,cennik!A:B,2,FALSE)</f>
        <v>SEVROLL 05803 GM 18 listwa pozioma dolna 3m 18mm, czarny mat</v>
      </c>
      <c r="H800" s="1">
        <v>3000</v>
      </c>
      <c r="I800" s="1" t="str">
        <f>CONCATENATE(H800,"-",J17)</f>
        <v>3000- czarny mat</v>
      </c>
    </row>
    <row r="801" spans="1:26" ht="15" customHeight="1" x14ac:dyDescent="0.3">
      <c r="A801" s="49">
        <v>496371</v>
      </c>
      <c r="B801" s="48"/>
      <c r="C801" s="1" t="str">
        <f>CONCATENATE(H801,"-",J4)</f>
        <v>3000-srebrny</v>
      </c>
      <c r="D801" s="49">
        <v>496371</v>
      </c>
      <c r="E801" s="48" t="str">
        <f>+VLOOKUP(A801,cennik!A:G,2,FALSE)</f>
        <v>SEVROLL 05800 GM 18 maskownica dolna 3 m, 18mm  srebrna</v>
      </c>
      <c r="F801" s="48" t="str">
        <f>+VLOOKUP(A801,cennik!A:B,2,FALSE)</f>
        <v>SEVROLL 05800 GM 18 maskownica dolna 3 m, 18mm  srebrna</v>
      </c>
      <c r="H801" s="1">
        <v>3000</v>
      </c>
      <c r="I801" s="1" t="str">
        <f>CONCATENATE(H801,"-",J4)</f>
        <v>3000-srebrny</v>
      </c>
      <c r="Z801" s="1" t="b">
        <f t="shared" si="18"/>
        <v>1</v>
      </c>
    </row>
    <row r="802" spans="1:26" ht="15" customHeight="1" x14ac:dyDescent="0.3">
      <c r="A802" s="49" t="s">
        <v>111</v>
      </c>
      <c r="B802" s="48"/>
      <c r="C802" s="1" t="str">
        <f>CONCATENATE(H802,"-",J4)</f>
        <v>4300-srebrny</v>
      </c>
      <c r="D802" s="49" t="s">
        <v>111</v>
      </c>
      <c r="E802" s="48" t="e">
        <f>+VLOOKUP(A802,cennik!A:G,2,FALSE)</f>
        <v>#N/A</v>
      </c>
      <c r="F802" s="48" t="e">
        <f>+VLOOKUP(A802,cennik!A:B,2,FALSE)</f>
        <v>#N/A</v>
      </c>
      <c r="H802" s="1" t="s">
        <v>468</v>
      </c>
      <c r="I802" s="1" t="str">
        <f>CONCATENATE(H802,"-",J4)</f>
        <v>4300-srebrny</v>
      </c>
      <c r="Z802" s="1" t="b">
        <f t="shared" si="18"/>
        <v>1</v>
      </c>
    </row>
    <row r="803" spans="1:26" ht="15" customHeight="1" x14ac:dyDescent="0.3">
      <c r="A803" s="49" t="s">
        <v>111</v>
      </c>
      <c r="B803" s="48"/>
      <c r="C803" s="1" t="str">
        <f>CONCATENATE(H803,"-",J4)</f>
        <v>6000-srebrny</v>
      </c>
      <c r="D803" s="49" t="s">
        <v>111</v>
      </c>
      <c r="E803" s="48" t="e">
        <f>+VLOOKUP(A803,cennik!A:G,2,FALSE)</f>
        <v>#N/A</v>
      </c>
      <c r="F803" s="48" t="e">
        <f>+VLOOKUP(A803,cennik!A:B,2,FALSE)</f>
        <v>#N/A</v>
      </c>
      <c r="H803" s="165">
        <v>6000</v>
      </c>
      <c r="I803" s="1" t="str">
        <f>CONCATENATE(H803,"-",J4)</f>
        <v>6000-srebrny</v>
      </c>
      <c r="Z803" s="1" t="b">
        <f t="shared" si="18"/>
        <v>1</v>
      </c>
    </row>
    <row r="804" spans="1:26" ht="15" customHeight="1" x14ac:dyDescent="0.3">
      <c r="A804" s="49">
        <v>496998</v>
      </c>
      <c r="B804" s="48"/>
      <c r="D804" s="49">
        <v>496998</v>
      </c>
      <c r="E804" s="48" t="str">
        <f>+VLOOKUP(A804,cennik!A:G,2,FALSE)</f>
        <v>SEVROLL 05689 GM 18 wózek górny 18mm - 2 szt.</v>
      </c>
      <c r="F804" s="48" t="str">
        <f>+VLOOKUP(A804,cennik!A:B,2,FALSE)</f>
        <v>SEVROLL 05689 GM 18 wózek górny 18mm - 2 szt.</v>
      </c>
      <c r="H804" s="165"/>
      <c r="J804" s="152"/>
      <c r="K804" s="152"/>
      <c r="L804" s="152"/>
      <c r="M804" s="152"/>
      <c r="N804" s="152"/>
      <c r="Z804" s="1" t="b">
        <f t="shared" si="18"/>
        <v>1</v>
      </c>
    </row>
    <row r="805" spans="1:26" ht="15" customHeight="1" x14ac:dyDescent="0.3">
      <c r="A805" s="49">
        <v>489292</v>
      </c>
      <c r="B805" s="48" t="s">
        <v>846</v>
      </c>
      <c r="C805" s="1" t="str">
        <f>J4</f>
        <v>srebrny</v>
      </c>
      <c r="D805" s="49">
        <v>489292</v>
      </c>
      <c r="E805" s="48" t="str">
        <f>+VLOOKUP(A805,cennik!A:G,2,FALSE)</f>
        <v>SEVROLL 05788 Arte GM 18 rączka 2,7m srebrny</v>
      </c>
      <c r="F805" s="48" t="str">
        <f>+VLOOKUP(A805,cennik!A:B,2,FALSE)</f>
        <v>SEVROLL 05788 Arte GM 18 rączka 2,7m srebrny</v>
      </c>
      <c r="H805" s="165"/>
      <c r="I805" s="1" t="str">
        <f>J4</f>
        <v>srebrny</v>
      </c>
      <c r="J805" s="152"/>
      <c r="K805" s="152"/>
      <c r="L805" s="152"/>
      <c r="M805" s="152"/>
      <c r="N805" s="152"/>
      <c r="Z805" s="1" t="b">
        <f t="shared" si="18"/>
        <v>1</v>
      </c>
    </row>
    <row r="806" spans="1:26" ht="15" customHeight="1" x14ac:dyDescent="0.3">
      <c r="A806" s="49">
        <v>143983</v>
      </c>
      <c r="B806" s="48" t="s">
        <v>567</v>
      </c>
      <c r="C806" s="1" t="str">
        <f>J4</f>
        <v>srebrny</v>
      </c>
      <c r="D806" s="49">
        <v>143983</v>
      </c>
      <c r="E806" s="48" t="str">
        <f>+VLOOKUP(A806,cennik!A:G,2,FALSE)</f>
        <v>SEVROLL 02777 Ergo rączka 2,7m srebrna</v>
      </c>
      <c r="F806" s="48" t="str">
        <f>+VLOOKUP(A806,cennik!A:B,2,FALSE)</f>
        <v>SEVROLL 02777 Ergo rączka 2,7m srebrna</v>
      </c>
      <c r="I806" s="1" t="str">
        <f>J4</f>
        <v>srebrny</v>
      </c>
      <c r="J806" s="152"/>
      <c r="K806" s="152"/>
      <c r="L806" s="152"/>
      <c r="M806" s="152"/>
      <c r="N806" s="152"/>
      <c r="Z806" s="1" t="b">
        <f t="shared" si="18"/>
        <v>1</v>
      </c>
    </row>
    <row r="807" spans="1:26" ht="15" customHeight="1" x14ac:dyDescent="0.3">
      <c r="A807" s="49">
        <v>143984</v>
      </c>
      <c r="B807" s="48"/>
      <c r="C807" s="1" t="str">
        <f>J6</f>
        <v>j.brąz</v>
      </c>
      <c r="D807" s="49">
        <v>143984</v>
      </c>
      <c r="E807" s="48" t="str">
        <f>+VLOOKUP(A807,cennik!A:G,2,FALSE)</f>
        <v>SEVROLL 02776 Ergo rączka 2,7m jasny brąz</v>
      </c>
      <c r="F807" s="48" t="str">
        <f>+VLOOKUP(A807,cennik!A:B,2,FALSE)</f>
        <v>SEVROLL 02776 Ergo rączka 2,7m jasny brąz</v>
      </c>
      <c r="I807" s="1" t="str">
        <f>J6</f>
        <v>j.brąz</v>
      </c>
      <c r="J807" s="152"/>
      <c r="K807" s="152"/>
      <c r="L807" s="152"/>
      <c r="M807" s="152"/>
      <c r="N807" s="152"/>
      <c r="Z807" s="1" t="b">
        <f t="shared" si="18"/>
        <v>1</v>
      </c>
    </row>
    <row r="808" spans="1:26" ht="15" customHeight="1" x14ac:dyDescent="0.3">
      <c r="A808" s="49">
        <v>179196</v>
      </c>
      <c r="B808" s="48" t="s">
        <v>728</v>
      </c>
      <c r="C808" s="1" t="str">
        <f>J4</f>
        <v>srebrny</v>
      </c>
      <c r="D808" s="49">
        <v>179196</v>
      </c>
      <c r="E808" s="48" t="str">
        <f>+VLOOKUP(A808,cennik!A:G,2,FALSE)</f>
        <v>SEVROLL Faworyt II rączka 2,7m srebrny</v>
      </c>
      <c r="F808" s="48" t="str">
        <f>+VLOOKUP(A808,cennik!A:B,2,FALSE)</f>
        <v>SEVROLL Faworyt II rączka 2,7m srebrny</v>
      </c>
      <c r="I808" s="1" t="str">
        <f>J4</f>
        <v>srebrny</v>
      </c>
      <c r="J808" s="152"/>
      <c r="K808" s="152"/>
      <c r="L808" s="152"/>
      <c r="M808" s="152"/>
      <c r="N808" s="152"/>
      <c r="Z808" s="1" t="b">
        <f t="shared" si="18"/>
        <v>1</v>
      </c>
    </row>
    <row r="809" spans="1:26" ht="15" customHeight="1" x14ac:dyDescent="0.3">
      <c r="A809" s="1">
        <v>452601</v>
      </c>
      <c r="C809" s="1" t="str">
        <f>J17</f>
        <v> czarny mat</v>
      </c>
      <c r="D809" s="1">
        <v>452601</v>
      </c>
      <c r="E809" s="48" t="str">
        <f>+VLOOKUP(A809,cennik!A:G,2,FALSE)</f>
        <v>SEVROLL 05306 Faworyt II rączka 2,7 m, czarna matowa</v>
      </c>
      <c r="F809" s="48" t="str">
        <f>+VLOOKUP(A809,cennik!A:B,2,FALSE)</f>
        <v>SEVROLL 05306 Faworyt II rączka 2,7 m, czarna matowa</v>
      </c>
      <c r="I809" s="1" t="str">
        <f>J17</f>
        <v> czarny mat</v>
      </c>
      <c r="J809" s="152"/>
      <c r="K809" s="152"/>
      <c r="L809" s="152"/>
      <c r="M809" s="152"/>
      <c r="N809" s="152"/>
      <c r="Z809" s="1" t="b">
        <f t="shared" si="18"/>
        <v>1</v>
      </c>
    </row>
    <row r="810" spans="1:26" ht="15" customHeight="1" x14ac:dyDescent="0.3">
      <c r="A810" s="436">
        <v>276742</v>
      </c>
      <c r="B810" s="437"/>
      <c r="C810" s="1" t="str">
        <f>J18</f>
        <v>biały mat</v>
      </c>
      <c r="D810" s="436">
        <v>276742</v>
      </c>
      <c r="E810" s="48" t="str">
        <f>+VLOOKUP(A810,cennik!A:G,2,FALSE)</f>
        <v>SEVROLL Faworyt II rączka 2,7 m, biała matowa</v>
      </c>
      <c r="F810" s="48" t="str">
        <f>+VLOOKUP(A810,cennik!A:B,2,FALSE)</f>
        <v>SEVROLL Faworyt II rączka 2,7 m, biała matowa</v>
      </c>
      <c r="G810" s="437"/>
      <c r="H810" s="437"/>
      <c r="I810" s="1" t="str">
        <f>J18</f>
        <v>biały mat</v>
      </c>
      <c r="J810" s="152"/>
      <c r="K810" s="152"/>
      <c r="L810" s="152"/>
      <c r="M810" s="152"/>
      <c r="N810" s="152"/>
      <c r="Z810" s="1" t="b">
        <f t="shared" si="18"/>
        <v>1</v>
      </c>
    </row>
    <row r="811" spans="1:26" ht="15" customHeight="1" x14ac:dyDescent="0.3">
      <c r="A811" s="49">
        <v>135706</v>
      </c>
      <c r="B811" s="48"/>
      <c r="C811" s="1" t="str">
        <f>J6</f>
        <v>j.brąz</v>
      </c>
      <c r="D811" s="49">
        <v>135706</v>
      </c>
      <c r="E811" s="48" t="str">
        <f>+VLOOKUP(A811,cennik!A:G,2,FALSE)</f>
        <v>SEVROLL Faworyt II rączka 2,7m jasny brąz</v>
      </c>
      <c r="F811" s="48" t="str">
        <f>+VLOOKUP(A811,cennik!A:B,2,FALSE)</f>
        <v>SEVROLL Faworyt II rączka 2,7m jasny brąz</v>
      </c>
      <c r="I811" s="1" t="str">
        <f>J6</f>
        <v>j.brąz</v>
      </c>
      <c r="J811" s="152"/>
      <c r="K811" s="152"/>
      <c r="L811" s="152"/>
      <c r="M811" s="152"/>
      <c r="N811" s="152"/>
      <c r="Z811" s="1" t="b">
        <f t="shared" si="18"/>
        <v>1</v>
      </c>
    </row>
    <row r="812" spans="1:26" ht="15" customHeight="1" x14ac:dyDescent="0.3">
      <c r="A812" s="49">
        <v>252569</v>
      </c>
      <c r="B812" s="48"/>
      <c r="C812" s="1" t="str">
        <f>J15</f>
        <v> biały połysk</v>
      </c>
      <c r="D812" s="49">
        <v>252569</v>
      </c>
      <c r="E812" s="48" t="str">
        <f>+VLOOKUP(A812,cennik!A:G,2,FALSE)</f>
        <v>SEVROLL Faworyt II rączka 2,7m biały połysk</v>
      </c>
      <c r="F812" s="48" t="str">
        <f>+VLOOKUP(A812,cennik!A:B,2,FALSE)</f>
        <v>SEVROLL Faworyt II rączka 2,7m biały połysk</v>
      </c>
      <c r="I812" s="1" t="str">
        <f>J15</f>
        <v> biały połysk</v>
      </c>
      <c r="J812" s="152"/>
      <c r="K812" s="152"/>
      <c r="L812" s="152"/>
      <c r="M812" s="152"/>
      <c r="N812" s="152"/>
      <c r="Z812" s="1" t="b">
        <f t="shared" si="18"/>
        <v>1</v>
      </c>
    </row>
    <row r="813" spans="1:26" ht="15" customHeight="1" x14ac:dyDescent="0.3">
      <c r="A813" s="49">
        <v>135552</v>
      </c>
      <c r="B813" s="48" t="s">
        <v>756</v>
      </c>
      <c r="C813" s="1" t="str">
        <f>J4</f>
        <v>srebrny</v>
      </c>
      <c r="D813" s="49">
        <v>135552</v>
      </c>
      <c r="E813" s="48" t="str">
        <f>+VLOOKUP(A813,cennik!A:G,2,FALSE)</f>
        <v>Sevroll 02742 Minicomfort II rączka 2,7m srebrna</v>
      </c>
      <c r="F813" s="48" t="str">
        <f>+VLOOKUP(A813,cennik!A:B,2,FALSE)</f>
        <v>Sevroll 02742 Minicomfort II rączka 2,7m srebrna</v>
      </c>
      <c r="I813" s="1" t="str">
        <f>J4</f>
        <v>srebrny</v>
      </c>
      <c r="J813" s="152"/>
      <c r="K813" s="152"/>
      <c r="L813" s="152"/>
      <c r="M813" s="152"/>
      <c r="N813" s="152"/>
      <c r="Z813" s="1" t="b">
        <f t="shared" si="18"/>
        <v>1</v>
      </c>
    </row>
    <row r="814" spans="1:26" ht="15" customHeight="1" x14ac:dyDescent="0.3">
      <c r="A814" s="49">
        <v>135553</v>
      </c>
      <c r="B814" s="48"/>
      <c r="C814" s="1" t="str">
        <f>J6</f>
        <v>j.brąz</v>
      </c>
      <c r="D814" s="49">
        <v>135553</v>
      </c>
      <c r="E814" s="48" t="str">
        <f>+VLOOKUP(A814,cennik!A:G,2,FALSE)</f>
        <v>SEVROLL Minicomfort II rączka 2,7m jasny brąz</v>
      </c>
      <c r="F814" s="48" t="str">
        <f>+VLOOKUP(A814,cennik!A:B,2,FALSE)</f>
        <v>SEVROLL Minicomfort II rączka 2,7m jasny brąz</v>
      </c>
      <c r="I814" s="1" t="str">
        <f>J6</f>
        <v>j.brąz</v>
      </c>
      <c r="J814" s="152"/>
      <c r="K814" s="152"/>
      <c r="L814" s="152"/>
      <c r="M814" s="152"/>
      <c r="N814" s="152"/>
      <c r="Z814" s="1" t="b">
        <f t="shared" si="18"/>
        <v>1</v>
      </c>
    </row>
    <row r="815" spans="1:26" ht="15" customHeight="1" x14ac:dyDescent="0.3">
      <c r="A815" s="49">
        <v>135555</v>
      </c>
      <c r="B815" s="48" t="s">
        <v>757</v>
      </c>
      <c r="C815" s="1" t="str">
        <f>J4</f>
        <v>srebrny</v>
      </c>
      <c r="D815" s="49">
        <v>135555</v>
      </c>
      <c r="E815" s="48" t="str">
        <f>+VLOOKUP(A815,cennik!A:G,2,FALSE)</f>
        <v>Sevroll 02723 Comfort 18 II rączka 2,7m srebrna</v>
      </c>
      <c r="F815" s="48" t="str">
        <f>+VLOOKUP(A815,cennik!A:B,2,FALSE)</f>
        <v>Sevroll 02723 Comfort 18 II rączka 2,7m srebrna</v>
      </c>
      <c r="I815" s="1" t="str">
        <f>J4</f>
        <v>srebrny</v>
      </c>
      <c r="J815" s="152"/>
      <c r="K815" s="152"/>
      <c r="L815" s="152"/>
      <c r="M815" s="152"/>
      <c r="N815" s="152"/>
      <c r="Z815" s="1" t="b">
        <f t="shared" si="18"/>
        <v>1</v>
      </c>
    </row>
    <row r="816" spans="1:26" ht="15" customHeight="1" x14ac:dyDescent="0.3">
      <c r="A816" s="49">
        <v>135556</v>
      </c>
      <c r="B816" s="48"/>
      <c r="C816" s="1" t="str">
        <f>J6</f>
        <v>j.brąz</v>
      </c>
      <c r="D816" s="49">
        <v>135556</v>
      </c>
      <c r="E816" s="48" t="str">
        <f>+VLOOKUP(A816,cennik!A:G,2,FALSE)</f>
        <v>SEVROLL Comfort 18 II rączka 2,7m jasny brąz</v>
      </c>
      <c r="F816" s="48" t="str">
        <f>+VLOOKUP(A816,cennik!A:B,2,FALSE)</f>
        <v>SEVROLL Comfort 18 II rączka 2,7m jasny brąz</v>
      </c>
      <c r="I816" s="1" t="str">
        <f>J6</f>
        <v>j.brąz</v>
      </c>
      <c r="J816" s="152"/>
      <c r="K816" s="152"/>
      <c r="L816" s="152"/>
      <c r="M816" s="152"/>
      <c r="N816" s="152"/>
      <c r="Z816" s="1" t="b">
        <f t="shared" si="18"/>
        <v>1</v>
      </c>
    </row>
    <row r="817" spans="1:26" ht="15" customHeight="1" x14ac:dyDescent="0.3">
      <c r="A817" s="49">
        <v>135684</v>
      </c>
      <c r="B817" s="48" t="s">
        <v>758</v>
      </c>
      <c r="C817" s="1" t="str">
        <f>J4</f>
        <v>srebrny</v>
      </c>
      <c r="D817" s="49">
        <v>135684</v>
      </c>
      <c r="E817" s="48" t="str">
        <f>+VLOOKUP(A817,cennik!A:G,2,FALSE)</f>
        <v>SEVROLL Unicomfort II rączka 2,7m srebrna</v>
      </c>
      <c r="F817" s="48" t="str">
        <f>+VLOOKUP(A817,cennik!A:B,2,FALSE)</f>
        <v>SEVROLL Unicomfort II rączka 2,7m srebrna</v>
      </c>
      <c r="I817" s="1" t="str">
        <f>J4</f>
        <v>srebrny</v>
      </c>
      <c r="J817" s="152"/>
      <c r="K817" s="152"/>
      <c r="L817" s="152"/>
      <c r="M817" s="152"/>
      <c r="N817" s="152"/>
      <c r="Z817" s="1" t="b">
        <f t="shared" si="18"/>
        <v>1</v>
      </c>
    </row>
    <row r="818" spans="1:26" ht="15" customHeight="1" x14ac:dyDescent="0.3">
      <c r="A818" s="49">
        <v>135685</v>
      </c>
      <c r="B818" s="48"/>
      <c r="C818" s="1" t="str">
        <f>J6</f>
        <v>j.brąz</v>
      </c>
      <c r="D818" s="49">
        <v>135685</v>
      </c>
      <c r="E818" s="48" t="str">
        <f>+VLOOKUP(A818,cennik!A:G,2,FALSE)</f>
        <v>SEVROLL Unicomfort II rączka 2,7m jasny brąz</v>
      </c>
      <c r="F818" s="48" t="str">
        <f>+VLOOKUP(A818,cennik!A:B,2,FALSE)</f>
        <v>SEVROLL Unicomfort II rączka 2,7m jasny brąz</v>
      </c>
      <c r="I818" s="1" t="str">
        <f>J6</f>
        <v>j.brąz</v>
      </c>
      <c r="J818" s="152"/>
      <c r="K818" s="152"/>
      <c r="L818" s="152"/>
      <c r="M818" s="152"/>
      <c r="N818" s="152"/>
      <c r="Z818" s="1" t="b">
        <f t="shared" si="18"/>
        <v>1</v>
      </c>
    </row>
    <row r="819" spans="1:26" ht="15" customHeight="1" x14ac:dyDescent="0.3">
      <c r="A819" s="14">
        <v>233428</v>
      </c>
      <c r="B819" s="48" t="s">
        <v>589</v>
      </c>
      <c r="C819" s="152" t="str">
        <f>J4</f>
        <v>srebrny</v>
      </c>
      <c r="D819" s="14">
        <v>233428</v>
      </c>
      <c r="E819" s="48" t="str">
        <f>+VLOOKUP(A819,cennik!A:G,2,FALSE)</f>
        <v>Sevroll Fiona II rączka 2,7m srebrna</v>
      </c>
      <c r="F819" s="48" t="str">
        <f>+VLOOKUP(A819,cennik!A:B,2,FALSE)</f>
        <v>Sevroll Fiona II rączka 2,7m srebrna</v>
      </c>
      <c r="G819" s="152"/>
      <c r="H819" s="152"/>
      <c r="I819" s="152" t="str">
        <f>J4</f>
        <v>srebrny</v>
      </c>
      <c r="Z819" s="1" t="b">
        <f t="shared" si="18"/>
        <v>1</v>
      </c>
    </row>
    <row r="820" spans="1:26" ht="15" customHeight="1" x14ac:dyDescent="0.3">
      <c r="A820" s="49">
        <v>98002</v>
      </c>
      <c r="B820" s="48" t="s">
        <v>586</v>
      </c>
      <c r="C820" s="152" t="str">
        <f>J4</f>
        <v>srebrny</v>
      </c>
      <c r="D820" s="49">
        <v>98002</v>
      </c>
      <c r="E820" s="48" t="str">
        <f>+VLOOKUP(A820,cennik!A:G,2,FALSE)</f>
        <v>Sevroll (Astin) Orient rączka 2,7m srebrna (32/1)</v>
      </c>
      <c r="F820" s="48" t="str">
        <f>+VLOOKUP(A820,cennik!A:B,2,FALSE)</f>
        <v>Sevroll (Astin) Orient rączka 2,7m srebrna (32/1)</v>
      </c>
      <c r="G820" s="152"/>
      <c r="H820" s="152"/>
      <c r="I820" s="152" t="str">
        <f>J4</f>
        <v>srebrny</v>
      </c>
      <c r="Z820" s="1" t="b">
        <f t="shared" si="18"/>
        <v>1</v>
      </c>
    </row>
    <row r="821" spans="1:26" ht="15" customHeight="1" x14ac:dyDescent="0.3">
      <c r="A821" s="49">
        <v>98001</v>
      </c>
      <c r="B821" s="48" t="s">
        <v>590</v>
      </c>
      <c r="C821" s="152" t="str">
        <f>J4</f>
        <v>srebrny</v>
      </c>
      <c r="D821" s="49">
        <v>98001</v>
      </c>
      <c r="E821" s="48" t="str">
        <f>+VLOOKUP(A821,cennik!A:G,2,FALSE)</f>
        <v>Sevroll (Astin) Elegant rączka 2,7m srebrna (22/1)</v>
      </c>
      <c r="F821" s="48" t="str">
        <f>+VLOOKUP(A821,cennik!A:B,2,FALSE)</f>
        <v>Sevroll (Astin) Elegant rączka 2,7m srebrna (22/1)</v>
      </c>
      <c r="G821" s="152"/>
      <c r="H821" s="152"/>
      <c r="I821" s="152" t="str">
        <f>J4</f>
        <v>srebrny</v>
      </c>
      <c r="Z821" s="1" t="b">
        <f t="shared" si="18"/>
        <v>1</v>
      </c>
    </row>
    <row r="822" spans="1:26" ht="15" customHeight="1" x14ac:dyDescent="0.3">
      <c r="A822" s="49">
        <v>98003</v>
      </c>
      <c r="B822" s="48" t="s">
        <v>591</v>
      </c>
      <c r="C822" s="152" t="str">
        <f>CONCATENATE(H822,"-",J4)</f>
        <v>1800-srebrny</v>
      </c>
      <c r="D822" s="49">
        <v>98003</v>
      </c>
      <c r="E822" s="48" t="str">
        <f>+VLOOKUP(A822,cennik!A:G,2,FALSE)</f>
        <v>Sevroll (Astin) tor górny 1,8m srebrny (32/1)</v>
      </c>
      <c r="F822" s="48" t="str">
        <f>+VLOOKUP(A822,cennik!A:B,2,FALSE)</f>
        <v>Sevroll (Astin) tor górny 1,8m srebrny (32/1)</v>
      </c>
      <c r="G822" s="152"/>
      <c r="H822" s="152">
        <v>1800</v>
      </c>
      <c r="I822" s="152" t="str">
        <f>CONCATENATE(H822,"-",J4)</f>
        <v>1800-srebrny</v>
      </c>
      <c r="Z822" s="1" t="b">
        <f t="shared" si="18"/>
        <v>1</v>
      </c>
    </row>
    <row r="823" spans="1:26" ht="15" customHeight="1" x14ac:dyDescent="0.3">
      <c r="A823" s="49">
        <v>98004</v>
      </c>
      <c r="B823" s="48"/>
      <c r="C823" s="152" t="str">
        <f>CONCATENATE(H823,"-",J4)</f>
        <v>2700-srebrny</v>
      </c>
      <c r="D823" s="49">
        <v>98004</v>
      </c>
      <c r="E823" s="48" t="str">
        <f>+VLOOKUP(A823,cennik!A:G,2,FALSE)</f>
        <v>Sevroll (Astin)tor górny 2,7m srebrny (32/1)</v>
      </c>
      <c r="F823" s="48" t="str">
        <f>+VLOOKUP(A823,cennik!A:B,2,FALSE)</f>
        <v>Sevroll (Astin)tor górny 2,7m srebrny (32/1)</v>
      </c>
      <c r="G823" s="152"/>
      <c r="H823" s="152">
        <v>2700</v>
      </c>
      <c r="I823" s="152" t="str">
        <f>CONCATENATE(H823,"-",J4)</f>
        <v>2700-srebrny</v>
      </c>
      <c r="Z823" s="1" t="b">
        <f t="shared" si="18"/>
        <v>1</v>
      </c>
    </row>
    <row r="824" spans="1:26" ht="15" customHeight="1" x14ac:dyDescent="0.3">
      <c r="A824" s="49">
        <v>98005</v>
      </c>
      <c r="B824" s="48"/>
      <c r="C824" s="152" t="str">
        <f>CONCATENATE(H824,"-",J4)</f>
        <v>3600-srebrny</v>
      </c>
      <c r="D824" s="49">
        <v>98005</v>
      </c>
      <c r="E824" s="48" t="str">
        <f>+VLOOKUP(A824,cennik!A:G,2,FALSE)</f>
        <v>Sevroll (Astin) tor górny 3,6m srebrny (32/1)</v>
      </c>
      <c r="F824" s="48" t="str">
        <f>+VLOOKUP(A824,cennik!A:B,2,FALSE)</f>
        <v>Sevroll (Astin) tor górny 3,6m srebrny (32/1)</v>
      </c>
      <c r="G824" s="152"/>
      <c r="H824" s="152">
        <v>3600</v>
      </c>
      <c r="I824" s="152" t="str">
        <f>CONCATENATE(H824,"-",J4)</f>
        <v>3600-srebrny</v>
      </c>
      <c r="Z824" s="1" t="b">
        <f t="shared" si="18"/>
        <v>1</v>
      </c>
    </row>
    <row r="825" spans="1:26" ht="15" customHeight="1" x14ac:dyDescent="0.3">
      <c r="A825" s="49">
        <v>98007</v>
      </c>
      <c r="B825" s="48" t="s">
        <v>592</v>
      </c>
      <c r="C825" s="152" t="str">
        <f>CONCATENATE(H825,"-",J4)</f>
        <v>1800-srebrny</v>
      </c>
      <c r="D825" s="49">
        <v>98007</v>
      </c>
      <c r="E825" s="48" t="str">
        <f>+VLOOKUP(A825,cennik!A:G,2,FALSE)</f>
        <v>Sevroll (Astin) tor dolny 1,8m srebrny (22/1)</v>
      </c>
      <c r="F825" s="48" t="str">
        <f>+VLOOKUP(A825,cennik!A:B,2,FALSE)</f>
        <v>Sevroll (Astin) tor dolny 1,8m srebrny (22/1)</v>
      </c>
      <c r="G825" s="152"/>
      <c r="H825" s="152">
        <v>1800</v>
      </c>
      <c r="I825" s="152" t="str">
        <f>CONCATENATE(H825,"-",J4)</f>
        <v>1800-srebrny</v>
      </c>
      <c r="Z825" s="1" t="b">
        <f t="shared" si="18"/>
        <v>1</v>
      </c>
    </row>
    <row r="826" spans="1:26" s="417" customFormat="1" ht="15" customHeight="1" x14ac:dyDescent="0.3">
      <c r="A826" s="49">
        <v>98008</v>
      </c>
      <c r="B826" s="48"/>
      <c r="C826" s="152" t="str">
        <f>CONCATENATE(H826,"-",J4)</f>
        <v>2700-srebrny</v>
      </c>
      <c r="D826" s="49">
        <v>98008</v>
      </c>
      <c r="E826" s="48" t="str">
        <f>+VLOOKUP(A826,cennik!A:G,2,FALSE)</f>
        <v>Sevroll (Astin) tor dolny 2,7m srebrny (22/1)</v>
      </c>
      <c r="F826" s="48" t="str">
        <f>+VLOOKUP(A826,cennik!A:B,2,FALSE)</f>
        <v>Sevroll (Astin) tor dolny 2,7m srebrny (22/1)</v>
      </c>
      <c r="G826" s="152"/>
      <c r="H826" s="152">
        <v>2700</v>
      </c>
      <c r="I826" s="152" t="str">
        <f>CONCATENATE(H826,"-",J4)</f>
        <v>2700-srebrny</v>
      </c>
      <c r="Z826" s="1" t="b">
        <f t="shared" si="18"/>
        <v>1</v>
      </c>
    </row>
    <row r="827" spans="1:26" s="417" customFormat="1" ht="15" customHeight="1" x14ac:dyDescent="0.3">
      <c r="A827" s="49">
        <v>98009</v>
      </c>
      <c r="B827" s="48"/>
      <c r="C827" s="152" t="str">
        <f>CONCATENATE(H827,"-",J4)</f>
        <v>3600-srebrny</v>
      </c>
      <c r="D827" s="49">
        <v>98009</v>
      </c>
      <c r="E827" s="48" t="str">
        <f>+VLOOKUP(A827,cennik!A:G,2,FALSE)</f>
        <v>Sevroll (Astin) tor dolny 3,6m srebrny (22/1)</v>
      </c>
      <c r="F827" s="48" t="str">
        <f>+VLOOKUP(A827,cennik!A:B,2,FALSE)</f>
        <v>Sevroll (Astin) tor dolny 3,6m srebrny (22/1)</v>
      </c>
      <c r="G827" s="152"/>
      <c r="H827" s="152">
        <v>3600</v>
      </c>
      <c r="I827" s="152" t="str">
        <f>CONCATENATE(H827,"-",J4)</f>
        <v>3600-srebrny</v>
      </c>
      <c r="Z827" s="1" t="b">
        <f t="shared" si="18"/>
        <v>1</v>
      </c>
    </row>
    <row r="828" spans="1:26" s="417" customFormat="1" ht="15" customHeight="1" x14ac:dyDescent="0.3">
      <c r="A828" s="49">
        <v>98011</v>
      </c>
      <c r="B828" s="48" t="s">
        <v>593</v>
      </c>
      <c r="C828" s="152" t="str">
        <f>CONCATENATE(H828,"-",J4)</f>
        <v>1800-srebrny</v>
      </c>
      <c r="D828" s="49">
        <v>98011</v>
      </c>
      <c r="E828" s="48" t="str">
        <f>+VLOOKUP(A828,cennik!A:G,2,FALSE)</f>
        <v>Sevroll (Astin) kątownik 1,8m srebrny (22/1)</v>
      </c>
      <c r="F828" s="48" t="str">
        <f>+VLOOKUP(A828,cennik!A:B,2,FALSE)</f>
        <v>Sevroll (Astin) kątownik 1,8m srebrny (22/1)</v>
      </c>
      <c r="G828" s="152"/>
      <c r="H828" s="152">
        <v>1800</v>
      </c>
      <c r="I828" s="152" t="str">
        <f>CONCATENATE(H828,"-",J4)</f>
        <v>1800-srebrny</v>
      </c>
      <c r="Z828" s="1" t="b">
        <f t="shared" si="18"/>
        <v>1</v>
      </c>
    </row>
    <row r="829" spans="1:26" s="417" customFormat="1" ht="15" customHeight="1" x14ac:dyDescent="0.3">
      <c r="A829" s="49">
        <v>98012</v>
      </c>
      <c r="B829" s="48"/>
      <c r="C829" s="152" t="str">
        <f>CONCATENATE(H829,"-",J4)</f>
        <v>2700-srebrny</v>
      </c>
      <c r="D829" s="49">
        <v>98012</v>
      </c>
      <c r="E829" s="48" t="str">
        <f>+VLOOKUP(A829,cennik!A:G,2,FALSE)</f>
        <v>Sevroll (Astin) kątownik  2,7m srebrny (22/1)</v>
      </c>
      <c r="F829" s="48" t="str">
        <f>+VLOOKUP(A829,cennik!A:B,2,FALSE)</f>
        <v>Sevroll (Astin) kątownik  2,7m srebrny (22/1)</v>
      </c>
      <c r="G829" s="152"/>
      <c r="H829" s="152">
        <v>2700</v>
      </c>
      <c r="I829" s="152" t="str">
        <f>CONCATENATE(H829,"-",J4)</f>
        <v>2700-srebrny</v>
      </c>
      <c r="Z829" s="1" t="b">
        <f t="shared" si="18"/>
        <v>1</v>
      </c>
    </row>
    <row r="830" spans="1:26" s="417" customFormat="1" ht="15" customHeight="1" x14ac:dyDescent="0.3">
      <c r="A830" s="49">
        <v>98013</v>
      </c>
      <c r="B830" s="48"/>
      <c r="C830" s="152" t="str">
        <f>CONCATENATE(H830,"-",J4)</f>
        <v>3600-srebrny</v>
      </c>
      <c r="D830" s="49">
        <v>98013</v>
      </c>
      <c r="E830" s="48" t="str">
        <f>+VLOOKUP(A830,cennik!A:G,2,FALSE)</f>
        <v>Sevroll (Astin) kątownik  3,6m srebrny (22/1)</v>
      </c>
      <c r="F830" s="48" t="str">
        <f>+VLOOKUP(A830,cennik!A:B,2,FALSE)</f>
        <v>Sevroll (Astin) kątownik  3,6m srebrny (22/1)</v>
      </c>
      <c r="G830" s="152"/>
      <c r="H830" s="152">
        <v>3600</v>
      </c>
      <c r="I830" s="152" t="str">
        <f>CONCATENATE(H830,"-",J4)</f>
        <v>3600-srebrny</v>
      </c>
      <c r="Z830" s="1" t="b">
        <f t="shared" si="18"/>
        <v>1</v>
      </c>
    </row>
    <row r="831" spans="1:26" s="417" customFormat="1" ht="15" customHeight="1" x14ac:dyDescent="0.3">
      <c r="A831" s="49">
        <v>98015</v>
      </c>
      <c r="B831" s="48" t="s">
        <v>594</v>
      </c>
      <c r="C831" s="152" t="str">
        <f>J4</f>
        <v>srebrny</v>
      </c>
      <c r="D831" s="49">
        <v>98015</v>
      </c>
      <c r="E831" s="48" t="str">
        <f>+VLOOKUP(A831,cennik!A:G,2,FALSE)</f>
        <v>Sevroll (Astin) łacznik H08 profil 3m srebrny</v>
      </c>
      <c r="F831" s="48" t="str">
        <f>+VLOOKUP(A831,cennik!A:B,2,FALSE)</f>
        <v>Sevroll (Astin) łacznik H08 profil 3m srebrny</v>
      </c>
      <c r="G831" s="152"/>
      <c r="H831" s="152"/>
      <c r="I831" s="152" t="str">
        <f>J4</f>
        <v>srebrny</v>
      </c>
      <c r="Z831" s="1" t="b">
        <f t="shared" si="18"/>
        <v>1</v>
      </c>
    </row>
    <row r="832" spans="1:26" s="417" customFormat="1" ht="15" customHeight="1" x14ac:dyDescent="0.3">
      <c r="A832" s="49">
        <v>213609</v>
      </c>
      <c r="B832" s="48"/>
      <c r="C832" s="152" t="str">
        <f>J4</f>
        <v>srebrny</v>
      </c>
      <c r="D832" s="49">
        <v>213609</v>
      </c>
      <c r="E832" s="48" t="str">
        <f>+VLOOKUP(A832,cennik!A:G,2,FALSE)</f>
        <v>SEVROLL Hide M tor dolny 3m srebrny</v>
      </c>
      <c r="F832" s="48" t="str">
        <f>+VLOOKUP(A832,cennik!A:B,2,FALSE)</f>
        <v>SEVROLL Hide M tor dolny 3m srebrny</v>
      </c>
      <c r="G832" s="1"/>
      <c r="H832" s="1">
        <v>3000</v>
      </c>
      <c r="I832" s="152" t="str">
        <f>CONCATENATE(H832,"-",J4)</f>
        <v>3000-srebrny</v>
      </c>
      <c r="Z832" s="1" t="b">
        <f t="shared" si="18"/>
        <v>1</v>
      </c>
    </row>
    <row r="833" spans="1:26" s="417" customFormat="1" ht="15" customHeight="1" x14ac:dyDescent="0.3">
      <c r="A833" s="49">
        <v>197753</v>
      </c>
      <c r="B833" s="48"/>
      <c r="C833" s="152" t="str">
        <f>J4</f>
        <v>srebrny</v>
      </c>
      <c r="D833" s="49">
        <v>197753</v>
      </c>
      <c r="E833" s="48" t="str">
        <f>+VLOOKUP(A833,cennik!A:G,2,FALSE)</f>
        <v>SEVROLL Hide N tor dolny 3m srebrny</v>
      </c>
      <c r="F833" s="48" t="str">
        <f>+VLOOKUP(A833,cennik!A:B,2,FALSE)</f>
        <v>SEVROLL Hide N tor dolny 3m srebrny</v>
      </c>
      <c r="G833" s="1"/>
      <c r="H833" s="1">
        <v>3000</v>
      </c>
      <c r="I833" s="152" t="str">
        <f>CONCATENATE(H833,"-",J4)</f>
        <v>3000-srebrny</v>
      </c>
      <c r="Z833" s="1" t="b">
        <f t="shared" si="18"/>
        <v>1</v>
      </c>
    </row>
    <row r="834" spans="1:26" s="417" customFormat="1" ht="15" customHeight="1" x14ac:dyDescent="0.3">
      <c r="A834" s="49">
        <v>223405</v>
      </c>
      <c r="B834" s="48"/>
      <c r="C834" s="152" t="str">
        <f>J6</f>
        <v>j.brąz</v>
      </c>
      <c r="D834" s="49">
        <v>223405</v>
      </c>
      <c r="E834" s="48" t="str">
        <f>+VLOOKUP(A834,cennik!A:G,2,FALSE)</f>
        <v>SEVROLL Hide M tor dolny 3 m oliwka</v>
      </c>
      <c r="F834" s="48" t="str">
        <f>+VLOOKUP(A834,cennik!A:B,2,FALSE)</f>
        <v>SEVROLL Hide M tor dolny 3 m oliwka</v>
      </c>
      <c r="G834" s="1"/>
      <c r="H834" s="1">
        <v>3000</v>
      </c>
      <c r="I834" s="152" t="str">
        <f>CONCATENATE(H834,"-",J4)</f>
        <v>3000-srebrny</v>
      </c>
      <c r="Z834" s="1" t="b">
        <f t="shared" si="18"/>
        <v>1</v>
      </c>
    </row>
    <row r="835" spans="1:26" s="417" customFormat="1" ht="15" customHeight="1" x14ac:dyDescent="0.3">
      <c r="A835" s="49">
        <v>197755</v>
      </c>
      <c r="B835" s="48"/>
      <c r="C835" s="152" t="str">
        <f>J6</f>
        <v>j.brąz</v>
      </c>
      <c r="D835" s="49">
        <v>197755</v>
      </c>
      <c r="E835" s="48" t="str">
        <f>+VLOOKUP(A835,cennik!A:G,2,FALSE)</f>
        <v>SEVROLL Hide N tor dolny 3 m oliwka</v>
      </c>
      <c r="F835" s="48" t="str">
        <f>+VLOOKUP(A835,cennik!A:B,2,FALSE)</f>
        <v>SEVROLL Hide N tor dolny 3 m oliwka</v>
      </c>
      <c r="G835" s="1"/>
      <c r="H835" s="1">
        <v>3000</v>
      </c>
      <c r="I835" s="152" t="str">
        <f>CONCATENATE(H835,"-",J4)</f>
        <v>3000-srebrny</v>
      </c>
      <c r="Z835" s="1" t="b">
        <f t="shared" si="18"/>
        <v>1</v>
      </c>
    </row>
    <row r="836" spans="1:26" s="417" customFormat="1" ht="15" customHeight="1" x14ac:dyDescent="0.3">
      <c r="A836" s="49">
        <v>279078</v>
      </c>
      <c r="B836" s="48"/>
      <c r="C836" s="152" t="str">
        <f>J6</f>
        <v>j.brąz</v>
      </c>
      <c r="D836" s="49">
        <v>279078</v>
      </c>
      <c r="E836" s="48" t="str">
        <f>+VLOOKUP(A836,cennik!A:G,2,FALSE)</f>
        <v>SEVROLL Hide N tor dolny 6 m, jasny brąz</v>
      </c>
      <c r="F836" s="48" t="str">
        <f>+VLOOKUP(A836,cennik!A:B,2,FALSE)</f>
        <v>SEVROLL Hide N tor dolny 6 m, jasny brąz</v>
      </c>
      <c r="G836" s="1"/>
      <c r="H836" s="1">
        <v>6000</v>
      </c>
      <c r="I836" s="152" t="str">
        <f>CONCATENATE(H836,"-",J4)</f>
        <v>6000-srebrny</v>
      </c>
      <c r="Z836" s="1" t="b">
        <f t="shared" si="18"/>
        <v>1</v>
      </c>
    </row>
    <row r="837" spans="1:26" s="417" customFormat="1" ht="15" customHeight="1" x14ac:dyDescent="0.3">
      <c r="A837" s="49">
        <v>212613</v>
      </c>
      <c r="B837" s="48"/>
      <c r="C837" s="152"/>
      <c r="D837" s="49">
        <v>212613</v>
      </c>
      <c r="E837" s="48" t="str">
        <f>+VLOOKUP(A837,cennik!A:G,2,FALSE)</f>
        <v>SEVROLL zaślepka do toru Hide N srebrna</v>
      </c>
      <c r="F837" s="48" t="str">
        <f>+VLOOKUP(A837,cennik!A:B,2,FALSE)</f>
        <v>SEVROLL zaślepka do toru Hide N srebrna</v>
      </c>
      <c r="G837" s="1"/>
      <c r="H837" s="1"/>
      <c r="I837" s="1"/>
      <c r="Z837" s="1" t="b">
        <f t="shared" si="18"/>
        <v>1</v>
      </c>
    </row>
    <row r="838" spans="1:26" s="417" customFormat="1" ht="15" customHeight="1" x14ac:dyDescent="0.3">
      <c r="A838" s="49">
        <v>212616</v>
      </c>
      <c r="B838" s="48"/>
      <c r="C838" s="152"/>
      <c r="D838" s="49">
        <v>212616</v>
      </c>
      <c r="E838" s="48" t="str">
        <f>+VLOOKUP(A838,cennik!A:G,2,FALSE)</f>
        <v>SEVROLL stoper do torów Hide N i M</v>
      </c>
      <c r="F838" s="48" t="str">
        <f>+VLOOKUP(A838,cennik!A:B,2,FALSE)</f>
        <v>SEVROLL stoper do torów Hide N i M</v>
      </c>
      <c r="G838" s="1"/>
      <c r="H838" s="1"/>
      <c r="I838" s="1"/>
      <c r="Z838" s="1" t="b">
        <f t="shared" si="18"/>
        <v>1</v>
      </c>
    </row>
    <row r="839" spans="1:26" s="417" customFormat="1" ht="15" customHeight="1" x14ac:dyDescent="0.3">
      <c r="A839" s="421">
        <v>98067</v>
      </c>
      <c r="B839" s="422" t="s">
        <v>1715</v>
      </c>
      <c r="C839" s="420" t="str">
        <f>CONCATENATE(H839,"-",J4)</f>
        <v>14,5-srebrny</v>
      </c>
      <c r="D839" s="421">
        <v>98067</v>
      </c>
      <c r="E839" s="419" t="str">
        <f>+VLOOKUP(A839,cennik!A:G,2,FALSE)</f>
        <v>SEVROLL szczotka odbojowa zasuwana 14,5x4 mm</v>
      </c>
      <c r="F839" s="419" t="str">
        <f>+VLOOKUP(A839,cennik!A:B,2,FALSE)</f>
        <v>SEVROLL szczotka odbojowa zasuwana 14,5x4 mm</v>
      </c>
      <c r="H839" s="417">
        <v>14.5</v>
      </c>
      <c r="I839" s="420" t="str">
        <f>CONCATENATE(N826,"-",J4)</f>
        <v>-srebrny</v>
      </c>
      <c r="Z839" s="1" t="b">
        <f t="shared" si="18"/>
        <v>1</v>
      </c>
    </row>
    <row r="840" spans="1:26" s="417" customFormat="1" ht="15" customHeight="1" x14ac:dyDescent="0.3">
      <c r="A840" s="421">
        <v>306523</v>
      </c>
      <c r="B840" s="422" t="s">
        <v>1715</v>
      </c>
      <c r="C840" s="420" t="str">
        <f>CONCATENATE(H840,"-",J18)</f>
        <v>14,5-biały mat</v>
      </c>
      <c r="D840" s="421">
        <v>306523</v>
      </c>
      <c r="E840" s="419" t="str">
        <f>+VLOOKUP(A840,cennik!A:G,2,FALSE)</f>
        <v>SEVROLL szczotka odbojowa bez kleju 14x4mm biała</v>
      </c>
      <c r="F840" s="419" t="str">
        <f>+VLOOKUP(A840,cennik!A:B,2,FALSE)</f>
        <v>SEVROLL szczotka odbojowa bez kleju 14x4mm biała</v>
      </c>
      <c r="H840" s="417">
        <v>14.5</v>
      </c>
      <c r="I840" s="417" t="str">
        <f>J18</f>
        <v>biały mat</v>
      </c>
      <c r="Z840" s="1"/>
    </row>
    <row r="841" spans="1:26" s="417" customFormat="1" ht="15" customHeight="1" x14ac:dyDescent="0.3">
      <c r="A841" s="421">
        <v>306523</v>
      </c>
      <c r="B841" s="422" t="s">
        <v>1715</v>
      </c>
      <c r="C841" s="420" t="str">
        <f>CONCATENATE(H841,"-",J15)</f>
        <v>14,5- biały połysk</v>
      </c>
      <c r="D841" s="421">
        <v>306523</v>
      </c>
      <c r="E841" s="419" t="str">
        <f>+VLOOKUP(A841,cennik!A:G,2,FALSE)</f>
        <v>SEVROLL szczotka odbojowa bez kleju 14x4mm biała</v>
      </c>
      <c r="F841" s="419" t="str">
        <f>+VLOOKUP(A841,cennik!A:B,2,FALSE)</f>
        <v>SEVROLL szczotka odbojowa bez kleju 14x4mm biała</v>
      </c>
      <c r="H841" s="417">
        <v>14.5</v>
      </c>
      <c r="I841" s="417" t="str">
        <f>J15</f>
        <v> biały połysk</v>
      </c>
      <c r="Z841" s="1" t="b">
        <f t="shared" si="18"/>
        <v>1</v>
      </c>
    </row>
    <row r="842" spans="1:26" s="417" customFormat="1" ht="15" customHeight="1" x14ac:dyDescent="0.3">
      <c r="A842" s="421">
        <v>98067</v>
      </c>
      <c r="B842" s="422" t="s">
        <v>1715</v>
      </c>
      <c r="C842" s="420" t="str">
        <f>CONCATENATE(H842,"-",J5)</f>
        <v>14,5-złoty/mosiądz</v>
      </c>
      <c r="D842" s="421">
        <v>98067</v>
      </c>
      <c r="E842" s="419" t="str">
        <f>+VLOOKUP(A842,cennik!A:G,2,FALSE)</f>
        <v>SEVROLL szczotka odbojowa zasuwana 14,5x4 mm</v>
      </c>
      <c r="F842" s="419" t="str">
        <f>+VLOOKUP(A842,cennik!A:B,2,FALSE)</f>
        <v>SEVROLL szczotka odbojowa zasuwana 14,5x4 mm</v>
      </c>
      <c r="H842" s="417">
        <v>14.5</v>
      </c>
      <c r="I842" s="420" t="str">
        <f>CONCATENATE(N828,"-",J5)</f>
        <v>-złoty/mosiądz</v>
      </c>
      <c r="Z842" s="1" t="b">
        <f t="shared" si="18"/>
        <v>1</v>
      </c>
    </row>
    <row r="843" spans="1:26" s="417" customFormat="1" ht="15" customHeight="1" x14ac:dyDescent="0.3">
      <c r="A843" s="421">
        <v>98067</v>
      </c>
      <c r="B843" s="422" t="s">
        <v>1715</v>
      </c>
      <c r="C843" s="420" t="str">
        <f>CONCATENATE(H843,"-",J6)</f>
        <v>14,5-j.brąz</v>
      </c>
      <c r="D843" s="421">
        <v>98067</v>
      </c>
      <c r="E843" s="419" t="str">
        <f>+VLOOKUP(A843,cennik!A:G,2,FALSE)</f>
        <v>SEVROLL szczotka odbojowa zasuwana 14,5x4 mm</v>
      </c>
      <c r="F843" s="419" t="str">
        <f>+VLOOKUP(A843,cennik!A:B,2,FALSE)</f>
        <v>SEVROLL szczotka odbojowa zasuwana 14,5x4 mm</v>
      </c>
      <c r="H843" s="417">
        <v>14.5</v>
      </c>
      <c r="I843" s="420" t="str">
        <f>CONCATENATE(N829,"-",J6)</f>
        <v>-j.brąz</v>
      </c>
      <c r="Z843" s="1" t="b">
        <f t="shared" si="18"/>
        <v>1</v>
      </c>
    </row>
    <row r="844" spans="1:26" s="417" customFormat="1" ht="15" customHeight="1" x14ac:dyDescent="0.3">
      <c r="A844" s="421">
        <v>98067</v>
      </c>
      <c r="B844" s="422" t="s">
        <v>1715</v>
      </c>
      <c r="C844" s="420" t="str">
        <f>CONCATENATE(H844,"-",J7)</f>
        <v>14,5-j.brąz szczotkowany</v>
      </c>
      <c r="D844" s="421">
        <v>98067</v>
      </c>
      <c r="E844" s="419" t="str">
        <f>+VLOOKUP(A844,cennik!A:G,2,FALSE)</f>
        <v>SEVROLL szczotka odbojowa zasuwana 14,5x4 mm</v>
      </c>
      <c r="F844" s="419" t="str">
        <f>+VLOOKUP(A844,cennik!A:B,2,FALSE)</f>
        <v>SEVROLL szczotka odbojowa zasuwana 14,5x4 mm</v>
      </c>
      <c r="H844" s="417">
        <v>14.5</v>
      </c>
      <c r="I844" s="420" t="str">
        <f>CONCATENATE(N830,"-",J7)</f>
        <v>-j.brąz szczotkowany</v>
      </c>
      <c r="Z844" s="1" t="b">
        <f t="shared" si="18"/>
        <v>1</v>
      </c>
    </row>
    <row r="845" spans="1:26" ht="15" customHeight="1" x14ac:dyDescent="0.3">
      <c r="A845" s="421">
        <v>98067</v>
      </c>
      <c r="B845" s="422" t="s">
        <v>1715</v>
      </c>
      <c r="C845" s="420" t="str">
        <f>CONCATENATE(H845,"-",J8)</f>
        <v>14,5-szczot.oliwa ciemna</v>
      </c>
      <c r="D845" s="421">
        <v>98067</v>
      </c>
      <c r="E845" s="419" t="str">
        <f>+VLOOKUP(A845,cennik!A:G,2,FALSE)</f>
        <v>SEVROLL szczotka odbojowa zasuwana 14,5x4 mm</v>
      </c>
      <c r="F845" s="419" t="str">
        <f>+VLOOKUP(A845,cennik!A:B,2,FALSE)</f>
        <v>SEVROLL szczotka odbojowa zasuwana 14,5x4 mm</v>
      </c>
      <c r="G845" s="417"/>
      <c r="H845" s="417">
        <v>14.5</v>
      </c>
      <c r="I845" s="420" t="str">
        <f>CONCATENATE(N831,"-",J8)</f>
        <v>-szczot.oliwa ciemna</v>
      </c>
      <c r="Z845" s="1" t="b">
        <f t="shared" si="18"/>
        <v>1</v>
      </c>
    </row>
    <row r="846" spans="1:26" s="425" customFormat="1" ht="15" customHeight="1" x14ac:dyDescent="0.3">
      <c r="A846" s="423">
        <v>409700</v>
      </c>
      <c r="B846" s="422" t="s">
        <v>1715</v>
      </c>
      <c r="C846" s="420" t="str">
        <f>CONCATENATE(H846,"-",J9)</f>
        <v>14,5-szczot.czarna</v>
      </c>
      <c r="D846" s="423">
        <v>409700</v>
      </c>
      <c r="E846" s="419" t="str">
        <f>+VLOOKUP(A846,cennik!A:G,2,FALSE)</f>
        <v>SEVROLL 
20334-SV szczotka odbojowa wsuwana 14x4mm czarna</v>
      </c>
      <c r="F846" s="419" t="str">
        <f>+VLOOKUP(A846,cennik!A:B,2,FALSE)</f>
        <v>SEVROLL 
20334-SV szczotka odbojowa wsuwana 14x4mm czarna</v>
      </c>
      <c r="G846" s="417"/>
      <c r="H846" s="417">
        <v>14.5</v>
      </c>
      <c r="I846" s="420" t="str">
        <f>CONCATENATE(N832,"-",J9)</f>
        <v>-szczot.czarna</v>
      </c>
      <c r="Z846" s="1" t="b">
        <f t="shared" si="18"/>
        <v>1</v>
      </c>
    </row>
    <row r="847" spans="1:26" s="425" customFormat="1" ht="15" customHeight="1" x14ac:dyDescent="0.3">
      <c r="A847" s="421">
        <v>229433</v>
      </c>
      <c r="B847" s="422" t="s">
        <v>1715</v>
      </c>
      <c r="C847" s="420" t="str">
        <f t="shared" ref="C847:C852" si="19">CONCATENATE(H847,"-",J4)</f>
        <v>4,8-srebrny</v>
      </c>
      <c r="D847" s="421">
        <v>229433</v>
      </c>
      <c r="E847" s="419" t="str">
        <f>+VLOOKUP(A847,cennik!A:G,2,FALSE)</f>
        <v>SEVROLL szczotka odbojowa bez kleju 4,8x4mm</v>
      </c>
      <c r="F847" s="419" t="str">
        <f>+VLOOKUP(A847,cennik!A:B,2,FALSE)</f>
        <v>SEVROLL szczotka odbojowa bez kleju 4,8x4mm</v>
      </c>
      <c r="G847" s="417"/>
      <c r="H847" s="417">
        <v>4.8</v>
      </c>
      <c r="I847" s="420" t="str">
        <f t="shared" ref="I847:I852" si="20">CONCATENATE(N833,"-",J4)</f>
        <v>-srebrny</v>
      </c>
      <c r="Z847" s="1" t="b">
        <f t="shared" si="18"/>
        <v>1</v>
      </c>
    </row>
    <row r="848" spans="1:26" ht="15" customHeight="1" x14ac:dyDescent="0.3">
      <c r="A848" s="421">
        <v>229433</v>
      </c>
      <c r="B848" s="422" t="s">
        <v>1715</v>
      </c>
      <c r="C848" s="420" t="str">
        <f t="shared" si="19"/>
        <v>4,8-złoty/mosiądz</v>
      </c>
      <c r="D848" s="421">
        <v>229433</v>
      </c>
      <c r="E848" s="419" t="str">
        <f>+VLOOKUP(A848,cennik!A:G,2,FALSE)</f>
        <v>SEVROLL szczotka odbojowa bez kleju 4,8x4mm</v>
      </c>
      <c r="F848" s="419" t="str">
        <f>+VLOOKUP(A848,cennik!A:B,2,FALSE)</f>
        <v>SEVROLL szczotka odbojowa bez kleju 4,8x4mm</v>
      </c>
      <c r="G848" s="417"/>
      <c r="H848" s="417">
        <v>4.8</v>
      </c>
      <c r="I848" s="420" t="str">
        <f t="shared" si="20"/>
        <v>-złoty/mosiądz</v>
      </c>
      <c r="Z848" s="1" t="b">
        <f t="shared" si="18"/>
        <v>1</v>
      </c>
    </row>
    <row r="849" spans="1:26" ht="15" customHeight="1" x14ac:dyDescent="0.3">
      <c r="A849" s="421">
        <v>229433</v>
      </c>
      <c r="B849" s="422" t="s">
        <v>1715</v>
      </c>
      <c r="C849" s="420" t="str">
        <f t="shared" si="19"/>
        <v>4,8-j.brąz</v>
      </c>
      <c r="D849" s="421">
        <v>229433</v>
      </c>
      <c r="E849" s="419" t="str">
        <f>+VLOOKUP(A849,cennik!A:G,2,FALSE)</f>
        <v>SEVROLL szczotka odbojowa bez kleju 4,8x4mm</v>
      </c>
      <c r="F849" s="419" t="str">
        <f>+VLOOKUP(A849,cennik!A:B,2,FALSE)</f>
        <v>SEVROLL szczotka odbojowa bez kleju 4,8x4mm</v>
      </c>
      <c r="G849" s="417"/>
      <c r="H849" s="417">
        <v>4.8</v>
      </c>
      <c r="I849" s="420" t="str">
        <f t="shared" si="20"/>
        <v>-j.brąz</v>
      </c>
      <c r="Z849" s="1" t="b">
        <f t="shared" si="18"/>
        <v>1</v>
      </c>
    </row>
    <row r="850" spans="1:26" ht="15" customHeight="1" x14ac:dyDescent="0.3">
      <c r="A850" s="421">
        <v>229433</v>
      </c>
      <c r="B850" s="422" t="s">
        <v>1715</v>
      </c>
      <c r="C850" s="420" t="str">
        <f t="shared" si="19"/>
        <v>4,8-j.brąz szczotkowany</v>
      </c>
      <c r="D850" s="421">
        <v>229433</v>
      </c>
      <c r="E850" s="419" t="str">
        <f>+VLOOKUP(A850,cennik!A:G,2,FALSE)</f>
        <v>SEVROLL szczotka odbojowa bez kleju 4,8x4mm</v>
      </c>
      <c r="F850" s="419" t="str">
        <f>+VLOOKUP(A850,cennik!A:B,2,FALSE)</f>
        <v>SEVROLL szczotka odbojowa bez kleju 4,8x4mm</v>
      </c>
      <c r="G850" s="417"/>
      <c r="H850" s="417">
        <v>4.8</v>
      </c>
      <c r="I850" s="420" t="str">
        <f t="shared" si="20"/>
        <v>-j.brąz szczotkowany</v>
      </c>
      <c r="Z850" s="1" t="b">
        <f t="shared" ref="Z850:Z885" si="21">A850=D850</f>
        <v>1</v>
      </c>
    </row>
    <row r="851" spans="1:26" ht="15" customHeight="1" x14ac:dyDescent="0.3">
      <c r="A851" s="421">
        <v>229433</v>
      </c>
      <c r="B851" s="422" t="s">
        <v>1715</v>
      </c>
      <c r="C851" s="420" t="str">
        <f t="shared" si="19"/>
        <v>4,8-szczot.oliwa ciemna</v>
      </c>
      <c r="D851" s="421">
        <v>229433</v>
      </c>
      <c r="E851" s="419" t="str">
        <f>+VLOOKUP(A851,cennik!A:G,2,FALSE)</f>
        <v>SEVROLL szczotka odbojowa bez kleju 4,8x4mm</v>
      </c>
      <c r="F851" s="419" t="str">
        <f>+VLOOKUP(A851,cennik!A:B,2,FALSE)</f>
        <v>SEVROLL szczotka odbojowa bez kleju 4,8x4mm</v>
      </c>
      <c r="G851" s="417"/>
      <c r="H851" s="417">
        <v>4.8</v>
      </c>
      <c r="I851" s="420" t="str">
        <f t="shared" si="20"/>
        <v>-szczot.oliwa ciemna</v>
      </c>
      <c r="Z851" s="1" t="b">
        <f t="shared" si="21"/>
        <v>1</v>
      </c>
    </row>
    <row r="852" spans="1:26" ht="15" customHeight="1" x14ac:dyDescent="0.3">
      <c r="A852" s="424">
        <v>409699</v>
      </c>
      <c r="B852" s="422" t="s">
        <v>1715</v>
      </c>
      <c r="C852" s="420" t="str">
        <f t="shared" si="19"/>
        <v>4,8-szczot.czarna</v>
      </c>
      <c r="D852" s="424">
        <v>409699</v>
      </c>
      <c r="E852" s="419" t="str">
        <f>+VLOOKUP(A852,cennik!A:G,2,FALSE)</f>
        <v>SEVROLL 20403-SV szczotka odbojowa wsuwana 4,8x4mm czarna</v>
      </c>
      <c r="F852" s="419" t="str">
        <f>+VLOOKUP(A852,cennik!A:B,2,FALSE)</f>
        <v>SEVROLL 20403-SV szczotka odbojowa wsuwana 4,8x4mm czarna</v>
      </c>
      <c r="G852" s="417"/>
      <c r="H852" s="417">
        <v>4.8</v>
      </c>
      <c r="I852" s="420" t="str">
        <f t="shared" si="20"/>
        <v>-szczot.czarna</v>
      </c>
      <c r="Z852" s="1" t="b">
        <f t="shared" si="21"/>
        <v>1</v>
      </c>
    </row>
    <row r="853" spans="1:26" ht="15" customHeight="1" x14ac:dyDescent="0.3">
      <c r="A853" s="421">
        <v>305137</v>
      </c>
      <c r="B853" s="422" t="s">
        <v>1715</v>
      </c>
      <c r="C853" s="420" t="str">
        <f>CONCATENATE(H853,"-",J15)</f>
        <v>4,8- biały połysk</v>
      </c>
      <c r="D853" s="421">
        <v>305137</v>
      </c>
      <c r="E853" s="419" t="str">
        <f>+VLOOKUP(A853,cennik!A:G,2,FALSE)</f>
        <v>SEVROLL szczotka odbojowa bez kleju 4,8x4mm biała</v>
      </c>
      <c r="F853" s="419" t="str">
        <f>+VLOOKUP(A853,cennik!A:B,2,FALSE)</f>
        <v>SEVROLL szczotka odbojowa bez kleju 4,8x4mm biała</v>
      </c>
      <c r="G853" s="417"/>
      <c r="H853" s="417">
        <v>4.8</v>
      </c>
      <c r="I853" s="417" t="str">
        <f>J15</f>
        <v> biały połysk</v>
      </c>
      <c r="Z853" s="1" t="b">
        <f t="shared" si="21"/>
        <v>1</v>
      </c>
    </row>
    <row r="854" spans="1:26" ht="15" customHeight="1" x14ac:dyDescent="0.3">
      <c r="A854" s="421">
        <v>305137</v>
      </c>
      <c r="B854" s="422" t="s">
        <v>1715</v>
      </c>
      <c r="C854" s="420" t="str">
        <f>CONCATENATE(H854,"-",J18)</f>
        <v>4,8-biały mat</v>
      </c>
      <c r="D854" s="421">
        <v>305137</v>
      </c>
      <c r="E854" s="419" t="str">
        <f>+VLOOKUP(A854,cennik!A:G,2,FALSE)</f>
        <v>SEVROLL szczotka odbojowa bez kleju 4,8x4mm biała</v>
      </c>
      <c r="F854" s="419" t="str">
        <f>+VLOOKUP(A854,cennik!A:B,2,FALSE)</f>
        <v>SEVROLL szczotka odbojowa bez kleju 4,8x4mm biała</v>
      </c>
      <c r="G854" s="417"/>
      <c r="H854" s="417">
        <v>4.8</v>
      </c>
      <c r="I854" s="417" t="str">
        <f>J18</f>
        <v>biały mat</v>
      </c>
      <c r="Z854" s="1" t="b">
        <f t="shared" si="21"/>
        <v>1</v>
      </c>
    </row>
    <row r="855" spans="1:26" ht="15" customHeight="1" x14ac:dyDescent="0.3">
      <c r="A855" s="423">
        <v>409700</v>
      </c>
      <c r="B855" s="422" t="s">
        <v>1715</v>
      </c>
      <c r="C855" s="420" t="str">
        <f>CONCATENATE(H855,"-",J16)</f>
        <v>14,5-czarny połysk</v>
      </c>
      <c r="D855" s="423">
        <v>409700</v>
      </c>
      <c r="E855" s="419" t="str">
        <f>+VLOOKUP(A855,cennik!A:G,2,FALSE)</f>
        <v>SEVROLL 
20334-SV szczotka odbojowa wsuwana 14x4mm czarna</v>
      </c>
      <c r="F855" s="419" t="str">
        <f>+VLOOKUP(A855,cennik!A:B,2,FALSE)</f>
        <v>SEVROLL 
20334-SV szczotka odbojowa wsuwana 14x4mm czarna</v>
      </c>
      <c r="G855" s="417"/>
      <c r="H855" s="417">
        <v>14.5</v>
      </c>
      <c r="I855" s="417"/>
      <c r="Z855" s="1" t="b">
        <f t="shared" si="21"/>
        <v>1</v>
      </c>
    </row>
    <row r="856" spans="1:26" ht="15" customHeight="1" x14ac:dyDescent="0.3">
      <c r="A856" s="424">
        <v>409699</v>
      </c>
      <c r="B856" s="422" t="s">
        <v>1715</v>
      </c>
      <c r="C856" s="420" t="str">
        <f>CONCATENATE(H856,"-",J16)</f>
        <v>4,8-czarny połysk</v>
      </c>
      <c r="D856" s="424">
        <v>409699</v>
      </c>
      <c r="E856" s="419" t="str">
        <f>+VLOOKUP(A856,cennik!A:G,2,FALSE)</f>
        <v>SEVROLL 20403-SV szczotka odbojowa wsuwana 4,8x4mm czarna</v>
      </c>
      <c r="F856" s="419" t="str">
        <f>+VLOOKUP(A856,cennik!A:B,2,FALSE)</f>
        <v>SEVROLL 20403-SV szczotka odbojowa wsuwana 4,8x4mm czarna</v>
      </c>
      <c r="G856" s="417"/>
      <c r="H856" s="417">
        <v>4.8</v>
      </c>
      <c r="I856" s="417"/>
      <c r="Z856" s="1" t="b">
        <f t="shared" si="21"/>
        <v>1</v>
      </c>
    </row>
    <row r="857" spans="1:26" ht="15" customHeight="1" x14ac:dyDescent="0.3">
      <c r="A857" s="423">
        <v>409700</v>
      </c>
      <c r="B857" s="422" t="s">
        <v>1715</v>
      </c>
      <c r="C857" s="420" t="str">
        <f>CONCATENATE(H857,"-",J17)</f>
        <v>14,5- czarny mat</v>
      </c>
      <c r="D857" s="423">
        <v>409700</v>
      </c>
      <c r="E857" s="419" t="str">
        <f>+VLOOKUP(A857,cennik!A:G,2,FALSE)</f>
        <v>SEVROLL 
20334-SV szczotka odbojowa wsuwana 14x4mm czarna</v>
      </c>
      <c r="F857" s="419" t="str">
        <f>+VLOOKUP(A857,cennik!A:B,2,FALSE)</f>
        <v>SEVROLL 
20334-SV szczotka odbojowa wsuwana 14x4mm czarna</v>
      </c>
      <c r="G857" s="417"/>
      <c r="H857" s="417">
        <v>14.5</v>
      </c>
      <c r="I857" s="417"/>
      <c r="Z857" s="1" t="b">
        <f t="shared" si="21"/>
        <v>1</v>
      </c>
    </row>
    <row r="858" spans="1:26" ht="15" customHeight="1" x14ac:dyDescent="0.3">
      <c r="A858" s="423">
        <v>409700</v>
      </c>
      <c r="B858" s="422" t="s">
        <v>1715</v>
      </c>
      <c r="C858" s="420" t="str">
        <f>CONCATENATE(H858,"-",J12)</f>
        <v>14,5-grafit</v>
      </c>
      <c r="D858" s="423">
        <v>409700</v>
      </c>
      <c r="E858" s="419" t="str">
        <f>+VLOOKUP(A858,cennik!A:G,2,FALSE)</f>
        <v>SEVROLL 
20334-SV szczotka odbojowa wsuwana 14x4mm czarna</v>
      </c>
      <c r="F858" s="419" t="str">
        <f>+VLOOKUP(A858,cennik!A:B,2,FALSE)</f>
        <v>SEVROLL 
20334-SV szczotka odbojowa wsuwana 14x4mm czarna</v>
      </c>
      <c r="G858" s="417"/>
      <c r="H858" s="417">
        <v>14.5</v>
      </c>
      <c r="I858" s="417"/>
      <c r="Z858" s="1" t="b">
        <f t="shared" si="21"/>
        <v>1</v>
      </c>
    </row>
    <row r="859" spans="1:26" ht="15" customHeight="1" x14ac:dyDescent="0.3">
      <c r="A859" s="424">
        <v>409699</v>
      </c>
      <c r="B859" s="422" t="s">
        <v>1715</v>
      </c>
      <c r="C859" s="420" t="str">
        <f>CONCATENATE(H859,"-",J17)</f>
        <v>4,8- czarny mat</v>
      </c>
      <c r="D859" s="424">
        <v>409699</v>
      </c>
      <c r="E859" s="419" t="str">
        <f>+VLOOKUP(A859,cennik!A:G,2,FALSE)</f>
        <v>SEVROLL 20403-SV szczotka odbojowa wsuwana 4,8x4mm czarna</v>
      </c>
      <c r="F859" s="419" t="str">
        <f>+VLOOKUP(A859,cennik!A:B,2,FALSE)</f>
        <v>SEVROLL 20403-SV szczotka odbojowa wsuwana 4,8x4mm czarna</v>
      </c>
      <c r="G859" s="417"/>
      <c r="H859" s="417">
        <v>4.8</v>
      </c>
      <c r="I859" s="417"/>
      <c r="Z859" s="1" t="b">
        <f t="shared" si="21"/>
        <v>1</v>
      </c>
    </row>
    <row r="860" spans="1:26" ht="15" customHeight="1" x14ac:dyDescent="0.3">
      <c r="A860" s="424">
        <v>409699</v>
      </c>
      <c r="B860" s="422" t="s">
        <v>1715</v>
      </c>
      <c r="C860" s="420" t="str">
        <f>CONCATENATE(H860,"-",J12)</f>
        <v>4,8-grafit</v>
      </c>
      <c r="D860" s="424">
        <v>409699</v>
      </c>
      <c r="E860" s="419" t="str">
        <f>+VLOOKUP(A860,cennik!A:G,2,FALSE)</f>
        <v>SEVROLL 20403-SV szczotka odbojowa wsuwana 4,8x4mm czarna</v>
      </c>
      <c r="F860" s="419" t="str">
        <f>+VLOOKUP(A860,cennik!A:B,2,FALSE)</f>
        <v>SEVROLL 20403-SV szczotka odbojowa wsuwana 4,8x4mm czarna</v>
      </c>
      <c r="G860" s="417"/>
      <c r="H860" s="417">
        <v>4.8</v>
      </c>
      <c r="I860" s="417"/>
      <c r="Z860" s="1" t="b">
        <f t="shared" si="21"/>
        <v>1</v>
      </c>
    </row>
    <row r="861" spans="1:26" s="437" customFormat="1" ht="15" customHeight="1" x14ac:dyDescent="0.3">
      <c r="A861" s="421">
        <v>305137</v>
      </c>
      <c r="B861" s="422" t="s">
        <v>1715</v>
      </c>
      <c r="C861" s="420" t="str">
        <f>CONCATENATE(H861,"-",J18)</f>
        <v>4,8-biały mat</v>
      </c>
      <c r="D861" s="421">
        <v>305137</v>
      </c>
      <c r="E861" s="419" t="str">
        <f>+VLOOKUP(A861,cennik!A:G,2,FALSE)</f>
        <v>SEVROLL szczotka odbojowa bez kleju 4,8x4mm biała</v>
      </c>
      <c r="F861" s="419" t="str">
        <f>+VLOOKUP(A861,cennik!A:B,2,FALSE)</f>
        <v>SEVROLL szczotka odbojowa bez kleju 4,8x4mm biała</v>
      </c>
      <c r="G861" s="419" t="e">
        <f>+VLOOKUP(B861,cennik!B:C,2,FALSE)</f>
        <v>#N/A</v>
      </c>
      <c r="H861" s="417">
        <v>4.8</v>
      </c>
      <c r="I861" s="417" t="str">
        <f>J15</f>
        <v> biały połysk</v>
      </c>
      <c r="Z861" s="1" t="b">
        <f t="shared" si="21"/>
        <v>1</v>
      </c>
    </row>
    <row r="862" spans="1:26" s="437" customFormat="1" ht="15" customHeight="1" x14ac:dyDescent="0.3">
      <c r="A862" s="424">
        <v>409699</v>
      </c>
      <c r="B862" s="422" t="s">
        <v>1715</v>
      </c>
      <c r="C862" s="420" t="str">
        <f>CONCATENATE(H862,"-",J22)</f>
        <v>4,8-czarny lakier strukturalny</v>
      </c>
      <c r="D862" s="424">
        <v>409699</v>
      </c>
      <c r="E862" s="419" t="str">
        <f>+VLOOKUP(A862,cennik!A:G,2,FALSE)</f>
        <v>SEVROLL 20403-SV szczotka odbojowa wsuwana 4,8x4mm czarna</v>
      </c>
      <c r="F862" s="419" t="str">
        <f>+VLOOKUP(A862,cennik!A:B,2,FALSE)</f>
        <v>SEVROLL 20403-SV szczotka odbojowa wsuwana 4,8x4mm czarna</v>
      </c>
      <c r="G862" s="417"/>
      <c r="H862" s="417">
        <v>4.8</v>
      </c>
      <c r="I862" s="417" t="str">
        <f>J22</f>
        <v>czarny lakier strukturalny</v>
      </c>
      <c r="Z862" s="1"/>
    </row>
    <row r="863" spans="1:26" s="437" customFormat="1" ht="15" customHeight="1" x14ac:dyDescent="0.3">
      <c r="A863" s="423">
        <v>409700</v>
      </c>
      <c r="B863" s="422" t="s">
        <v>1715</v>
      </c>
      <c r="C863" s="420" t="str">
        <f>CONCATENATE(H863,"-",J22)</f>
        <v>14,5-czarny lakier strukturalny</v>
      </c>
      <c r="D863" s="423">
        <v>409700</v>
      </c>
      <c r="E863" s="419" t="str">
        <f>+VLOOKUP(A863,cennik!A:G,2,FALSE)</f>
        <v>SEVROLL 
20334-SV szczotka odbojowa wsuwana 14x4mm czarna</v>
      </c>
      <c r="F863" s="419" t="str">
        <f>+VLOOKUP(A863,cennik!A:B,2,FALSE)</f>
        <v>SEVROLL 
20334-SV szczotka odbojowa wsuwana 14x4mm czarna</v>
      </c>
      <c r="G863" s="417"/>
      <c r="H863" s="417">
        <v>14.5</v>
      </c>
      <c r="I863" s="417" t="str">
        <f>J22</f>
        <v>czarny lakier strukturalny</v>
      </c>
      <c r="Z863" s="1"/>
    </row>
    <row r="864" spans="1:26" s="437" customFormat="1" ht="15" customHeight="1" x14ac:dyDescent="0.3">
      <c r="A864" s="425">
        <v>452604</v>
      </c>
      <c r="B864" s="425"/>
      <c r="C864" s="425" t="str">
        <f>CONCATENATE(H864,"-",J17)</f>
        <v>3000- czarny mat</v>
      </c>
      <c r="D864" s="425">
        <v>452604</v>
      </c>
      <c r="E864" s="426" t="str">
        <f>+VLOOKUP(A864,cennik!A:G,2,FALSE)</f>
        <v>SEVROLL listwa łącząca H30 3m czarny mat</v>
      </c>
      <c r="F864" s="426" t="str">
        <f>+VLOOKUP(A864,cennik!A:B,2,FALSE)</f>
        <v>SEVROLL listwa łącząca H30 3m czarny mat</v>
      </c>
      <c r="G864" s="425"/>
      <c r="H864" s="425">
        <v>3000</v>
      </c>
      <c r="I864" s="425" t="str">
        <f>CONCATENATE(H864,"-",J17)</f>
        <v>3000- czarny mat</v>
      </c>
      <c r="Z864" s="1" t="b">
        <f t="shared" si="21"/>
        <v>1</v>
      </c>
    </row>
    <row r="865" spans="1:26" s="437" customFormat="1" ht="15" customHeight="1" x14ac:dyDescent="0.3">
      <c r="A865" s="1">
        <v>278164</v>
      </c>
      <c r="B865" s="1"/>
      <c r="C865" s="1" t="str">
        <f>CONCATENATE(H865,"-",J17)</f>
        <v>2700- czarny mat</v>
      </c>
      <c r="D865" s="1">
        <v>278164</v>
      </c>
      <c r="E865" s="48" t="str">
        <f>+VLOOKUP(A865,cennik!A:G,2,FALSE)</f>
        <v>SEVROLL Gemini rączka 2,7m czarny mat</v>
      </c>
      <c r="F865" s="48" t="str">
        <f>+VLOOKUP(A865,cennik!A:B,2,FALSE)</f>
        <v>SEVROLL Gemini rączka 2,7m czarny mat</v>
      </c>
      <c r="G865" s="1"/>
      <c r="H865" s="1">
        <v>2700</v>
      </c>
      <c r="I865" s="1" t="str">
        <f>CONCATENATE(H865,"-",J17)</f>
        <v>2700- czarny mat</v>
      </c>
      <c r="Z865" s="1" t="b">
        <f t="shared" si="21"/>
        <v>1</v>
      </c>
    </row>
    <row r="866" spans="1:26" s="437" customFormat="1" ht="15" customHeight="1" x14ac:dyDescent="0.3">
      <c r="A866" s="1">
        <v>409674</v>
      </c>
      <c r="B866" s="1"/>
      <c r="C866" s="1" t="str">
        <f>CONCATENATE(H866,"-",J17)</f>
        <v>4050- czarny mat</v>
      </c>
      <c r="D866" s="1">
        <v>409674</v>
      </c>
      <c r="E866" s="48" t="str">
        <f>+VLOOKUP(A866,cennik!A:G,2,FALSE)</f>
        <v>SEVROLL 04835 Gemini tor górny 4,05 m czarny mat</v>
      </c>
      <c r="F866" s="48" t="str">
        <f>+VLOOKUP(A866,cennik!A:B,2,FALSE)</f>
        <v>SEVROLL 04835 Gemini tor górny 4,05 m czarny mat</v>
      </c>
      <c r="G866" s="1"/>
      <c r="H866" s="1">
        <v>4050</v>
      </c>
      <c r="I866" s="1" t="str">
        <f>CONCATENATE(H866,"-",J17)</f>
        <v>4050- czarny mat</v>
      </c>
      <c r="Z866" s="1" t="b">
        <f t="shared" si="21"/>
        <v>1</v>
      </c>
    </row>
    <row r="867" spans="1:26" s="437" customFormat="1" ht="15" customHeight="1" x14ac:dyDescent="0.3">
      <c r="A867" s="1">
        <v>452601</v>
      </c>
      <c r="B867" s="1"/>
      <c r="C867" s="1" t="str">
        <f>CONCATENATE(H867,"-",J17)</f>
        <v>2700- czarny mat</v>
      </c>
      <c r="D867" s="1">
        <v>452601</v>
      </c>
      <c r="E867" s="48" t="str">
        <f>+VLOOKUP(A867,cennik!A:G,2,FALSE)</f>
        <v>SEVROLL 05306 Faworyt II rączka 2,7 m, czarna matowa</v>
      </c>
      <c r="F867" s="48" t="str">
        <f>+VLOOKUP(A867,cennik!A:B,2,FALSE)</f>
        <v>SEVROLL 05306 Faworyt II rączka 2,7 m, czarna matowa</v>
      </c>
      <c r="G867" s="1"/>
      <c r="H867" s="1">
        <v>2700</v>
      </c>
      <c r="I867" s="1" t="str">
        <f>CONCATENATE(H867,"-",J17)</f>
        <v>2700- czarny mat</v>
      </c>
      <c r="Z867" s="1" t="b">
        <f t="shared" si="21"/>
        <v>1</v>
      </c>
    </row>
    <row r="868" spans="1:26" s="437" customFormat="1" ht="15" customHeight="1" x14ac:dyDescent="0.3">
      <c r="A868" s="2">
        <v>452735</v>
      </c>
      <c r="B868" s="1"/>
      <c r="C868" s="1" t="str">
        <f>CONCATENATE(H868,"-",J17)</f>
        <v>3000- czarny mat</v>
      </c>
      <c r="D868" s="2">
        <v>452735</v>
      </c>
      <c r="E868" s="429" t="str">
        <f>+VLOOKUP(A868,cennik!A:G,2,FALSE)</f>
        <v>SEVROLL Pax tor dolny 3m czarny mat</v>
      </c>
      <c r="F868" s="48" t="str">
        <f>+VLOOKUP(A868,cennik!A:B,2,FALSE)</f>
        <v>SEVROLL Pax tor dolny 3m czarny mat</v>
      </c>
      <c r="G868" s="1"/>
      <c r="H868" s="1">
        <v>3000</v>
      </c>
      <c r="I868" s="1" t="str">
        <f>CONCATENATE(H868,"-",J17)</f>
        <v>3000- czarny mat</v>
      </c>
      <c r="Z868" s="1" t="b">
        <f t="shared" si="21"/>
        <v>1</v>
      </c>
    </row>
    <row r="869" spans="1:26" s="437" customFormat="1" ht="15" customHeight="1" x14ac:dyDescent="0.3">
      <c r="A869" s="2">
        <v>456332</v>
      </c>
      <c r="B869" s="1"/>
      <c r="C869" s="1" t="str">
        <f>CONCATENATE(H869,"-",J17)</f>
        <v>2700- czarny mat</v>
      </c>
      <c r="D869" s="2">
        <v>456332</v>
      </c>
      <c r="E869" s="48" t="str">
        <f>+VLOOKUP(A869,cennik!A:G,2,FALSE)</f>
        <v>SEVROLL Pax rączka 2,7 m, czarny mat</v>
      </c>
      <c r="F869" s="48" t="str">
        <f>+VLOOKUP(A869,cennik!A:B,2,FALSE)</f>
        <v>SEVROLL Pax rączka 2,7 m, czarny mat</v>
      </c>
      <c r="G869" s="1"/>
      <c r="H869" s="1">
        <v>2700</v>
      </c>
      <c r="I869" s="1" t="str">
        <f>CONCATENATE(H869,"-",J17)</f>
        <v>2700- czarny mat</v>
      </c>
      <c r="Z869" s="1" t="b">
        <f t="shared" si="21"/>
        <v>1</v>
      </c>
    </row>
    <row r="870" spans="1:26" ht="15" customHeight="1" x14ac:dyDescent="0.3">
      <c r="A870" s="2">
        <v>456333</v>
      </c>
      <c r="C870" s="1" t="str">
        <f>CONCATENATE(H870,"-",J17)</f>
        <v>3000- czarny mat</v>
      </c>
      <c r="D870" s="2">
        <v>456333</v>
      </c>
      <c r="E870" s="48" t="str">
        <f>+VLOOKUP(A870,cennik!A:G,2,FALSE)</f>
        <v>SEVROLL Pax rączka 3m, czarny mat</v>
      </c>
      <c r="F870" s="48" t="str">
        <f>+VLOOKUP(A870,cennik!A:B,2,FALSE)</f>
        <v>SEVROLL Pax rączka 3m, czarny mat</v>
      </c>
      <c r="H870" s="1">
        <v>3000</v>
      </c>
      <c r="I870" s="1" t="str">
        <f>CONCATENATE(H870,"-",J17)</f>
        <v>3000- czarny mat</v>
      </c>
      <c r="Z870" s="1" t="b">
        <f t="shared" si="21"/>
        <v>1</v>
      </c>
    </row>
    <row r="871" spans="1:26" ht="15" customHeight="1" x14ac:dyDescent="0.3">
      <c r="A871" s="1">
        <v>422012</v>
      </c>
      <c r="C871" s="1" t="str">
        <f>CONCATENATE(H871,"-",J17)</f>
        <v>- czarny mat</v>
      </c>
      <c r="D871" s="1">
        <v>422012</v>
      </c>
      <c r="E871" s="48" t="str">
        <f>+VLOOKUP(A871,cennik!A:G,2,FALSE)</f>
        <v>SEVROLL Pax zaślepka do rączki (4 szt.), czarny mat</v>
      </c>
      <c r="F871" s="48" t="str">
        <f>+VLOOKUP(A871,cennik!A:B,2,FALSE)</f>
        <v>SEVROLL Pax zaślepka do rączki (4 szt.), czarny mat</v>
      </c>
      <c r="I871" s="1" t="str">
        <f>CONCATENATE(H871,"-",J17)</f>
        <v>- czarny mat</v>
      </c>
      <c r="Z871" s="1" t="b">
        <f t="shared" si="21"/>
        <v>1</v>
      </c>
    </row>
    <row r="872" spans="1:26" ht="15" customHeight="1" x14ac:dyDescent="0.3">
      <c r="A872" s="1">
        <v>452606</v>
      </c>
      <c r="C872" s="1" t="str">
        <f>CONCATENATE(H872,"-",J17)</f>
        <v>3000- czarny mat</v>
      </c>
      <c r="D872" s="1">
        <v>452606</v>
      </c>
      <c r="E872" s="48" t="str">
        <f>+VLOOKUP(A872,cennik!A:G,2,FALSE)</f>
        <v>SEVROLL 05341 teownik 04 3m czarny mat</v>
      </c>
      <c r="F872" s="48" t="str">
        <f>+VLOOKUP(A872,cennik!A:B,2,FALSE)</f>
        <v>SEVROLL 05341 teownik 04 3m czarny mat</v>
      </c>
      <c r="H872" s="1">
        <v>3000</v>
      </c>
      <c r="I872" s="1" t="str">
        <f>CONCATENATE(H872,"-",J17)</f>
        <v>3000- czarny mat</v>
      </c>
      <c r="Z872" s="1" t="b">
        <f t="shared" si="21"/>
        <v>1</v>
      </c>
    </row>
    <row r="873" spans="1:26" ht="15" customHeight="1" x14ac:dyDescent="0.3">
      <c r="A873" s="1">
        <v>422009</v>
      </c>
      <c r="C873" s="1" t="str">
        <f>CONCATENATE(H873,"-",J17)</f>
        <v>- czarny mat</v>
      </c>
      <c r="D873" s="1">
        <v>422009</v>
      </c>
      <c r="E873" s="48" t="str">
        <f>+VLOOKUP(A873,cennik!A:G,2,FALSE)</f>
        <v>SEVROLL Pax uchwyt przyklejany czarny polysk</v>
      </c>
      <c r="F873" s="48" t="str">
        <f>+VLOOKUP(A873,cennik!A:B,2,FALSE)</f>
        <v>SEVROLL Pax uchwyt przyklejany czarny polysk</v>
      </c>
      <c r="I873" s="1" t="str">
        <f>CONCATENATE(H873,"-",J17)</f>
        <v>- czarny mat</v>
      </c>
      <c r="Z873" s="1" t="b">
        <f t="shared" si="21"/>
        <v>1</v>
      </c>
    </row>
    <row r="874" spans="1:26" ht="15" customHeight="1" x14ac:dyDescent="0.3">
      <c r="A874" s="2">
        <v>452737</v>
      </c>
      <c r="C874" s="1" t="str">
        <f>CONCATENATE(H874,"-",J17)</f>
        <v>3000- czarny mat</v>
      </c>
      <c r="D874" s="2">
        <v>452737</v>
      </c>
      <c r="E874" s="48" t="e">
        <f>+VLOOKUP(A874,cennik!A:G,2,FALSE)</f>
        <v>#N/A</v>
      </c>
      <c r="F874" s="48" t="e">
        <f>+VLOOKUP(A874,cennik!A:B,2,FALSE)</f>
        <v>#N/A</v>
      </c>
      <c r="H874" s="1">
        <v>3000</v>
      </c>
      <c r="I874" s="1" t="str">
        <f>CONCATENATE(H874,"-",J17)</f>
        <v>3000- czarny mat</v>
      </c>
      <c r="Z874" s="1" t="b">
        <f t="shared" si="21"/>
        <v>1</v>
      </c>
    </row>
    <row r="875" spans="1:26" ht="15" customHeight="1" x14ac:dyDescent="0.3">
      <c r="A875" s="436">
        <v>276731</v>
      </c>
      <c r="B875" s="437"/>
      <c r="C875" s="437" t="str">
        <f>CONCATENATE(H875,"-",J18)</f>
        <v>3000-biały mat</v>
      </c>
      <c r="D875" s="436">
        <v>276731</v>
      </c>
      <c r="E875" s="438" t="str">
        <f>+VLOOKUP(A875,cennik!A:G,2,FALSE)</f>
        <v>SEVROLL kątownik Mini 17x11 mm 3 m, biały matowy</v>
      </c>
      <c r="F875" s="438" t="str">
        <f>+VLOOKUP(A875,cennik!A:B,2,FALSE)</f>
        <v>SEVROLL kątownik Mini 17x11 mm 3 m, biały matowy</v>
      </c>
      <c r="G875" s="437"/>
      <c r="H875" s="437">
        <v>3000</v>
      </c>
      <c r="I875" s="437" t="str">
        <f>CONCATENATE(H875,"-",J18)</f>
        <v>3000-biały mat</v>
      </c>
      <c r="Z875" s="1" t="b">
        <f t="shared" si="21"/>
        <v>1</v>
      </c>
    </row>
    <row r="876" spans="1:26" s="434" customFormat="1" ht="15" customHeight="1" x14ac:dyDescent="0.3">
      <c r="A876" s="436">
        <v>276742</v>
      </c>
      <c r="B876" s="437"/>
      <c r="C876" s="437" t="str">
        <f>CONCATENATE(H876,"-",J18)</f>
        <v>2700-biały mat</v>
      </c>
      <c r="D876" s="436">
        <v>276742</v>
      </c>
      <c r="E876" s="438" t="str">
        <f>+VLOOKUP(A876,cennik!A:G,2,FALSE)</f>
        <v>SEVROLL Faworyt II rączka 2,7 m, biała matowa</v>
      </c>
      <c r="F876" s="438" t="str">
        <f>+VLOOKUP(A876,cennik!A:B,2,FALSE)</f>
        <v>SEVROLL Faworyt II rączka 2,7 m, biała matowa</v>
      </c>
      <c r="G876" s="437"/>
      <c r="H876" s="437">
        <v>2700</v>
      </c>
      <c r="I876" s="437" t="str">
        <f>CONCATENATE(H876,"-",J18)</f>
        <v>2700-biały mat</v>
      </c>
      <c r="Z876" s="1" t="b">
        <f t="shared" si="21"/>
        <v>1</v>
      </c>
    </row>
    <row r="877" spans="1:26" s="434" customFormat="1" ht="15" customHeight="1" x14ac:dyDescent="0.3">
      <c r="A877" s="436">
        <v>394791</v>
      </c>
      <c r="B877" s="437"/>
      <c r="C877" s="437" t="str">
        <f>CONCATENATE(H877,"-",J18)</f>
        <v>2700-biały mat</v>
      </c>
      <c r="D877" s="436">
        <v>394791</v>
      </c>
      <c r="E877" s="438" t="str">
        <f>+VLOOKUP(A877,cennik!A:G,2,FALSE)</f>
        <v>SEVROLL Alfa II rączka 18mm 2,7m biały matowy</v>
      </c>
      <c r="F877" s="438" t="str">
        <f>+VLOOKUP(A877,cennik!A:B,2,FALSE)</f>
        <v>SEVROLL Alfa II rączka 18mm 2,7m biały matowy</v>
      </c>
      <c r="G877" s="437"/>
      <c r="H877" s="437">
        <v>2700</v>
      </c>
      <c r="I877" s="437" t="str">
        <f>CONCATENATE(H877,"-",J18)</f>
        <v>2700-biały mat</v>
      </c>
      <c r="Z877" s="1" t="b">
        <f t="shared" si="21"/>
        <v>1</v>
      </c>
    </row>
    <row r="878" spans="1:26" s="434" customFormat="1" ht="15" customHeight="1" x14ac:dyDescent="0.3">
      <c r="A878" s="436">
        <v>406464</v>
      </c>
      <c r="B878" s="437"/>
      <c r="C878" s="437" t="str">
        <f>CONCATENATE(H878,"-",J18)</f>
        <v>3000-biały mat</v>
      </c>
      <c r="D878" s="436">
        <v>406464</v>
      </c>
      <c r="E878" s="438" t="str">
        <f>+VLOOKUP(A878,cennik!A:G,2,FALSE)</f>
        <v>SEVROLL profil "U" do płyty laminowanej 18mm 3m biały matowy</v>
      </c>
      <c r="F878" s="438" t="str">
        <f>+VLOOKUP(A878,cennik!A:B,2,FALSE)</f>
        <v>SEVROLL profil "U" do płyty laminowanej 18mm 3m biały matowy</v>
      </c>
      <c r="G878" s="437"/>
      <c r="H878" s="437">
        <v>3000</v>
      </c>
      <c r="I878" s="437" t="str">
        <f>CONCATENATE(H878,"-",J18)</f>
        <v>3000-biały mat</v>
      </c>
      <c r="Z878" s="1" t="b">
        <f t="shared" si="21"/>
        <v>1</v>
      </c>
    </row>
    <row r="879" spans="1:26" s="434" customFormat="1" ht="15" customHeight="1" x14ac:dyDescent="0.3">
      <c r="A879" s="434">
        <v>372603</v>
      </c>
      <c r="C879" s="434" t="str">
        <f>CONCATENATE(H879,"-",J15)</f>
        <v>2700- biały połysk</v>
      </c>
      <c r="D879" s="434">
        <v>372603</v>
      </c>
      <c r="E879" s="432" t="str">
        <f>+VLOOKUP(A879,cennik!A:G,2,FALSE)</f>
        <v>Sevroll Rączka Era 18 mm 2,70 m, biała połysk</v>
      </c>
      <c r="F879" s="432" t="str">
        <f>+VLOOKUP(A879,cennik!A:B,2,FALSE)</f>
        <v>Sevroll Rączka Era 18 mm 2,70 m, biała połysk</v>
      </c>
      <c r="H879" s="434">
        <v>2700</v>
      </c>
      <c r="I879" s="434" t="str">
        <f>CONCATENATE(H879,"-",J15)</f>
        <v>2700- biały połysk</v>
      </c>
      <c r="Z879" s="1" t="b">
        <f t="shared" si="21"/>
        <v>1</v>
      </c>
    </row>
    <row r="880" spans="1:26" s="434" customFormat="1" ht="15" customHeight="1" x14ac:dyDescent="0.3">
      <c r="A880" s="434">
        <v>394231</v>
      </c>
      <c r="C880" s="434" t="str">
        <f>CONCATENATE(H880,"-",J15)</f>
        <v>2000- biały połysk</v>
      </c>
      <c r="D880" s="434">
        <v>394231</v>
      </c>
      <c r="E880" s="432" t="str">
        <f>+VLOOKUP(A880,cennik!A:G,2,FALSE)</f>
        <v>SEVROLL dolna listwa maskująca Simple/Blue 2m(do lam.18mm) biały błyszczący</v>
      </c>
      <c r="F880" s="432" t="str">
        <f>+VLOOKUP(A880,cennik!A:B,2,FALSE)</f>
        <v>SEVROLL dolna listwa maskująca Simple/Blue 2m(do lam.18mm) biały błyszczący</v>
      </c>
      <c r="H880" s="434">
        <v>2000</v>
      </c>
      <c r="I880" s="434" t="str">
        <f>CONCATENATE(H880,"-",J15)</f>
        <v>2000- biały połysk</v>
      </c>
      <c r="Z880" s="1" t="b">
        <f t="shared" si="21"/>
        <v>1</v>
      </c>
    </row>
    <row r="881" spans="1:26" s="434" customFormat="1" ht="15" customHeight="1" x14ac:dyDescent="0.3">
      <c r="A881" s="434">
        <v>394265</v>
      </c>
      <c r="C881" s="434" t="str">
        <f>CONCATENATE(H881,"-",J15)</f>
        <v>3000- biały połysk</v>
      </c>
      <c r="D881" s="434">
        <v>394265</v>
      </c>
      <c r="E881" s="432" t="str">
        <f>+VLOOKUP(A881,cennik!A:G,2,FALSE)</f>
        <v>SEVROLL maskownica dolna Simple/Blue 3m (do płyty laminowanej 18mm) biały połysk</v>
      </c>
      <c r="F881" s="432" t="str">
        <f>+VLOOKUP(A881,cennik!A:B,2,FALSE)</f>
        <v>SEVROLL maskownica dolna Simple/Blue 3m (do płyty laminowanej 18mm) biały połysk</v>
      </c>
      <c r="H881" s="434">
        <v>3000</v>
      </c>
      <c r="I881" s="434" t="str">
        <f>CONCATENATE(H881,"-",J15)</f>
        <v>3000- biały połysk</v>
      </c>
      <c r="Z881" s="1" t="b">
        <f t="shared" si="21"/>
        <v>1</v>
      </c>
    </row>
    <row r="882" spans="1:26" s="434" customFormat="1" ht="15" customHeight="1" x14ac:dyDescent="0.3">
      <c r="A882" s="434">
        <v>394267</v>
      </c>
      <c r="C882" s="434" t="str">
        <f>CONCATENATE(H882,"-",J15)</f>
        <v>2000- biały połysk</v>
      </c>
      <c r="D882" s="434">
        <v>394267</v>
      </c>
      <c r="E882" s="432" t="str">
        <f>+VLOOKUP(A882,cennik!A:G,2,FALSE)</f>
        <v>SEVROLL górna listwa prowadząca Simple/Blue 2m (do lam. 18mm)biały błyszczący</v>
      </c>
      <c r="F882" s="432" t="str">
        <f>+VLOOKUP(A882,cennik!A:B,2,FALSE)</f>
        <v>SEVROLL górna listwa prowadząca Simple/Blue 2m (do lam. 18mm)biały błyszczący</v>
      </c>
      <c r="H882" s="434">
        <v>2000</v>
      </c>
      <c r="I882" s="434" t="str">
        <f>CONCATENATE(H882,"-",J15)</f>
        <v>2000- biały połysk</v>
      </c>
      <c r="Z882" s="1" t="b">
        <f t="shared" si="21"/>
        <v>1</v>
      </c>
    </row>
    <row r="883" spans="1:26" ht="15" customHeight="1" x14ac:dyDescent="0.3">
      <c r="A883" s="434">
        <v>394270</v>
      </c>
      <c r="B883" s="434"/>
      <c r="C883" s="434" t="str">
        <f>CONCATENATE(H883,"-",J15)</f>
        <v>3000- biały połysk</v>
      </c>
      <c r="D883" s="434">
        <v>394270</v>
      </c>
      <c r="E883" s="432" t="str">
        <f>+VLOOKUP(A883,cennik!A:G,2,FALSE)</f>
        <v>SEVROLL tor dolny Simple/Blue 3m (do płyty laminowanej 18mm) srebrny</v>
      </c>
      <c r="F883" s="432" t="str">
        <f>+VLOOKUP(A883,cennik!A:B,2,FALSE)</f>
        <v>SEVROLL tor dolny Simple/Blue 3m (do płyty laminowanej 18mm) srebrny</v>
      </c>
      <c r="G883" s="434"/>
      <c r="H883" s="434">
        <v>3000</v>
      </c>
      <c r="I883" s="434" t="str">
        <f>CONCATENATE(H883,"-",J15)</f>
        <v>3000- biały połysk</v>
      </c>
      <c r="Z883" s="1" t="b">
        <f t="shared" si="21"/>
        <v>1</v>
      </c>
    </row>
    <row r="884" spans="1:26" ht="15" customHeight="1" x14ac:dyDescent="0.3">
      <c r="A884" s="434">
        <v>394273</v>
      </c>
      <c r="B884" s="434"/>
      <c r="C884" s="434" t="str">
        <f>CONCATENATE(H884,"-",J15)</f>
        <v>3000- biały połysk</v>
      </c>
      <c r="D884" s="434">
        <v>394273</v>
      </c>
      <c r="E884" s="432" t="str">
        <f>+VLOOKUP(A884,cennik!A:G,2,FALSE)</f>
        <v>SEVROLL listwa łącząca Simple/Blue H21 3m (do płyty laminowanej 18mm) biały poły</v>
      </c>
      <c r="F884" s="432" t="str">
        <f>+VLOOKUP(A884,cennik!A:B,2,FALSE)</f>
        <v>SEVROLL listwa łącząca Simple/Blue H21 3m (do płyty laminowanej 18mm) biały poły</v>
      </c>
      <c r="G884" s="434"/>
      <c r="H884" s="434">
        <v>3000</v>
      </c>
      <c r="I884" s="434" t="str">
        <f>CONCATENATE(H884,"-",J15)</f>
        <v>3000- biały połysk</v>
      </c>
      <c r="Z884" s="1" t="b">
        <f t="shared" si="21"/>
        <v>1</v>
      </c>
    </row>
    <row r="885" spans="1:26" ht="15" customHeight="1" x14ac:dyDescent="0.3">
      <c r="A885" s="434">
        <v>394281</v>
      </c>
      <c r="B885" s="434"/>
      <c r="C885" s="434" t="str">
        <f>CONCATENATE(H885,"-",J15)</f>
        <v>3000- biały połysk</v>
      </c>
      <c r="D885" s="434">
        <v>394281</v>
      </c>
      <c r="E885" s="432" t="str">
        <f>+VLOOKUP(A885,cennik!A:G,2,FALSE)</f>
        <v>SEVROLL listwa łącząca Simple/Blue H28 3m (do płyty laminowanej 18mm) biały poły</v>
      </c>
      <c r="F885" s="432" t="str">
        <f>+VLOOKUP(A885,cennik!A:B,2,FALSE)</f>
        <v>SEVROLL listwa łącząca Simple/Blue H28 3m (do płyty laminowanej 18mm) biały poły</v>
      </c>
      <c r="G885" s="434"/>
      <c r="H885" s="434">
        <v>3000</v>
      </c>
      <c r="I885" s="434" t="str">
        <f>CONCATENATE(H885,"-",J15)</f>
        <v>3000- biały połysk</v>
      </c>
      <c r="Z885" s="1" t="b">
        <f t="shared" si="21"/>
        <v>1</v>
      </c>
    </row>
    <row r="886" spans="1:26" ht="15" customHeight="1" x14ac:dyDescent="0.3">
      <c r="A886" s="1">
        <v>489291</v>
      </c>
      <c r="C886" s="1" t="str">
        <f>J6</f>
        <v>j.brąz</v>
      </c>
      <c r="D886" s="1">
        <v>489291</v>
      </c>
      <c r="E886" s="432" t="str">
        <f>+VLOOKUP(A886,cennik!A:G,2,FALSE)</f>
        <v>SEVROLL 05791 Prosper GM 18 rączka 2,7 m j.brąz</v>
      </c>
      <c r="F886" s="432" t="str">
        <f>+VLOOKUP(A886,cennik!A:B,2,FALSE)</f>
        <v>SEVROLL 05791 Prosper GM 18 rączka 2,7 m j.brąz</v>
      </c>
      <c r="I886" s="1" t="str">
        <f>J6</f>
        <v>j.brąz</v>
      </c>
    </row>
    <row r="887" spans="1:26" ht="15" customHeight="1" x14ac:dyDescent="0.3">
      <c r="A887" s="1">
        <v>489290</v>
      </c>
      <c r="C887" s="1" t="str">
        <f>J4</f>
        <v>srebrny</v>
      </c>
      <c r="D887" s="1">
        <v>489290</v>
      </c>
      <c r="E887" s="432" t="str">
        <f>+VLOOKUP(A887,cennik!A:G,2,FALSE)</f>
        <v>SEVROLL 05790 Prosper GM 18 rączka 2,7m srebrny</v>
      </c>
      <c r="F887" s="432" t="str">
        <f>+VLOOKUP(A887,cennik!A:B,2,FALSE)</f>
        <v>SEVROLL 05790 Prosper GM 18 rączka 2,7m srebrny</v>
      </c>
      <c r="I887" s="1" t="str">
        <f>J4</f>
        <v>srebrny</v>
      </c>
    </row>
    <row r="888" spans="1:26" ht="15" customHeight="1" x14ac:dyDescent="0.3">
      <c r="A888" s="1">
        <v>496942</v>
      </c>
      <c r="C888" s="1" t="str">
        <f>J4</f>
        <v>srebrny</v>
      </c>
      <c r="D888" s="1">
        <v>496942</v>
      </c>
      <c r="E888" s="432" t="str">
        <f>+VLOOKUP(A888,cennik!A:G,2,FALSE)</f>
        <v>SEVROLL 05804 GM 18 listwa łącząca H18 3m, srebrna</v>
      </c>
      <c r="F888" s="432" t="str">
        <f>+VLOOKUP(A888,cennik!A:B,2,FALSE)</f>
        <v>SEVROLL 05804 GM 18 listwa łącząca H18 3m, srebrna</v>
      </c>
      <c r="I888" s="1" t="str">
        <f>J4</f>
        <v>srebrny</v>
      </c>
    </row>
    <row r="889" spans="1:26" ht="15" customHeight="1" x14ac:dyDescent="0.3">
      <c r="A889" s="1">
        <v>496987</v>
      </c>
      <c r="C889" s="1" t="str">
        <f>J17</f>
        <v> czarny mat</v>
      </c>
      <c r="D889" s="1">
        <v>496987</v>
      </c>
      <c r="E889" s="432" t="str">
        <f>+VLOOKUP(A889,cennik!A:G,2,FALSE)</f>
        <v>SEVROLL 05924 GM 18 listwa łącząca H18 3m czarny mat</v>
      </c>
      <c r="F889" s="432" t="str">
        <f>+VLOOKUP(A889,cennik!A:B,2,FALSE)</f>
        <v>SEVROLL 05924 GM 18 listwa łącząca H18 3m czarny mat</v>
      </c>
      <c r="I889" s="1" t="str">
        <f>J17</f>
        <v> czarny mat</v>
      </c>
    </row>
    <row r="890" spans="1:26" ht="15" customHeight="1" x14ac:dyDescent="0.3">
      <c r="A890" s="1">
        <v>496986</v>
      </c>
      <c r="C890" s="1" t="str">
        <f>J6</f>
        <v>j.brąz</v>
      </c>
      <c r="D890" s="1">
        <v>496986</v>
      </c>
      <c r="E890" s="432" t="str">
        <f>+VLOOKUP(A890,cennik!A:G,2,FALSE)</f>
        <v>SEVROLL 05805 GM 18 listwa łącząca H18 3m jasny brąz</v>
      </c>
      <c r="F890" s="432" t="str">
        <f>+VLOOKUP(A890,cennik!A:B,2,FALSE)</f>
        <v>SEVROLL 05805 GM 18 listwa łącząca H18 3m jasny brąz</v>
      </c>
      <c r="I890" s="1" t="str">
        <f>J6</f>
        <v>j.brąz</v>
      </c>
    </row>
    <row r="891" spans="1:26" ht="15" customHeight="1" x14ac:dyDescent="0.3">
      <c r="A891" s="1">
        <v>496924</v>
      </c>
      <c r="C891" s="1" t="str">
        <f>J4</f>
        <v>srebrny</v>
      </c>
      <c r="D891" s="1">
        <v>496924</v>
      </c>
      <c r="E891" s="432" t="str">
        <f>+VLOOKUP(A891,cennik!A:G,2,FALSE)</f>
        <v>SEVROLL 05806 GM 18 listwa łącząca H25 3m, srebrna</v>
      </c>
      <c r="F891" s="432" t="str">
        <f>+VLOOKUP(A891,cennik!A:B,2,FALSE)</f>
        <v>SEVROLL 05806 GM 18 listwa łącząca H25 3m, srebrna</v>
      </c>
      <c r="I891" s="1" t="str">
        <f>J4</f>
        <v>srebrny</v>
      </c>
    </row>
    <row r="892" spans="1:26" ht="15" customHeight="1" x14ac:dyDescent="0.3">
      <c r="A892" s="1">
        <v>496996</v>
      </c>
      <c r="C892" s="1" t="str">
        <f>J17</f>
        <v> czarny mat</v>
      </c>
      <c r="D892" s="1">
        <v>496996</v>
      </c>
      <c r="E892" s="432" t="str">
        <f>+VLOOKUP(A892,cennik!A:G,2,FALSE)</f>
        <v>SEVROLL 05926 GM 18 listwa łącząca H25 3m czarny mat</v>
      </c>
      <c r="F892" s="432" t="str">
        <f>+VLOOKUP(A892,cennik!A:B,2,FALSE)</f>
        <v>SEVROLL 05926 GM 18 listwa łącząca H25 3m czarny mat</v>
      </c>
      <c r="I892" s="1" t="str">
        <f>J17</f>
        <v> czarny mat</v>
      </c>
    </row>
    <row r="893" spans="1:26" ht="15" customHeight="1" x14ac:dyDescent="0.3">
      <c r="A893" s="1">
        <v>496990</v>
      </c>
      <c r="C893" s="1" t="str">
        <f>J6</f>
        <v>j.brąz</v>
      </c>
      <c r="D893" s="1">
        <v>496990</v>
      </c>
      <c r="E893" s="432" t="str">
        <f>+VLOOKUP(A893,cennik!A:G,2,FALSE)</f>
        <v>SEVROLL 05807 GM 18 listwa łącząca H25 3m jasny brąz</v>
      </c>
      <c r="F893" s="432" t="str">
        <f>+VLOOKUP(A893,cennik!A:B,2,FALSE)</f>
        <v>SEVROLL 05807 GM 18 listwa łącząca H25 3m jasny brąz</v>
      </c>
      <c r="I893" s="1" t="str">
        <f>J6</f>
        <v>j.brąz</v>
      </c>
    </row>
    <row r="894" spans="1:26" ht="15" customHeight="1" x14ac:dyDescent="0.3">
      <c r="A894" s="2">
        <v>489293</v>
      </c>
      <c r="C894" s="1" t="str">
        <f>J6</f>
        <v>j.brąz</v>
      </c>
      <c r="D894" s="2">
        <v>489293</v>
      </c>
      <c r="E894" s="432" t="str">
        <f>+VLOOKUP(A894,cennik!A:G,2,FALSE)</f>
        <v>SEVROLL 05789 Arte GM 18 rączka 2,7m j.brąz</v>
      </c>
      <c r="F894" s="432" t="str">
        <f>+VLOOKUP(A894,cennik!A:B,2,FALSE)</f>
        <v>SEVROLL 05789 Arte GM 18 rączka 2,7m j.brąz</v>
      </c>
      <c r="H894" s="1">
        <v>2700</v>
      </c>
      <c r="I894" s="1" t="str">
        <f>J6</f>
        <v>j.brąz</v>
      </c>
    </row>
    <row r="895" spans="1:26" ht="15" customHeight="1" x14ac:dyDescent="0.3">
      <c r="A895" s="2">
        <v>489292</v>
      </c>
      <c r="C895" s="1" t="str">
        <f>J4</f>
        <v>srebrny</v>
      </c>
      <c r="D895" s="2">
        <v>489292</v>
      </c>
      <c r="E895" s="432" t="str">
        <f>+VLOOKUP(A895,cennik!A:G,2,FALSE)</f>
        <v>SEVROLL 05788 Arte GM 18 rączka 2,7m srebrny</v>
      </c>
      <c r="F895" s="432" t="str">
        <f>+VLOOKUP(A895,cennik!A:B,2,FALSE)</f>
        <v>SEVROLL 05788 Arte GM 18 rączka 2,7m srebrny</v>
      </c>
      <c r="H895" s="1">
        <v>2700</v>
      </c>
      <c r="I895" s="1" t="str">
        <f>J4</f>
        <v>srebrny</v>
      </c>
    </row>
    <row r="896" spans="1:26" ht="15" customHeight="1" x14ac:dyDescent="0.3">
      <c r="A896" s="1">
        <v>489294</v>
      </c>
      <c r="C896" s="1" t="str">
        <f>J17</f>
        <v> czarny mat</v>
      </c>
      <c r="D896" s="1">
        <v>489294</v>
      </c>
      <c r="E896" s="432" t="str">
        <f>+VLOOKUP(A896,cennik!A:G,2,FALSE)</f>
        <v>SEVROLL 05910 Arte GM 18 rączka 2,7m czarny mat</v>
      </c>
      <c r="F896" s="432" t="str">
        <f>+VLOOKUP(A896,cennik!A:B,2,FALSE)</f>
        <v>SEVROLL 05910 Arte GM 18 rączka 2,7m czarny mat</v>
      </c>
      <c r="H896" s="1">
        <v>2700</v>
      </c>
      <c r="I896" s="1" t="str">
        <f>J17</f>
        <v> czarny mat</v>
      </c>
    </row>
    <row r="897" spans="1:9" ht="15" customHeight="1" x14ac:dyDescent="0.3">
      <c r="A897" s="1">
        <v>489287</v>
      </c>
      <c r="C897" s="1" t="str">
        <f>J4</f>
        <v>srebrny</v>
      </c>
      <c r="D897" s="1">
        <v>489287</v>
      </c>
      <c r="E897" s="432" t="str">
        <f>+VLOOKUP(A897,cennik!A:G,2,FALSE)</f>
        <v>SEVROLL 05785 Porto GM 18 rączka 3m srebrny</v>
      </c>
      <c r="F897" s="432" t="str">
        <f>+VLOOKUP(A897,cennik!A:B,2,FALSE)</f>
        <v>SEVROLL 05785 Porto GM 18 rączka 3m srebrny</v>
      </c>
      <c r="H897" s="1">
        <v>3000</v>
      </c>
      <c r="I897" s="1" t="str">
        <f>J4</f>
        <v>srebrny</v>
      </c>
    </row>
    <row r="898" spans="1:9" ht="15" customHeight="1" x14ac:dyDescent="0.3">
      <c r="A898" s="1">
        <v>489289</v>
      </c>
      <c r="C898" s="1" t="str">
        <f>J6</f>
        <v>j.brąz</v>
      </c>
      <c r="D898" s="1">
        <v>489289</v>
      </c>
      <c r="E898" s="432" t="str">
        <f>+VLOOKUP(A898,cennik!A:G,2,FALSE)</f>
        <v>SEVROLL 05786 Porto GM 18 rączka 2,7m j.brąz</v>
      </c>
      <c r="F898" s="432" t="str">
        <f>+VLOOKUP(A898,cennik!A:B,2,FALSE)</f>
        <v>SEVROLL 05786 Porto GM 18 rączka 2,7m j.brąz</v>
      </c>
      <c r="H898" s="1">
        <v>2700</v>
      </c>
      <c r="I898" s="1" t="str">
        <f>J6</f>
        <v>j.brąz</v>
      </c>
    </row>
    <row r="899" spans="1:9" ht="15" customHeight="1" x14ac:dyDescent="0.3">
      <c r="A899" s="1">
        <v>489287</v>
      </c>
      <c r="C899" s="1" t="str">
        <f>J4</f>
        <v>srebrny</v>
      </c>
      <c r="D899" s="1">
        <v>489287</v>
      </c>
      <c r="E899" s="432" t="str">
        <f>+VLOOKUP(A899,cennik!A:G,2,FALSE)</f>
        <v>SEVROLL 05785 Porto GM 18 rączka 3m srebrny</v>
      </c>
      <c r="F899" s="432" t="str">
        <f>+VLOOKUP(A899,cennik!A:B,2,FALSE)</f>
        <v>SEVROLL 05785 Porto GM 18 rączka 3m srebrny</v>
      </c>
      <c r="H899" s="434">
        <v>3000</v>
      </c>
      <c r="I899" s="1" t="str">
        <f>J4</f>
        <v>srebrny</v>
      </c>
    </row>
    <row r="900" spans="1:9" ht="15" customHeight="1" x14ac:dyDescent="0.3">
      <c r="A900" s="1">
        <v>489288</v>
      </c>
      <c r="C900" s="1" t="str">
        <f>J6</f>
        <v>j.brąz</v>
      </c>
      <c r="D900" s="1">
        <v>489288</v>
      </c>
      <c r="E900" s="432" t="str">
        <f>+VLOOKUP(A900,cennik!A:G,2,FALSE)</f>
        <v>SEVROLL 05787 Porto GM 18 rączka 2,7m j.brąz</v>
      </c>
      <c r="F900" s="432" t="str">
        <f>+VLOOKUP(A900,cennik!A:B,2,FALSE)</f>
        <v>SEVROLL 05787 Porto GM 18 rączka 2,7m j.brąz</v>
      </c>
      <c r="H900" s="434">
        <v>3000</v>
      </c>
      <c r="I900" s="1" t="str">
        <f>J6</f>
        <v>j.brąz</v>
      </c>
    </row>
  </sheetData>
  <autoFilter ref="A2:F900" xr:uid="{00000000-0009-0000-0000-000003000000}"/>
  <sortState xmlns:xlrd2="http://schemas.microsoft.com/office/spreadsheetml/2017/richdata2" ref="A864:I874">
    <sortCondition ref="E864:E874"/>
  </sortState>
  <phoneticPr fontId="0" type="noConversion"/>
  <conditionalFormatting sqref="A94:A98">
    <cfRule type="duplicateValues" dxfId="317" priority="53"/>
  </conditionalFormatting>
  <conditionalFormatting sqref="A185:A194">
    <cfRule type="duplicateValues" dxfId="316" priority="52"/>
  </conditionalFormatting>
  <conditionalFormatting sqref="A250">
    <cfRule type="duplicateValues" dxfId="315" priority="25"/>
    <cfRule type="duplicateValues" dxfId="314" priority="24"/>
  </conditionalFormatting>
  <conditionalFormatting sqref="A256:A260">
    <cfRule type="duplicateValues" dxfId="313" priority="54"/>
  </conditionalFormatting>
  <conditionalFormatting sqref="A261:A270">
    <cfRule type="duplicateValues" dxfId="312" priority="16"/>
    <cfRule type="duplicateValues" dxfId="311" priority="17"/>
  </conditionalFormatting>
  <conditionalFormatting sqref="A303">
    <cfRule type="duplicateValues" dxfId="310" priority="41"/>
    <cfRule type="duplicateValues" dxfId="309" priority="42"/>
  </conditionalFormatting>
  <conditionalFormatting sqref="A304:A306">
    <cfRule type="duplicateValues" dxfId="308" priority="44"/>
    <cfRule type="duplicateValues" dxfId="307" priority="43"/>
  </conditionalFormatting>
  <conditionalFormatting sqref="A320:A322">
    <cfRule type="duplicateValues" dxfId="306" priority="40"/>
    <cfRule type="duplicateValues" dxfId="305" priority="39"/>
  </conditionalFormatting>
  <conditionalFormatting sqref="A323">
    <cfRule type="duplicateValues" dxfId="304" priority="37"/>
    <cfRule type="duplicateValues" dxfId="303" priority="38"/>
  </conditionalFormatting>
  <conditionalFormatting sqref="A367:A368">
    <cfRule type="duplicateValues" dxfId="302" priority="50"/>
  </conditionalFormatting>
  <conditionalFormatting sqref="A378:A381">
    <cfRule type="duplicateValues" dxfId="301" priority="49"/>
  </conditionalFormatting>
  <conditionalFormatting sqref="A397">
    <cfRule type="duplicateValues" dxfId="300" priority="32"/>
  </conditionalFormatting>
  <conditionalFormatting sqref="A398:A399">
    <cfRule type="duplicateValues" dxfId="299" priority="33"/>
  </conditionalFormatting>
  <conditionalFormatting sqref="A438:A441">
    <cfRule type="duplicateValues" dxfId="298" priority="48"/>
  </conditionalFormatting>
  <conditionalFormatting sqref="A486:A488">
    <cfRule type="duplicateValues" dxfId="297" priority="19"/>
    <cfRule type="duplicateValues" dxfId="296" priority="18"/>
  </conditionalFormatting>
  <conditionalFormatting sqref="A489">
    <cfRule type="duplicateValues" dxfId="295" priority="30"/>
  </conditionalFormatting>
  <conditionalFormatting sqref="A490:A491">
    <cfRule type="duplicateValues" dxfId="294" priority="31"/>
  </conditionalFormatting>
  <conditionalFormatting sqref="A515">
    <cfRule type="duplicateValues" dxfId="293" priority="47"/>
  </conditionalFormatting>
  <conditionalFormatting sqref="A519">
    <cfRule type="duplicateValues" dxfId="292" priority="35"/>
  </conditionalFormatting>
  <conditionalFormatting sqref="A522">
    <cfRule type="duplicateValues" dxfId="291" priority="34"/>
  </conditionalFormatting>
  <conditionalFormatting sqref="A528:A529">
    <cfRule type="duplicateValues" dxfId="290" priority="29"/>
    <cfRule type="duplicateValues" dxfId="289" priority="28"/>
  </conditionalFormatting>
  <conditionalFormatting sqref="A561">
    <cfRule type="duplicateValues" dxfId="288" priority="36"/>
  </conditionalFormatting>
  <conditionalFormatting sqref="A646:A647">
    <cfRule type="duplicateValues" dxfId="287" priority="46"/>
  </conditionalFormatting>
  <conditionalFormatting sqref="A657:A658">
    <cfRule type="duplicateValues" dxfId="286" priority="45"/>
  </conditionalFormatting>
  <conditionalFormatting sqref="A723:A724">
    <cfRule type="duplicateValues" dxfId="285" priority="51"/>
  </conditionalFormatting>
  <conditionalFormatting sqref="A727:A728 A730">
    <cfRule type="duplicateValues" dxfId="284" priority="26"/>
  </conditionalFormatting>
  <conditionalFormatting sqref="A727:A728">
    <cfRule type="duplicateValues" dxfId="283" priority="27"/>
  </conditionalFormatting>
  <conditionalFormatting sqref="A729">
    <cfRule type="duplicateValues" dxfId="282" priority="22"/>
    <cfRule type="duplicateValues" dxfId="281" priority="23"/>
  </conditionalFormatting>
  <conditionalFormatting sqref="A864:A866 A635:A636 A572:A573">
    <cfRule type="duplicateValues" dxfId="280" priority="55"/>
  </conditionalFormatting>
  <conditionalFormatting sqref="A879:A885">
    <cfRule type="duplicateValues" dxfId="279" priority="56"/>
  </conditionalFormatting>
  <conditionalFormatting sqref="A886:A893 A1:A3 A896:A1048576">
    <cfRule type="duplicateValues" dxfId="278" priority="325"/>
  </conditionalFormatting>
  <conditionalFormatting sqref="A886:A893">
    <cfRule type="duplicateValues" dxfId="277" priority="112"/>
  </conditionalFormatting>
  <conditionalFormatting sqref="D94:D98">
    <cfRule type="duplicateValues" dxfId="276" priority="165"/>
  </conditionalFormatting>
  <conditionalFormatting sqref="D185:D194">
    <cfRule type="duplicateValues" dxfId="275" priority="162"/>
  </conditionalFormatting>
  <conditionalFormatting sqref="D250">
    <cfRule type="duplicateValues" dxfId="274" priority="66"/>
    <cfRule type="duplicateValues" dxfId="273" priority="65"/>
  </conditionalFormatting>
  <conditionalFormatting sqref="D256:D260">
    <cfRule type="duplicateValues" dxfId="272" priority="167"/>
  </conditionalFormatting>
  <conditionalFormatting sqref="D261:D265">
    <cfRule type="duplicateValues" dxfId="271" priority="58"/>
    <cfRule type="duplicateValues" dxfId="270" priority="57"/>
  </conditionalFormatting>
  <conditionalFormatting sqref="D266:D270">
    <cfRule type="duplicateValues" dxfId="269" priority="3"/>
    <cfRule type="duplicateValues" dxfId="268" priority="2"/>
  </conditionalFormatting>
  <conditionalFormatting sqref="D303">
    <cfRule type="duplicateValues" dxfId="267" priority="102"/>
    <cfRule type="duplicateValues" dxfId="266" priority="103"/>
  </conditionalFormatting>
  <conditionalFormatting sqref="D304:D306">
    <cfRule type="duplicateValues" dxfId="265" priority="106"/>
    <cfRule type="duplicateValues" dxfId="264" priority="107"/>
  </conditionalFormatting>
  <conditionalFormatting sqref="D320:D322">
    <cfRule type="duplicateValues" dxfId="263" priority="98"/>
    <cfRule type="duplicateValues" dxfId="262" priority="99"/>
  </conditionalFormatting>
  <conditionalFormatting sqref="D323">
    <cfRule type="duplicateValues" dxfId="261" priority="94"/>
    <cfRule type="duplicateValues" dxfId="260" priority="95"/>
  </conditionalFormatting>
  <conditionalFormatting sqref="D367:D368">
    <cfRule type="duplicateValues" dxfId="259" priority="155"/>
  </conditionalFormatting>
  <conditionalFormatting sqref="D378:D381">
    <cfRule type="duplicateValues" dxfId="258" priority="151"/>
  </conditionalFormatting>
  <conditionalFormatting sqref="D397">
    <cfRule type="duplicateValues" dxfId="257" priority="81"/>
  </conditionalFormatting>
  <conditionalFormatting sqref="D398:D399">
    <cfRule type="duplicateValues" dxfId="256" priority="84"/>
  </conditionalFormatting>
  <conditionalFormatting sqref="D438:D441">
    <cfRule type="duplicateValues" dxfId="255" priority="149"/>
  </conditionalFormatting>
  <conditionalFormatting sqref="D486:D488">
    <cfRule type="duplicateValues" dxfId="254" priority="59"/>
    <cfRule type="duplicateValues" dxfId="253" priority="60"/>
  </conditionalFormatting>
  <conditionalFormatting sqref="D489">
    <cfRule type="duplicateValues" dxfId="252" priority="75"/>
  </conditionalFormatting>
  <conditionalFormatting sqref="D490:D491">
    <cfRule type="duplicateValues" dxfId="251" priority="78"/>
  </conditionalFormatting>
  <conditionalFormatting sqref="D515">
    <cfRule type="duplicateValues" dxfId="250" priority="146"/>
  </conditionalFormatting>
  <conditionalFormatting sqref="D519">
    <cfRule type="duplicateValues" dxfId="249" priority="90"/>
  </conditionalFormatting>
  <conditionalFormatting sqref="D522">
    <cfRule type="duplicateValues" dxfId="248" priority="87"/>
  </conditionalFormatting>
  <conditionalFormatting sqref="D528:D529">
    <cfRule type="duplicateValues" dxfId="247" priority="69"/>
    <cfRule type="duplicateValues" dxfId="246" priority="70"/>
  </conditionalFormatting>
  <conditionalFormatting sqref="D561">
    <cfRule type="duplicateValues" dxfId="245" priority="93"/>
  </conditionalFormatting>
  <conditionalFormatting sqref="D646:D647">
    <cfRule type="duplicateValues" dxfId="244" priority="120"/>
  </conditionalFormatting>
  <conditionalFormatting sqref="D657:D658">
    <cfRule type="duplicateValues" dxfId="243" priority="118"/>
  </conditionalFormatting>
  <conditionalFormatting sqref="D723:D724">
    <cfRule type="duplicateValues" dxfId="242" priority="158"/>
  </conditionalFormatting>
  <conditionalFormatting sqref="D727:D728 D730">
    <cfRule type="duplicateValues" dxfId="241" priority="67"/>
  </conditionalFormatting>
  <conditionalFormatting sqref="D727:D728">
    <cfRule type="duplicateValues" dxfId="240" priority="68"/>
  </conditionalFormatting>
  <conditionalFormatting sqref="D729">
    <cfRule type="duplicateValues" dxfId="239" priority="63"/>
    <cfRule type="duplicateValues" dxfId="238" priority="64"/>
  </conditionalFormatting>
  <conditionalFormatting sqref="D864:D866 D635:D636 D572:D573">
    <cfRule type="duplicateValues" dxfId="237" priority="359"/>
  </conditionalFormatting>
  <conditionalFormatting sqref="D879:D885">
    <cfRule type="duplicateValues" dxfId="236" priority="403"/>
  </conditionalFormatting>
  <conditionalFormatting sqref="D886:D887">
    <cfRule type="duplicateValues" dxfId="235" priority="15"/>
    <cfRule type="duplicateValues" dxfId="234" priority="14"/>
  </conditionalFormatting>
  <conditionalFormatting sqref="D888 D890">
    <cfRule type="duplicateValues" dxfId="233" priority="13"/>
  </conditionalFormatting>
  <conditionalFormatting sqref="D888">
    <cfRule type="duplicateValues" dxfId="232" priority="12"/>
  </conditionalFormatting>
  <conditionalFormatting sqref="D889">
    <cfRule type="duplicateValues" dxfId="231" priority="7"/>
    <cfRule type="duplicateValues" dxfId="230" priority="6"/>
  </conditionalFormatting>
  <conditionalFormatting sqref="D891 D893">
    <cfRule type="duplicateValues" dxfId="229" priority="11"/>
  </conditionalFormatting>
  <conditionalFormatting sqref="D891">
    <cfRule type="duplicateValues" dxfId="228" priority="10"/>
  </conditionalFormatting>
  <conditionalFormatting sqref="D892">
    <cfRule type="duplicateValues" dxfId="227" priority="5"/>
    <cfRule type="duplicateValues" dxfId="226" priority="4"/>
  </conditionalFormatting>
  <conditionalFormatting sqref="D896">
    <cfRule type="duplicateValues" dxfId="225" priority="9"/>
    <cfRule type="duplicateValues" dxfId="224" priority="8"/>
  </conditionalFormatting>
  <conditionalFormatting sqref="D897:D900">
    <cfRule type="duplicateValues" dxfId="223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9043900DF584EA5165F744420CD1A" ma:contentTypeVersion="15" ma:contentTypeDescription="Create a new document." ma:contentTypeScope="" ma:versionID="7afbcca5eac136be3eb49aa2fff183f0">
  <xsd:schema xmlns:xsd="http://www.w3.org/2001/XMLSchema" xmlns:xs="http://www.w3.org/2001/XMLSchema" xmlns:p="http://schemas.microsoft.com/office/2006/metadata/properties" xmlns:ns3="60a0b2e8-b8b7-4c2e-9c4f-43d4ed8b0ea3" xmlns:ns4="07a90674-6774-4a86-a20d-91daacf43377" targetNamespace="http://schemas.microsoft.com/office/2006/metadata/properties" ma:root="true" ma:fieldsID="d44eb8cb2621fdc356017acc514eaaec" ns3:_="" ns4:_="">
    <xsd:import namespace="60a0b2e8-b8b7-4c2e-9c4f-43d4ed8b0ea3"/>
    <xsd:import namespace="07a90674-6774-4a86-a20d-91daacf433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b2e8-b8b7-4c2e-9c4f-43d4ed8b0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90674-6774-4a86-a20d-91daacf433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a0b2e8-b8b7-4c2e-9c4f-43d4ed8b0ea3" xsi:nil="true"/>
  </documentManagement>
</p:properties>
</file>

<file path=customXml/itemProps1.xml><?xml version="1.0" encoding="utf-8"?>
<ds:datastoreItem xmlns:ds="http://schemas.openxmlformats.org/officeDocument/2006/customXml" ds:itemID="{FB7ABDF6-CA38-43B6-85EE-43E17CFBA9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8BE62A-74BA-4DA3-9793-42128E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b2e8-b8b7-4c2e-9c4f-43d4ed8b0ea3"/>
    <ds:schemaRef ds:uri="07a90674-6774-4a86-a20d-91daacf43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71AC0B-44F3-4B4E-B553-7F10D635599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a90674-6774-4a86-a20d-91daacf43377"/>
    <ds:schemaRef ds:uri="60a0b2e8-b8b7-4c2e-9c4f-43d4ed8b0e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46</vt:i4>
      </vt:variant>
    </vt:vector>
  </HeadingPairs>
  <TitlesOfParts>
    <vt:vector size="95" baseType="lpstr">
      <vt:lpstr>profil</vt:lpstr>
      <vt:lpstr>texty</vt:lpstr>
      <vt:lpstr>Pax</vt:lpstr>
      <vt:lpstr>System10</vt:lpstr>
      <vt:lpstr>Vitara</vt:lpstr>
      <vt:lpstr>Lynx</vt:lpstr>
      <vt:lpstr>Gemini</vt:lpstr>
      <vt:lpstr>Lux</vt:lpstr>
      <vt:lpstr>data</vt:lpstr>
      <vt:lpstr>cennik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Arte GM rám</vt:lpstr>
      <vt:lpstr>Arte GM bezrám</vt:lpstr>
      <vt:lpstr>Porto GM rám</vt:lpstr>
      <vt:lpstr>Porto GM bezrám</vt:lpstr>
      <vt:lpstr>Prosper rám</vt:lpstr>
      <vt:lpstr>Prosper bezrám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Minicomfort II</vt:lpstr>
      <vt:lpstr>Comfort II</vt:lpstr>
      <vt:lpstr>Unicomfort II</vt:lpstr>
      <vt:lpstr>Era (bezrámový)</vt:lpstr>
      <vt:lpstr>Rekord (bezrámový)</vt:lpstr>
      <vt:lpstr>Era (rámový)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'Arte GM bezrám'!barva</vt:lpstr>
      <vt:lpstr>'Arte GM rám'!barva</vt:lpstr>
      <vt:lpstr>Fox!barva</vt:lpstr>
      <vt:lpstr>Lux!barva</vt:lpstr>
      <vt:lpstr>Pax!barva</vt:lpstr>
      <vt:lpstr>'Porto GM bezrám'!barva</vt:lpstr>
      <vt:lpstr>'Porto GM rám'!barva</vt:lpstr>
      <vt:lpstr>'Prosper bezrám'!barva</vt:lpstr>
      <vt:lpstr>'Prosper rám'!barva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(bezrámový)'!barva_7</vt:lpstr>
      <vt:lpstr>'Era (rámový)'!barva_7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Ergo!barva_8</vt:lpstr>
      <vt:lpstr>'Factor 18 II'!barva_8</vt:lpstr>
      <vt:lpstr>'Fiona II'!barva_8</vt:lpstr>
      <vt:lpstr>'Focus II'!barva_8</vt:lpstr>
      <vt:lpstr>'Oaza II'!barva_8</vt:lpstr>
      <vt:lpstr>Tytan!barva_8</vt:lpstr>
      <vt:lpstr>Universal!barva_8</vt:lpstr>
      <vt:lpstr>Victoria!barva_8</vt:lpstr>
      <vt:lpstr>barva_8</vt:lpstr>
      <vt:lpstr>čtyři_křídla</vt:lpstr>
      <vt:lpstr>dvě_křídla</vt:lpstr>
      <vt:lpstr>'Fiona II'!Oblast_tisku</vt:lpstr>
      <vt:lpstr>profil!Oblast_tisku</vt:lpstr>
      <vt:lpstr>System10!Oblast_tisku</vt:lpstr>
      <vt:lpstr>pět_křídel</vt:lpstr>
      <vt:lpstr>šest_křídel</vt:lpstr>
      <vt:lpstr>tři_křídla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Slaběňák Jiří</cp:lastModifiedBy>
  <cp:lastPrinted>2025-10-24T08:18:24Z</cp:lastPrinted>
  <dcterms:created xsi:type="dcterms:W3CDTF">2009-03-23T13:24:16Z</dcterms:created>
  <dcterms:modified xsi:type="dcterms:W3CDTF">2026-03-30T09:57:52Z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0x01010054D9043900DF584EA5165F744420CD1A</vt:lpwstr>
  </property>
</Properties>
</file>