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08E26BD4-4451-4C01-A490-D70F3930E1EA}" xr6:coauthVersionLast="47" xr6:coauthVersionMax="47" xr10:uidLastSave="{00000000-0000-0000-0000-000000000000}"/>
  <workbookProtection workbookAlgorithmName="SHA-512" workbookHashValue="R92fk9+49omYuSB03bZ/YGqmQTSqp0L87fj9Y0iMFNMvqSN/wwDQBHvR1j1XF3JUY8CdbJPNLjGSYFEArsIaww==" workbookSaltValue="sLtl0FVG/keAA/mm6qOpGA==" workbookSpinCount="100000" lockStructure="1"/>
  <bookViews>
    <workbookView showSheetTabs="0" xWindow="-108" yWindow="-108" windowWidth="23256" windowHeight="12456"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 i="71" l="1"/>
  <c r="AO1" i="99"/>
  <c r="D1" i="53"/>
  <c r="B80" i="53"/>
  <c r="F18" i="50"/>
  <c r="B81" i="53"/>
  <c r="F19" i="50"/>
  <c r="B71" i="53"/>
  <c r="A60" i="50"/>
  <c r="B72" i="53"/>
  <c r="A61" i="50"/>
  <c r="B73" i="53"/>
  <c r="A62" i="50"/>
  <c r="B74" i="53"/>
  <c r="A63" i="50"/>
  <c r="B227" i="53"/>
  <c r="AO2" i="51"/>
  <c r="B228" i="53"/>
  <c r="AO3" i="51"/>
  <c r="B229" i="53"/>
  <c r="AO4" i="51"/>
  <c r="B230" i="53"/>
  <c r="AO5" i="51"/>
  <c r="P82" i="32" a="1"/>
  <c r="P82" i="32"/>
  <c r="AC209" i="99"/>
  <c r="AC173" i="99"/>
  <c r="AC137" i="99"/>
  <c r="AC101" i="99"/>
  <c r="AC65" i="99"/>
  <c r="AC29" i="99"/>
  <c r="B6" i="53"/>
  <c r="A3" i="55"/>
  <c r="B8" i="53"/>
  <c r="A4" i="55"/>
  <c r="B9" i="53"/>
  <c r="A5" i="55"/>
  <c r="B11" i="53"/>
  <c r="A6" i="55"/>
  <c r="B12" i="53"/>
  <c r="A7" i="55"/>
  <c r="B14" i="53"/>
  <c r="A8" i="55"/>
  <c r="B15" i="53"/>
  <c r="A9" i="55"/>
  <c r="B7" i="53"/>
  <c r="A10" i="55"/>
  <c r="B69" i="53"/>
  <c r="A11" i="55"/>
  <c r="B70" i="53"/>
  <c r="A12" i="55"/>
  <c r="B10" i="53"/>
  <c r="A13" i="55"/>
  <c r="B16" i="53"/>
  <c r="A14" i="55"/>
  <c r="B64" i="53"/>
  <c r="A15" i="55"/>
  <c r="B13" i="53"/>
  <c r="A16" i="55"/>
  <c r="B55" i="53"/>
  <c r="A17" i="55"/>
  <c r="B17" i="53"/>
  <c r="A18" i="55"/>
  <c r="B18" i="53"/>
  <c r="A19" i="55"/>
  <c r="B59" i="53"/>
  <c r="A20" i="55"/>
  <c r="B60" i="53"/>
  <c r="A21" i="55"/>
  <c r="B19" i="53"/>
  <c r="A22" i="55"/>
  <c r="B20" i="53"/>
  <c r="A23" i="55"/>
  <c r="B21" i="53"/>
  <c r="A24" i="55"/>
  <c r="B45" i="53"/>
  <c r="A25" i="55"/>
  <c r="B22" i="53"/>
  <c r="A26" i="55"/>
  <c r="B23" i="53"/>
  <c r="A27" i="55"/>
  <c r="B25" i="53"/>
  <c r="A28" i="55"/>
  <c r="B26" i="53"/>
  <c r="A29" i="55"/>
  <c r="B61" i="53"/>
  <c r="A30" i="55"/>
  <c r="B29" i="53"/>
  <c r="A31" i="55"/>
  <c r="B52" i="53"/>
  <c r="A32" i="55"/>
  <c r="B53" i="53"/>
  <c r="A33" i="55"/>
  <c r="B30" i="53"/>
  <c r="A34" i="55"/>
  <c r="B58" i="53"/>
  <c r="A35" i="55"/>
  <c r="B50" i="53"/>
  <c r="A36" i="55"/>
  <c r="B42" i="53"/>
  <c r="A37" i="55"/>
  <c r="B63" i="53"/>
  <c r="A38" i="55"/>
  <c r="B34" i="53"/>
  <c r="A39" i="55"/>
  <c r="B35" i="53"/>
  <c r="A40" i="55"/>
  <c r="B37" i="53"/>
  <c r="A41" i="55"/>
  <c r="B36" i="53"/>
  <c r="A42" i="55"/>
  <c r="B38" i="53"/>
  <c r="A43" i="55"/>
  <c r="B39" i="53"/>
  <c r="A44" i="55"/>
  <c r="B40" i="53"/>
  <c r="A45" i="55"/>
  <c r="B41" i="53"/>
  <c r="A46" i="55"/>
  <c r="B62" i="53"/>
  <c r="A47" i="55"/>
  <c r="B65" i="53"/>
  <c r="A48" i="55"/>
  <c r="B24" i="53"/>
  <c r="A49" i="55"/>
  <c r="B56" i="53"/>
  <c r="A50" i="55"/>
  <c r="B43" i="53"/>
  <c r="A51" i="55"/>
  <c r="B44" i="53"/>
  <c r="A52" i="55"/>
  <c r="B46" i="53"/>
  <c r="A53" i="55"/>
  <c r="B47" i="53"/>
  <c r="A54" i="55"/>
  <c r="B48" i="53"/>
  <c r="A55" i="55"/>
  <c r="B31" i="53"/>
  <c r="A56" i="55"/>
  <c r="B57" i="53"/>
  <c r="A57" i="55"/>
  <c r="A58" i="55"/>
  <c r="A59" i="55"/>
  <c r="A60" i="55"/>
  <c r="A61" i="55"/>
  <c r="A62" i="55"/>
  <c r="A63" i="55"/>
  <c r="R1" i="55"/>
  <c r="B638" i="53"/>
  <c r="EN3" i="55"/>
  <c r="B639" i="53"/>
  <c r="EN4" i="55"/>
  <c r="B640" i="53"/>
  <c r="EN5" i="55"/>
  <c r="V1" i="55"/>
  <c r="S1" i="55"/>
  <c r="AD54" i="91" a="1"/>
  <c r="AD54" i="9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R1" i="63"/>
  <c r="EN3" i="63"/>
  <c r="EN4" i="63"/>
  <c r="EN5" i="63"/>
  <c r="V1" i="63"/>
  <c r="S1" i="63"/>
  <c r="AD54" i="95" a="1"/>
  <c r="AD54" i="95"/>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X54" i="95" a="1"/>
  <c r="B563" i="53"/>
  <c r="X3" i="63"/>
  <c r="X54" i="95"/>
  <c r="B564" i="53"/>
  <c r="X4" i="63"/>
  <c r="X55" i="95"/>
  <c r="B565" i="53"/>
  <c r="X5" i="63"/>
  <c r="X56" i="95"/>
  <c r="T54" i="95" a="1"/>
  <c r="T54" i="95"/>
  <c r="T55" i="95"/>
  <c r="T56" i="95"/>
  <c r="AV7" i="95"/>
  <c r="AA29" i="95"/>
  <c r="AD42" i="95"/>
  <c r="T48" i="95"/>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B36" i="95" a="1"/>
  <c r="B36" i="95"/>
  <c r="AT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54" i="94" a="1"/>
  <c r="X3" i="61"/>
  <c r="X54" i="94"/>
  <c r="X4" i="61"/>
  <c r="X55" i="94"/>
  <c r="X5" i="61"/>
  <c r="X56" i="94"/>
  <c r="T54" i="94" a="1"/>
  <c r="T54" i="94"/>
  <c r="T55" i="94"/>
  <c r="T56" i="94"/>
  <c r="AV7" i="94"/>
  <c r="AA29" i="94"/>
  <c r="AD42" i="94"/>
  <c r="T48" i="94"/>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54" i="93" a="1"/>
  <c r="X3" i="59"/>
  <c r="X54" i="93"/>
  <c r="X4" i="59"/>
  <c r="X55" i="93"/>
  <c r="X5" i="59"/>
  <c r="X56" i="93"/>
  <c r="T54" i="93" a="1"/>
  <c r="T54" i="93"/>
  <c r="T55" i="93"/>
  <c r="T56" i="93"/>
  <c r="AV7" i="93"/>
  <c r="AA29" i="93"/>
  <c r="AD42" i="93"/>
  <c r="T48" i="93"/>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54" i="92" a="1"/>
  <c r="X3" i="57"/>
  <c r="X54" i="92"/>
  <c r="X4" i="57"/>
  <c r="X55" i="92"/>
  <c r="X5" i="57"/>
  <c r="X56" i="92"/>
  <c r="T54" i="92" a="1"/>
  <c r="T54" i="92"/>
  <c r="T55" i="92"/>
  <c r="T56" i="92"/>
  <c r="AV7" i="92"/>
  <c r="AA29" i="92"/>
  <c r="AD42" i="92"/>
  <c r="T48" i="92"/>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D35" i="63"/>
  <c r="CC35" i="63"/>
  <c r="CD34" i="63"/>
  <c r="CC34" i="63"/>
  <c r="CD33" i="63"/>
  <c r="CC33" i="63"/>
  <c r="CD32" i="63"/>
  <c r="CC32" i="63"/>
  <c r="AB32" i="63"/>
  <c r="AB30" i="63"/>
  <c r="F17" i="63"/>
  <c r="F16" i="63"/>
  <c r="J15" i="63"/>
  <c r="F15" i="63"/>
  <c r="J14"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D35" i="61"/>
  <c r="CC35" i="61"/>
  <c r="CA35" i="61"/>
  <c r="BZ35" i="61"/>
  <c r="CD34" i="61"/>
  <c r="CC34" i="61"/>
  <c r="CA34" i="61"/>
  <c r="BZ34" i="61"/>
  <c r="CD33" i="61"/>
  <c r="CC33" i="61"/>
  <c r="CA33" i="61"/>
  <c r="BZ33" i="61"/>
  <c r="CD32" i="61"/>
  <c r="CC32" i="61"/>
  <c r="CA32" i="61"/>
  <c r="BZ32" i="61"/>
  <c r="AB32" i="61"/>
  <c r="AB30" i="61"/>
  <c r="F17" i="61"/>
  <c r="F16" i="61"/>
  <c r="J15" i="61"/>
  <c r="F15" i="61"/>
  <c r="J14" i="61"/>
  <c r="F14" i="61"/>
  <c r="FA9" i="61"/>
  <c r="FA8" i="61"/>
  <c r="FA7" i="61"/>
  <c r="FA6" i="61"/>
  <c r="FA5" i="61"/>
  <c r="EY5" i="61"/>
  <c r="FA4" i="61"/>
  <c r="EY4" i="61"/>
  <c r="FA3" i="61"/>
  <c r="EY3" i="61"/>
  <c r="BU3" i="61"/>
  <c r="FA2" i="61"/>
  <c r="EY2" i="61"/>
  <c r="P1" i="61" a="1"/>
  <c r="P1" i="61"/>
  <c r="Q67" i="59"/>
  <c r="EF65" i="59"/>
  <c r="CD35" i="59"/>
  <c r="CC35" i="59"/>
  <c r="CA35" i="59"/>
  <c r="BZ35" i="59"/>
  <c r="CD34" i="59"/>
  <c r="CC34" i="59"/>
  <c r="CA34" i="59"/>
  <c r="BZ34" i="59"/>
  <c r="CD33" i="59"/>
  <c r="CC33" i="59"/>
  <c r="CA33" i="59"/>
  <c r="BZ33" i="59"/>
  <c r="CD32" i="59"/>
  <c r="CC32" i="59"/>
  <c r="CA32" i="59"/>
  <c r="BZ32" i="59"/>
  <c r="AB32" i="59"/>
  <c r="AB30" i="59"/>
  <c r="F17" i="59"/>
  <c r="F16" i="59"/>
  <c r="J15" i="59"/>
  <c r="F15" i="59"/>
  <c r="J14" i="59"/>
  <c r="F14" i="59"/>
  <c r="FA9" i="59"/>
  <c r="FA8" i="59"/>
  <c r="FA7" i="59"/>
  <c r="FA6" i="59"/>
  <c r="FA5" i="59"/>
  <c r="EY5" i="59"/>
  <c r="FA4" i="59"/>
  <c r="EY4" i="59"/>
  <c r="FA3" i="59"/>
  <c r="EY3" i="59"/>
  <c r="BU3" i="59"/>
  <c r="FA2" i="59"/>
  <c r="EY2" i="59"/>
  <c r="P1" i="59" a="1"/>
  <c r="P1" i="59"/>
  <c r="Q67" i="57"/>
  <c r="EF65" i="57"/>
  <c r="CD35" i="57"/>
  <c r="CC35" i="57"/>
  <c r="CA35" i="57"/>
  <c r="BZ35" i="57"/>
  <c r="CD34" i="57"/>
  <c r="CC34" i="57"/>
  <c r="CA34" i="57"/>
  <c r="BZ34" i="57"/>
  <c r="CD33" i="57"/>
  <c r="CC33" i="57"/>
  <c r="CA33" i="57"/>
  <c r="BZ33" i="57"/>
  <c r="CD32" i="57"/>
  <c r="CC32" i="57"/>
  <c r="CA32" i="57"/>
  <c r="BZ32" i="57"/>
  <c r="AB32" i="57"/>
  <c r="AB30" i="57"/>
  <c r="F17" i="57"/>
  <c r="F16" i="57"/>
  <c r="J15" i="57"/>
  <c r="F15" i="57"/>
  <c r="J14"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R1" i="50"/>
  <c r="EN3" i="50"/>
  <c r="EN4" i="50"/>
  <c r="EN5" i="50"/>
  <c r="V1" i="50"/>
  <c r="S1" i="50"/>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D54" i="32" a="1"/>
  <c r="AD54" i="32"/>
  <c r="AJ9" i="96"/>
  <c r="R27"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8" i="109"/>
  <c r="G28" i="109"/>
  <c r="H27" i="109"/>
  <c r="I27" i="109"/>
  <c r="G27"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J27" i="109"/>
  <c r="P27" i="109"/>
  <c r="AE45" i="73"/>
  <c r="AK29" i="73"/>
  <c r="AC28" i="73"/>
  <c r="AL28" i="73"/>
  <c r="I26" i="109"/>
  <c r="P26" i="109"/>
  <c r="M44" i="73"/>
  <c r="I28" i="109"/>
  <c r="J28" i="109"/>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M27" i="109"/>
  <c r="N27" i="109"/>
  <c r="AK31" i="73"/>
  <c r="AC30" i="73"/>
  <c r="AL30" i="73"/>
  <c r="N16" i="107"/>
  <c r="T16" i="107"/>
  <c r="N26" i="109"/>
  <c r="M26" i="109"/>
  <c r="O44" i="73"/>
  <c r="AC24" i="73"/>
  <c r="AL24" i="73"/>
  <c r="W81" i="109"/>
  <c r="P28" i="109"/>
  <c r="O28" i="109"/>
  <c r="AH29" i="109"/>
  <c r="M28"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<sst xmlns="http://schemas.openxmlformats.org/spreadsheetml/2006/main" count="21016" uniqueCount="4534">
  <si>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</si>
  <si>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</si>
  <si>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</si>
  <si>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</si>
  <si>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</si>
  <si>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</si>
  <si>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</si>
  <si>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</si>
  <si>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</si>
  <si>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</si>
  <si>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</si>
  <si>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</si>
  <si>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</si>
  <si>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</si>
  <si>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</si>
  <si>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</si>
  <si>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</si>
  <si>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</si>
  <si>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</si>
  <si>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</si>
  <si>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</si>
  <si>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</si>
  <si>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</si>
  <si>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</si>
  <si>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</si>
  <si>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</si>
  <si>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</si>
  <si>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</si>
  <si>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</si>
  <si>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</si>
  <si>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</si>
  <si>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</si>
  <si>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</si>
  <si>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</si>
  <si>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</si>
  <si>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</si>
  <si>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</si>
  <si>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</si>
  <si>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</si>
  <si>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</si>
  <si>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</si>
  <si>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</si>
  <si>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</si>
  <si>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</si>
  <si>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</si>
  <si>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</si>
  <si>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</si>
  <si>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</si>
  <si>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</si>
  <si>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</si>
  <si>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</si>
  <si>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</si>
  <si>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</si>
  <si>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</si>
  <si>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</si>
  <si>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</si>
  <si>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</si>
  <si>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</si>
  <si>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</si>
  <si>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</si>
  <si>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</si>
  <si>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</si>
  <si>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</si>
  <si>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</si>
  <si>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</si>
  <si>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</si>
  <si>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</si>
  <si>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</si>
  <si>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</si>
  <si>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</si>
  <si>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</si>
  <si>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</si>
  <si>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</si>
  <si>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</si>
  <si>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</si>
  <si>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</si>
  <si>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</si>
  <si>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</si>
  <si>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</si>
  <si>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</si>
  <si>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</si>
  <si>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</si>
  <si>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</si>
  <si>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</si>
  <si>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</si>
  <si>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</si>
  <si>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</si>
  <si>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</si>
  <si>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</si>
  <si>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</si>
  <si>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</si>
  <si>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</si>
  <si>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</si>
  <si>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</si>
  <si>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</si>
  <si>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</si>
  <si>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</si>
  <si>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</si>
  <si>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</si>
  <si>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</si>
  <si>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</si>
  <si>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</si>
  <si>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</si>
  <si>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</si>
  <si>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</si>
  <si>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</si>
  <si>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</si>
  <si>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</si>
  <si>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</si>
  <si>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</si>
  <si>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</si>
  <si>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</si>
  <si>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</si>
  <si>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</si>
  <si>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</si>
  <si>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</si>
  <si>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</si>
  <si>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</si>
  <si>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</si>
  <si>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</si>
  <si>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</si>
  <si>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</si>
  <si>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</si>
  <si>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</si>
  <si>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</si>
  <si>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</si>
  <si>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</si>
  <si>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</si>
  <si>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</si>
  <si>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</si>
  <si>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</si>
  <si>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</si>
  <si>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</si>
  <si>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</si>
  <si>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</si>
  <si>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</si>
  <si>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</si>
  <si>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</si>
  <si>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</si>
  <si>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</si>
  <si>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</si>
  <si>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</si>
  <si>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</si>
  <si>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</si>
  <si>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</si>
  <si>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</si>
  <si>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</si>
  <si>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</si>
  <si>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</si>
  <si>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</si>
  <si>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</si>
  <si>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</si>
  <si>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</si>
  <si>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</si>
  <si>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</si>
  <si>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</si>
  <si>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</si>
  <si>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</si>
  <si>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</si>
  <si>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</si>
  <si>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</si>
  <si>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</si>
  <si>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</si>
  <si>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</si>
  <si>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</si>
  <si>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</si>
  <si>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</si>
  <si>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</si>
  <si>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</si>
  <si>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</si>
  <si>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</si>
  <si>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</si>
  <si>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</si>
  <si>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</si>
  <si>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</si>
  <si>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</si>
  <si>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</si>
  <si>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</si>
  <si>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</si>
  <si>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</si>
  <si>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</si>
  <si>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</si>
  <si>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</si>
  <si>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</si>
  <si>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</si>
  <si>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</si>
  <si>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</si>
  <si>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</si>
  <si>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</si>
  <si>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</si>
  <si>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</si>
  <si>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</si>
  <si>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</si>
  <si>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</si>
  <si>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</si>
  <si>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</si>
  <si>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</si>
  <si>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</si>
  <si>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</si>
  <si>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</si>
  <si>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</si>
  <si>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</si>
  <si>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</si>
  <si>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</si>
  <si>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</si>
  <si>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</si>
  <si>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</si>
  <si>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</si>
  <si>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</si>
  <si>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</si>
  <si>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</si>
  <si>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</si>
  <si>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</si>
  <si>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</si>
  <si>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</si>
  <si>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</si>
  <si>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</si>
  <si>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</si>
  <si>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</si>
  <si>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</si>
  <si>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</si>
  <si>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</si>
  <si>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</si>
  <si>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</si>
  <si>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</si>
  <si>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</si>
  <si>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</si>
  <si>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</si>
  <si>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</si>
  <si>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</si>
  <si>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</si>
  <si>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</si>
  <si>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</si>
  <si>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</si>
  <si>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</si>
  <si>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</si>
  <si>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</si>
  <si>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</si>
  <si>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</si>
  <si>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</si>
  <si>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</si>
  <si>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</si>
  <si>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</si>
  <si>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</si>
  <si>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</si>
  <si>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</si>
  <si>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</si>
  <si>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</si>
  <si>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</si>
  <si>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</si>
  <si>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</si>
  <si>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</si>
  <si>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</si>
  <si>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</si>
  <si>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</si>
  <si>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</si>
  <si>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</si>
  <si>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</si>
  <si>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</si>
  <si>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</si>
  <si>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</si>
  <si>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</si>
  <si>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</si>
  <si>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</si>
  <si>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</si>
  <si>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</si>
  <si>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</si>
  <si>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</si>
  <si>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</si>
  <si>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</si>
  <si>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</si>
  <si>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</si>
  <si>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</si>
  <si>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</si>
  <si>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</si>
  <si>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</si>
  <si>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</si>
  <si>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</si>
  <si>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</si>
  <si>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</si>
  <si>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</si>
  <si>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</si>
  <si>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</si>
  <si>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</si>
  <si>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</si>
  <si>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</si>
  <si>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</si>
  <si>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</si>
  <si>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</si>
  <si>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</si>
  <si>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</si>
  <si>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</si>
  <si>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</si>
  <si>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</si>
  <si>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</si>
  <si>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</si>
  <si>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</si>
  <si>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</si>
  <si>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</si>
  <si>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</si>
  <si>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</si>
  <si>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</si>
  <si>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</si>
  <si>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</si>
  <si>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</si>
  <si>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</si>
  <si>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</si>
  <si>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</si>
  <si>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</si>
  <si>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</si>
  <si>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</si>
  <si>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</si>
  <si>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</si>
  <si>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</si>
  <si>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</si>
  <si>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</si>
  <si>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</si>
  <si>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</si>
  <si>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</si>
  <si>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</si>
  <si>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</si>
  <si>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</si>
  <si>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</si>
  <si>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</si>
  <si>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</si>
  <si>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</si>
  <si>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</si>
  <si>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</si>
  <si>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</si>
  <si>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</si>
  <si>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</si>
  <si>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</si>
  <si>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</si>
  <si>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</si>
  <si>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</si>
  <si>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</si>
  <si>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</si>
  <si>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</si>
  <si>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</si>
  <si>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</si>
  <si>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</si>
  <si>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</si>
  <si>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</si>
  <si>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</si>
  <si>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</si>
  <si>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</si>
  <si>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</si>
  <si>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</si>
  <si>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</si>
  <si>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</si>
  <si>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</si>
  <si>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</si>
  <si>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</si>
  <si>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</si>
  <si>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</si>
  <si>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</si>
  <si>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</si>
  <si>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</si>
  <si>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</si>
  <si>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</si>
  <si>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</si>
  <si>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</si>
  <si>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</si>
  <si>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</si>
  <si>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</si>
  <si>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</si>
  <si>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</si>
  <si>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</si>
  <si>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</si>
  <si>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</si>
  <si>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</si>
  <si>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</si>
  <si>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</si>
  <si>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</si>
  <si>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</si>
  <si>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</si>
  <si>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</si>
  <si>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</si>
  <si>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</si>
  <si>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</si>
  <si>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</si>
  <si>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</si>
  <si>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</si>
  <si>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</si>
  <si>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</si>
  <si>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</si>
  <si>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</si>
  <si>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</si>
  <si>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</si>
  <si>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</si>
  <si>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</si>
  <si>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</si>
  <si>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</si>
  <si>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</si>
  <si>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</si>
  <si>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</si>
  <si>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</si>
  <si>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</si>
  <si>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</si>
  <si>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</si>
  <si>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</si>
  <si>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</si>
  <si>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</si>
  <si>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</si>
  <si>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</si>
  <si>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</si>
  <si>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</si>
  <si>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</si>
  <si>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</si>
  <si>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</si>
  <si>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</si>
  <si>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</si>
  <si>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</si>
  <si>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</si>
  <si>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</si>
  <si>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</si>
  <si>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</si>
  <si>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</si>
  <si>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</si>
  <si>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</si>
  <si>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</si>
  <si>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</si>
  <si>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</si>
  <si>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</si>
  <si>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</si>
  <si>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</si>
  <si>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</si>
  <si>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</si>
  <si>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</si>
  <si>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</si>
  <si>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</si>
  <si>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</si>
  <si>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</si>
  <si>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</si>
  <si>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</si>
  <si>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</si>
  <si>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</si>
  <si>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</si>
  <si>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</si>
  <si>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</si>
  <si>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</si>
  <si>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</si>
  <si>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</si>
  <si>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</si>
  <si>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</si>
  <si>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</si>
  <si>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</si>
  <si>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</si>
  <si>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</si>
  <si>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</si>
  <si>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</si>
  <si>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</si>
  <si>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</si>
  <si>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</si>
  <si>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</si>
  <si>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</si>
  <si>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</si>
  <si>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</si>
  <si>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</si>
  <si>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</si>
  <si>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</si>
  <si>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</si>
  <si>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</si>
  <si>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</si>
  <si>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</si>
  <si>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</si>
  <si>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</si>
  <si>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</si>
  <si>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</si>
  <si>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</si>
  <si>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</si>
  <si>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</si>
  <si>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</si>
  <si>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</si>
  <si>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</si>
  <si>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</si>
  <si>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</si>
  <si>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</si>
  <si>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</si>
  <si>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</si>
  <si>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</si>
  <si>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</si>
  <si>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</si>
  <si>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</si>
  <si>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</si>
  <si>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</si>
  <si>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</si>
  <si>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</si>
  <si>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</si>
  <si>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</si>
  <si>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</si>
  <si>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</si>
  <si>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</si>
  <si>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</si>
  <si>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</si>
  <si>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</si>
  <si>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</si>
  <si>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</si>
  <si>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</si>
  <si>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</si>
  <si>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</si>
  <si>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</si>
  <si>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</si>
  <si>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</si>
  <si>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</si>
  <si>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</si>
  <si>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</si>
  <si>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</si>
  <si>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</si>
  <si>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</si>
  <si>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</si>
  <si>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</si>
  <si>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</si>
  <si>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</si>
  <si>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</si>
  <si>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</si>
  <si>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</si>
  <si>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</si>
  <si>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</si>
  <si>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</si>
  <si>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</si>
  <si>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</si>
  <si>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</si>
  <si>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</si>
  <si>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</si>
  <si>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</si>
  <si>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</si>
  <si>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</si>
  <si>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</si>
  <si>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</si>
  <si>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</si>
  <si>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</si>
  <si>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</si>
  <si>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</si>
  <si>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</si>
  <si>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</si>
  <si>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</si>
  <si>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</si>
  <si>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</si>
  <si>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</si>
  <si>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</si>
  <si>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</si>
  <si>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</si>
  <si>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</si>
  <si>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</si>
  <si>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</si>
  <si>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</si>
  <si>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</si>
  <si>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</si>
  <si>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</si>
  <si>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</si>
  <si>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</si>
  <si>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</si>
  <si>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</si>
  <si>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</si>
  <si>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</si>
  <si>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</si>
  <si>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</si>
  <si>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</si>
  <si>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</si>
  <si>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</si>
  <si>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</si>
  <si>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</si>
  <si>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</si>
  <si>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</si>
  <si>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</si>
  <si>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</si>
  <si>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</si>
  <si>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</si>
  <si>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</si>
  <si>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</si>
  <si>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</si>
  <si>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</si>
  <si>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</si>
  <si>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</si>
  <si>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</si>
  <si>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</si>
  <si>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</si>
  <si>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</si>
  <si>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</si>
  <si>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</si>
  <si>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</si>
  <si>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</si>
  <si>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</si>
  <si>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</si>
  <si>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</si>
  <si>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</si>
  <si>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</si>
  <si>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</si>
  <si>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</si>
  <si>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</si>
  <si>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</si>
  <si>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</si>
  <si>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</si>
  <si>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</si>
  <si>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</si>
  <si>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</si>
  <si>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</si>
  <si>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</si>
  <si>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</si>
  <si>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</si>
  <si>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</si>
  <si>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</si>
  <si>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</si>
  <si>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</si>
  <si>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</si>
  <si>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</si>
  <si>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</si>
  <si>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</si>
  <si>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</si>
  <si>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</si>
  <si>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</si>
  <si>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</si>
  <si>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</si>
  <si>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</si>
  <si>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</si>
  <si>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</si>
  <si>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</si>
  <si>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</si>
  <si>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</si>
  <si>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</si>
  <si>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</si>
  <si>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</si>
  <si>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</si>
  <si>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</si>
  <si>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</si>
  <si>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</si>
  <si>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</si>
  <si>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</si>
  <si>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</si>
  <si>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</si>
  <si>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</si>
  <si>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</si>
  <si>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</si>
  <si>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</si>
  <si>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</si>
  <si>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</si>
  <si>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</si>
  <si>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</si>
  <si>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</si>
  <si>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</si>
  <si>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</si>
  <si>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</si>
  <si>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</si>
  <si>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</si>
  <si>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</si>
  <si>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</si>
  <si>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</si>
  <si>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</si>
  <si>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</si>
  <si>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</si>
  <si>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</si>
  <si>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</si>
  <si>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</si>
  <si>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</si>
  <si>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</si>
  <si>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</si>
  <si>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</si>
  <si>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</si>
  <si>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</si>
  <si>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</si>
  <si>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</si>
  <si>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</si>
  <si>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</si>
  <si>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</si>
  <si>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</si>
  <si>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</si>
  <si>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</si>
  <si>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</si>
  <si>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</si>
  <si>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</si>
  <si>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</si>
  <si>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</si>
  <si>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</si>
  <si>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</si>
  <si>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</si>
  <si>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</si>
  <si>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</si>
  <si>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</si>
  <si>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</si>
  <si>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</si>
  <si>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</si>
  <si>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</si>
  <si>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</si>
  <si>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</si>
  <si>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</si>
  <si>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</si>
  <si>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</si>
  <si>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</si>
  <si>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</si>
  <si>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</si>
  <si>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</si>
  <si>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</si>
  <si>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</si>
  <si>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</si>
  <si>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</si>
  <si>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</si>
  <si>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</si>
  <si>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</si>
  <si>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</si>
  <si>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</si>
  <si>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</si>
  <si>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</si>
  <si>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</si>
  <si>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</si>
  <si>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</si>
  <si>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</si>
  <si>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</si>
  <si>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</si>
  <si>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</si>
  <si>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</si>
  <si>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</si>
  <si>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</si>
  <si>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</si>
  <si>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</si>
  <si>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</si>
  <si>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</si>
  <si>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</si>
  <si>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</si>
  <si>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</si>
  <si>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</si>
  <si>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</si>
  <si>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</si>
  <si>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</si>
  <si>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</si>
  <si>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</si>
  <si>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</si>
  <si>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</si>
  <si>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</si>
  <si>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</si>
  <si>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</si>
  <si>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</si>
  <si>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</si>
  <si>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</si>
  <si>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</si>
  <si>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</si>
  <si>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</si>
  <si>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</si>
  <si>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</si>
  <si>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</si>
  <si>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</si>
  <si>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</si>
  <si>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</si>
  <si>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</si>
  <si>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</si>
  <si>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</si>
  <si>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</si>
  <si>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</si>
  <si>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</si>
  <si>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</si>
  <si>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</si>
  <si>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</si>
  <si>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</si>
  <si>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</si>
  <si>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</si>
  <si>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</si>
  <si>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</si>
  <si>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</si>
  <si>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</si>
  <si>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</si>
  <si>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</si>
  <si>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</si>
  <si>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</si>
  <si>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</si>
  <si>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</si>
  <si>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</si>
  <si>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</si>
  <si>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</si>
  <si>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</si>
  <si>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</si>
  <si>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</si>
  <si>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</si>
  <si>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</si>
  <si>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</si>
  <si>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</si>
  <si>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</si>
  <si>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</si>
  <si>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</si>
  <si>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</si>
  <si>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</si>
  <si>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</si>
  <si>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</si>
  <si>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</si>
  <si>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</si>
  <si>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</si>
  <si>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</si>
  <si>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</si>
  <si>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</si>
  <si>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</si>
  <si>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</si>
  <si>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</si>
  <si>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</si>
  <si>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</si>
  <si>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</si>
  <si>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</si>
  <si>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</si>
  <si>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</si>
  <si>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</si>
  <si>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</si>
  <si>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</si>
  <si>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</si>
  <si>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</si>
  <si>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</si>
  <si>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</si>
  <si>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</si>
  <si>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</si>
  <si>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</si>
  <si>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</si>
  <si>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</si>
  <si>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</si>
  <si>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</si>
  <si>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</si>
  <si>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</si>
  <si>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</si>
  <si>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</si>
  <si>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</si>
  <si>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</si>
  <si>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</si>
  <si>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</si>
  <si>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</si>
  <si>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</si>
  <si>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</si>
  <si>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</si>
  <si>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</si>
  <si>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</si>
  <si>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</si>
  <si>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</si>
  <si>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</si>
  <si>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</si>
  <si>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</si>
  <si>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</si>
  <si>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</si>
  <si>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</si>
  <si>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</si>
  <si>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</si>
  <si>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</si>
  <si>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</si>
  <si>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</si>
  <si>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</si>
  <si>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</si>
  <si>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</si>
  <si>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</si>
  <si>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</si>
  <si>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</si>
  <si>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</si>
  <si>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</si>
  <si>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</si>
  <si>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</si>
  <si>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</si>
  <si>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</si>
  <si>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</si>
  <si>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</si>
  <si>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</si>
  <si>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</si>
  <si>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</si>
  <si>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</si>
  <si>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</si>
  <si>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</si>
  <si>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</si>
  <si>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</si>
  <si>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</si>
  <si>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</si>
  <si>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</si>
  <si>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</si>
  <si>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</si>
  <si>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</si>
  <si>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</si>
  <si>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</si>
  <si>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</si>
  <si>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</si>
  <si>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</si>
  <si>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</si>
  <si>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</si>
  <si>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</si>
  <si>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</si>
  <si>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</si>
  <si>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</si>
  <si>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</si>
  <si>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</si>
  <si>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</si>
  <si>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</si>
  <si>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</si>
  <si>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</si>
  <si>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</si>
  <si>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</si>
  <si>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</si>
  <si>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</si>
  <si>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</si>
  <si>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</si>
  <si>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</si>
  <si>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</si>
  <si>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</si>
  <si>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</si>
  <si>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</si>
  <si>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</si>
  <si>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</si>
  <si>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</si>
  <si>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</si>
  <si>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</si>
  <si>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</si>
  <si>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</si>
  <si>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</si>
  <si>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</si>
  <si>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</si>
  <si>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</si>
  <si>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</si>
  <si>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</si>
  <si>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</si>
  <si>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</si>
  <si>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</si>
  <si>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</si>
  <si>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</si>
  <si>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</si>
  <si>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</si>
  <si>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</si>
  <si>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</si>
  <si>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</si>
  <si>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</si>
  <si>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</si>
  <si>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</si>
  <si>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</si>
  <si>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</si>
  <si>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</si>
  <si>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</si>
  <si>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</si>
  <si>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</si>
  <si>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</si>
  <si>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</si>
  <si>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</si>
  <si>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</si>
  <si>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</si>
  <si>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</si>
  <si>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</si>
  <si>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</si>
  <si>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</si>
  <si>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</si>
  <si>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</si>
  <si>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</si>
  <si>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</si>
  <si>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</si>
  <si>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</si>
  <si>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</si>
  <si>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</si>
  <si>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</si>
  <si>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</si>
  <si>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</si>
  <si>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</si>
  <si>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</si>
  <si>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</si>
  <si>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</si>
  <si>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</si>
  <si>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</si>
  <si>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</si>
  <si>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</si>
  <si>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</si>
  <si>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</si>
  <si>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</si>
  <si>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</si>
  <si>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</si>
  <si>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</si>
  <si>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</si>
  <si>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</si>
  <si>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</si>
  <si>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</si>
  <si>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</si>
  <si>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</si>
  <si>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</si>
  <si>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</si>
  <si>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</si>
  <si>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</si>
  <si>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</si>
  <si>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</si>
  <si>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</si>
  <si>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</si>
  <si>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</si>
  <si>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</si>
  <si>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</si>
  <si>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</si>
  <si>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</si>
  <si>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</si>
  <si>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</si>
  <si>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</si>
  <si>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</si>
  <si>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</si>
  <si>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</si>
  <si>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</si>
  <si>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</si>
  <si>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</si>
  <si>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</si>
  <si>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</si>
  <si>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</si>
  <si>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</si>
  <si>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</si>
  <si>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</si>
  <si>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</si>
  <si>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</si>
  <si>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</si>
  <si>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</si>
  <si>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</si>
  <si>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</si>
  <si>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</si>
  <si>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</si>
  <si>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</si>
  <si>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</si>
  <si>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</si>
  <si>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</si>
  <si>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</si>
  <si>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</si>
  <si>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</si>
  <si>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</si>
  <si>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</si>
  <si>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</si>
  <si>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</si>
  <si>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</si>
  <si>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</si>
  <si>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</si>
  <si>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</si>
  <si>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</si>
  <si>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</si>
  <si>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</si>
  <si>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</si>
  <si>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</si>
  <si>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</si>
  <si>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</si>
  <si>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</si>
  <si>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</si>
  <si>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</si>
  <si>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</si>
  <si>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</si>
  <si>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</si>
  <si>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</si>
  <si>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</si>
  <si>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</si>
  <si>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</si>
  <si>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</si>
  <si>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</si>
  <si>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</si>
  <si>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</si>
  <si>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</si>
  <si>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</si>
  <si>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</si>
  <si>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</si>
  <si>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</si>
  <si>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</si>
  <si>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</si>
  <si>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</si>
  <si>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</si>
  <si>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</si>
  <si>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</si>
  <si>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</si>
  <si>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</si>
  <si>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</si>
  <si>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</si>
  <si>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</si>
  <si>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</si>
  <si>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</si>
  <si>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</si>
  <si>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</si>
  <si>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</si>
  <si>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</si>
  <si>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</si>
  <si>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</si>
  <si>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</si>
  <si>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</si>
  <si>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</si>
  <si>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</si>
  <si>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</si>
  <si>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</si>
  <si>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</si>
  <si>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</si>
  <si>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</si>
  <si>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</si>
  <si>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</si>
  <si>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</si>
  <si>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</si>
  <si>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</si>
  <si>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</si>
  <si>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</si>
  <si>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</si>
  <si>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</si>
  <si>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</si>
  <si>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</si>
  <si>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</si>
  <si>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</si>
  <si>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</si>
  <si>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</si>
  <si>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</si>
  <si>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</si>
  <si>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</si>
  <si>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</si>
  <si>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</si>
  <si>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</si>
  <si>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</si>
  <si>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</si>
  <si>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</si>
  <si>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</si>
  <si>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</si>
  <si>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</si>
  <si>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</si>
  <si>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</si>
  <si>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</si>
  <si>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</si>
  <si>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</si>
  <si>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</si>
  <si>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</si>
  <si>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</si>
  <si>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</si>
  <si>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</si>
  <si>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</si>
  <si>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</si>
  <si>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</si>
  <si>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</si>
  <si>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</si>
  <si>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</si>
  <si>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</si>
  <si>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</si>
  <si>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</si>
  <si>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</si>
  <si>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</si>
  <si>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</si>
  <si>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</si>
  <si>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</si>
  <si>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</si>
  <si>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</si>
  <si>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</si>
  <si>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</si>
  <si>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</si>
  <si>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</si>
  <si>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</si>
  <si>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</si>
  <si>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</si>
  <si>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</si>
  <si>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</si>
  <si>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</si>
  <si>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</si>
  <si>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</si>
  <si>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</si>
  <si>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</si>
  <si>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</si>
  <si>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</si>
  <si>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</si>
  <si>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</si>
  <si>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</si>
  <si>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</si>
  <si>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</si>
  <si>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</si>
  <si>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</si>
  <si>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</si>
  <si>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</si>
  <si>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</si>
  <si>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</si>
  <si>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</si>
  <si>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</si>
  <si>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</si>
  <si>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</si>
  <si>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</si>
  <si>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</si>
  <si>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</si>
  <si>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</si>
  <si>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</si>
  <si>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</si>
  <si>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</si>
  <si>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</si>
  <si>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</si>
  <si>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</si>
  <si>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</si>
  <si>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</si>
  <si>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</si>
  <si>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</si>
  <si>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</si>
  <si>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</si>
  <si>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</si>
  <si>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</si>
  <si>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</si>
  <si>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</si>
  <si>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</si>
  <si>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</si>
  <si>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</si>
  <si>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</si>
  <si>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</si>
  <si>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</si>
  <si>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</si>
  <si>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</si>
  <si>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</si>
  <si>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</si>
  <si>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</si>
  <si>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</si>
  <si>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</si>
  <si>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</si>
  <si>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</si>
  <si>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</si>
  <si>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</si>
  <si>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</si>
  <si>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</si>
  <si>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</si>
  <si>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</si>
  <si>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</si>
  <si>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</si>
  <si>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</si>
  <si>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</si>
  <si>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</si>
  <si>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</si>
  <si>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</si>
  <si>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</si>
  <si>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</si>
  <si>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</si>
  <si>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</si>
  <si>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</si>
  <si>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</si>
  <si>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</si>
  <si>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</si>
  <si>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</si>
  <si>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</si>
  <si>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</si>
  <si>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</si>
  <si>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</si>
  <si>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</si>
  <si>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</si>
  <si>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</si>
  <si>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</si>
  <si>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</si>
  <si>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</si>
  <si>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</si>
  <si>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</si>
  <si>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</si>
  <si>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</si>
  <si>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</si>
  <si>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</si>
  <si>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</si>
  <si>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</si>
  <si>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</si>
  <si>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</si>
  <si>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</si>
  <si>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</si>
  <si>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</si>
  <si>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</si>
  <si>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</si>
  <si>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</si>
  <si>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</si>
  <si>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</si>
  <si>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</si>
  <si>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</si>
  <si>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</si>
  <si>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</si>
  <si>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</si>
  <si>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</si>
  <si>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</si>
  <si>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</si>
  <si>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</si>
  <si>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</si>
  <si>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</si>
  <si>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</si>
  <si>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</si>
  <si>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</si>
  <si>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</si>
  <si>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</si>
  <si>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</si>
  <si>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</si>
  <si>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</si>
  <si>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</si>
  <si>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</si>
  <si>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</si>
  <si>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</si>
  <si>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</si>
  <si>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</si>
  <si>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</si>
  <si>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</si>
  <si>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</si>
  <si>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</si>
  <si>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</si>
  <si>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</si>
  <si>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</si>
  <si>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</si>
  <si>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</si>
  <si>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</si>
  <si>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</si>
  <si>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</si>
  <si>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</si>
  <si>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</si>
  <si>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</si>
  <si>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</si>
  <si>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</si>
  <si>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</si>
  <si>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</si>
  <si>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</si>
  <si>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</si>
  <si>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</si>
  <si>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</si>
  <si>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</si>
  <si>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</si>
  <si>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</si>
  <si>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</si>
  <si>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</si>
  <si>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</si>
  <si>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</si>
  <si>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</si>
  <si>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</si>
  <si>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</si>
  <si>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</si>
  <si>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</si>
  <si>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</si>
  <si>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</si>
  <si>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</si>
  <si>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</si>
  <si>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</si>
  <si>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</si>
  <si>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</si>
  <si>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</si>
  <si>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</si>
  <si>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</si>
  <si>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</si>
  <si>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</si>
  <si>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</si>
  <si>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</si>
  <si>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</si>
  <si>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</si>
  <si>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</si>
  <si>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</si>
  <si>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</si>
  <si>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</si>
  <si>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</si>
  <si>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</si>
  <si>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</si>
  <si>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</si>
  <si>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</si>
  <si>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</si>
  <si>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</si>
  <si>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</si>
  <si>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</si>
  <si>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</si>
  <si>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</si>
  <si>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</si>
  <si>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</si>
  <si>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</si>
  <si>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</si>
  <si>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</si>
  <si>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</si>
  <si>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</si>
  <si>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</si>
  <si>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</si>
  <si>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</si>
  <si>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</si>
  <si>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</si>
  <si>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</si>
  <si>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</si>
  <si>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</si>
  <si>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</si>
  <si>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</si>
  <si>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</si>
  <si>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</si>
  <si>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</si>
  <si>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</si>
  <si>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</si>
  <si>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</si>
  <si>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</si>
  <si>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</si>
  <si>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</si>
  <si>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</si>
  <si>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</si>
  <si>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</si>
  <si>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</si>
  <si>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</si>
  <si>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</si>
  <si>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</si>
  <si>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</si>
  <si>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</si>
  <si>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</si>
  <si>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</si>
  <si>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</si>
  <si>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</si>
  <si>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</si>
  <si>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</si>
  <si>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</si>
  <si>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</si>
  <si>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</si>
  <si>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</si>
  <si>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</si>
  <si>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</si>
  <si>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</si>
  <si>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</si>
  <si>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</si>
  <si>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</si>
  <si>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</si>
  <si>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</si>
  <si>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</si>
  <si>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</si>
  <si>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</si>
  <si>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</si>
  <si>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</si>
  <si>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</si>
  <si>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</si>
  <si>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</si>
  <si>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</si>
  <si>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</si>
  <si>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</si>
  <si>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</si>
  <si>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</si>
  <si>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</si>
  <si>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</si>
  <si>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</si>
  <si>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</si>
  <si>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</si>
  <si>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</si>
  <si>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</si>
  <si>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</si>
  <si>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</si>
  <si>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</si>
  <si>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</si>
  <si>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</si>
  <si>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</si>
  <si>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</si>
  <si>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</si>
  <si>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</si>
  <si>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</si>
  <si>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</si>
  <si>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</si>
  <si>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</si>
  <si>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</si>
  <si>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</si>
  <si>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</si>
  <si>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</si>
  <si>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</si>
  <si>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</si>
  <si>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</si>
  <si>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</si>
  <si>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</si>
  <si>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</si>
  <si>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</si>
  <si>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</si>
  <si>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</si>
  <si>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</si>
  <si>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</si>
  <si>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</si>
  <si>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</si>
  <si>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</si>
  <si>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</si>
  <si>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</si>
  <si>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</si>
  <si>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</si>
  <si>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</si>
  <si>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</si>
  <si>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</si>
  <si>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</si>
  <si>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</si>
  <si>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</si>
  <si>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</si>
  <si>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</si>
  <si>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</si>
  <si>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</si>
  <si>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</si>
  <si>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</si>
  <si>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</si>
  <si>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</si>
  <si>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</si>
  <si>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</si>
  <si>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</si>
  <si>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</si>
  <si>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</si>
  <si>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</si>
  <si>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</si>
  <si>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</si>
  <si>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</si>
  <si>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</si>
  <si>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</si>
  <si>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</si>
  <si>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</si>
  <si>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</si>
  <si>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</si>
  <si>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</si>
  <si>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</si>
  <si>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</si>
  <si>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</si>
  <si>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</si>
  <si>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</si>
  <si>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</si>
  <si>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</si>
  <si>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</si>
  <si>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</si>
  <si>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</si>
  <si>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</si>
  <si>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</si>
  <si>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</si>
  <si>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</si>
  <si>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</si>
  <si>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</si>
  <si>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</si>
  <si>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</si>
  <si>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</si>
  <si>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</si>
  <si>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</si>
  <si>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</si>
  <si>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</si>
  <si>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</si>
  <si>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</si>
  <si>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</si>
  <si>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</si>
  <si>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</si>
  <si>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</si>
  <si>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</si>
  <si>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</si>
  <si>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</si>
  <si>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</si>
  <si>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</si>
  <si>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</si>
  <si>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</si>
  <si>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</si>
  <si>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</si>
  <si>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</si>
  <si>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</si>
  <si>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</si>
  <si>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</si>
  <si>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</si>
  <si>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</si>
  <si>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</si>
  <si>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</si>
  <si>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</si>
  <si>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</si>
  <si>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</si>
  <si>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</si>
  <si>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</si>
  <si>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</si>
  <si>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</si>
  <si>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</si>
  <si>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</si>
  <si>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</si>
  <si>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</si>
  <si>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</si>
  <si>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</si>
  <si>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</si>
  <si>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</si>
  <si>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</si>
  <si>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</si>
  <si>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</si>
  <si>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</si>
  <si>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</si>
  <si>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</si>
  <si>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</si>
  <si>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</si>
  <si>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</si>
  <si>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</si>
  <si>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</si>
  <si>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</si>
  <si>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</si>
  <si>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</si>
  <si>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</si>
  <si>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</si>
  <si>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</si>
  <si>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</si>
  <si>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</si>
  <si>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</si>
  <si>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</si>
  <si>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</si>
  <si>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</si>
  <si>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</si>
  <si>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</si>
  <si>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</si>
  <si>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</si>
  <si>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</si>
  <si>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</si>
  <si>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</si>
  <si>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</si>
  <si>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</si>
  <si>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</si>
  <si>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</si>
  <si>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</si>
  <si>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</si>
  <si>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</si>
  <si>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</si>
  <si>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</si>
  <si>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</si>
  <si>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</si>
  <si>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</si>
  <si>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</si>
  <si>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</si>
  <si>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</si>
  <si>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</si>
  <si>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</si>
  <si>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</si>
  <si>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</si>
  <si>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</si>
  <si>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</si>
  <si>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</si>
  <si>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</si>
  <si>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</si>
  <si>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</si>
  <si>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</si>
  <si>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</si>
  <si>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</si>
  <si>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</si>
  <si>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</si>
  <si>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</si>
  <si>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</si>
  <si>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</si>
  <si>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</si>
  <si>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</si>
  <si>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</si>
  <si>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</si>
  <si>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</si>
  <si>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</si>
  <si>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</si>
  <si>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</si>
  <si>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</si>
  <si>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</si>
  <si>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</si>
  <si>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</si>
  <si>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</si>
  <si>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</si>
  <si>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</si>
  <si>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</si>
  <si>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</si>
  <si>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</si>
  <si>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</si>
  <si>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</si>
  <si>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</si>
  <si>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</si>
  <si>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</si>
  <si>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</si>
  <si>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</si>
  <si>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</si>
  <si>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</si>
  <si>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</si>
  <si>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</si>
  <si>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</si>
  <si>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</si>
  <si>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</si>
  <si>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</si>
  <si>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</si>
  <si>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</si>
  <si>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</si>
  <si>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</si>
  <si>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</si>
  <si>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</si>
  <si>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</si>
  <si>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</si>
  <si>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</si>
  <si>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</si>
  <si>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</si>
  <si>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</si>
  <si>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</si>
  <si>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</si>
  <si>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</si>
  <si>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</si>
  <si>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</si>
  <si>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</si>
  <si>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</si>
  <si>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</si>
  <si>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</si>
  <si>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</si>
  <si>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</si>
  <si>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</si>
  <si>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</si>
  <si>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</si>
  <si>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</si>
  <si>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</si>
  <si>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</si>
  <si>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</si>
  <si>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</si>
  <si>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</si>
  <si>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</si>
  <si>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</si>
  <si>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</si>
  <si>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</si>
  <si>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</si>
  <si>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</si>
  <si>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</si>
  <si>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</si>
  <si>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</si>
  <si>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</si>
  <si>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</si>
  <si>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</si>
  <si>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</si>
  <si>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</si>
  <si>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</si>
  <si>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</si>
  <si>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</si>
  <si>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</si>
  <si>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</si>
  <si>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</si>
  <si>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</si>
  <si>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</si>
  <si>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</si>
  <si>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</si>
  <si>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</si>
  <si>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</si>
  <si>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</si>
  <si>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</si>
  <si>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</si>
  <si>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</si>
  <si>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</si>
  <si>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</si>
  <si>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</si>
  <si>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</si>
  <si>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</si>
  <si>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</si>
  <si>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</si>
  <si>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</si>
  <si>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</si>
  <si>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</si>
  <si>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</si>
  <si>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</si>
  <si>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</si>
  <si>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</si>
  <si>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</si>
  <si>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</si>
  <si>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</si>
  <si>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</si>
  <si>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</si>
  <si>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</si>
  <si>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</si>
  <si>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</si>
  <si>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</si>
  <si>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</si>
  <si>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</si>
  <si>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</si>
  <si>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</si>
  <si>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</si>
  <si>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</si>
  <si>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</si>
  <si>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</si>
  <si>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</si>
  <si>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</si>
  <si>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</si>
  <si>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</si>
  <si>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</si>
  <si>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</si>
  <si>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</si>
  <si>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</si>
  <si>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</si>
  <si>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</si>
  <si>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</si>
  <si>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</si>
  <si>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</si>
  <si>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</si>
  <si>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</si>
  <si>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</si>
  <si>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</si>
  <si>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</si>
  <si>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</si>
  <si>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</si>
  <si>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</si>
  <si>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</si>
  <si>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</si>
  <si>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</si>
  <si>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</si>
  <si>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</si>
  <si>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</si>
  <si>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</si>
  <si>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</si>
  <si>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</si>
  <si>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</si>
  <si>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</si>
  <si>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</si>
  <si>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</si>
  <si>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</si>
  <si>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</si>
  <si>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</si>
  <si>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</si>
  <si>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</si>
  <si>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</si>
  <si>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</si>
  <si>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</si>
  <si>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</si>
  <si>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</si>
  <si>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</si>
  <si>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</si>
  <si>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</si>
  <si>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</si>
  <si>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</si>
  <si>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</si>
  <si>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</si>
  <si>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</si>
  <si>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</si>
  <si>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</si>
  <si>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</si>
  <si>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</si>
  <si>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</si>
  <si>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</si>
  <si>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</si>
  <si>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</si>
  <si>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</si>
  <si>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</si>
  <si>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</si>
  <si>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</si>
  <si>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</si>
  <si>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</si>
  <si>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</si>
  <si>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</si>
  <si>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</si>
  <si>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</si>
  <si>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</si>
  <si>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</si>
  <si>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</si>
  <si>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</si>
  <si>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</si>
  <si>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</si>
  <si>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</si>
  <si>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</si>
  <si>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</si>
  <si>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</si>
  <si>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</si>
  <si>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</si>
  <si>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</si>
  <si>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</si>
  <si>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</si>
  <si>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</si>
  <si>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</si>
  <si>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</si>
  <si>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</si>
  <si>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</si>
  <si>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</si>
  <si>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</si>
  <si>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</si>
  <si>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</si>
  <si>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</si>
  <si>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</si>
  <si>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</si>
  <si>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</si>
  <si>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</si>
  <si>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</si>
  <si>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</si>
  <si>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</si>
  <si>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</si>
  <si>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</si>
  <si>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</si>
  <si>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</si>
  <si>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</si>
  <si>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</si>
  <si>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</si>
  <si>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</si>
  <si>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</si>
  <si>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</si>
  <si>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</si>
  <si>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</si>
  <si>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</si>
  <si>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</si>
  <si>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</si>
  <si>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</si>
  <si>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</si>
  <si>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</si>
  <si>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</si>
  <si>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</si>
  <si>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</si>
  <si>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</si>
  <si>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</si>
  <si>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</si>
  <si>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</si>
  <si>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</si>
  <si>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</si>
  <si>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</si>
  <si>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</si>
  <si>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</si>
  <si>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</si>
  <si>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</si>
  <si>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</si>
  <si>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</si>
  <si>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</si>
  <si>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</si>
  <si>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</si>
  <si>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</si>
  <si>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</si>
  <si>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</si>
  <si>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</si>
  <si>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</si>
  <si>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</si>
  <si>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</si>
  <si>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</si>
  <si>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</si>
  <si>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</si>
  <si>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</si>
  <si>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</si>
  <si>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</si>
  <si>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</si>
  <si>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</si>
  <si>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</si>
  <si>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</si>
  <si>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</si>
  <si>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</si>
  <si>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</si>
  <si>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</si>
  <si>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</si>
  <si>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</si>
  <si>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</si>
  <si>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</si>
  <si>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</si>
  <si>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</si>
  <si>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</si>
  <si>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</si>
  <si>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</si>
  <si>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</si>
  <si>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</si>
  <si>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</si>
  <si>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</si>
  <si>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</si>
  <si>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</si>
  <si>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</si>
  <si>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</si>
  <si>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</si>
  <si>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</si>
  <si>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</si>
  <si>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</si>
  <si>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</si>
  <si>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</si>
  <si>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</si>
  <si>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</si>
  <si>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</si>
  <si>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</si>
  <si>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</si>
  <si>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</si>
  <si>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</si>
  <si>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</si>
  <si>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</si>
  <si>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</si>
  <si>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</si>
  <si>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</si>
  <si>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</si>
  <si>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</si>
  <si>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</si>
  <si>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</si>
  <si>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</si>
  <si>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</si>
  <si>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</si>
  <si>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</si>
  <si>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</si>
  <si>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</si>
  <si>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</si>
  <si>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</si>
  <si>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</si>
  <si>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</si>
  <si>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</si>
  <si>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</si>
  <si>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</si>
  <si>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</si>
  <si>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</si>
  <si>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</si>
  <si>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</si>
  <si>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</si>
  <si>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</si>
  <si>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</si>
  <si>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</si>
  <si>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</si>
  <si>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</si>
  <si>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</si>
  <si>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</si>
  <si>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</si>
  <si>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</si>
  <si>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</si>
  <si>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</si>
  <si>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</si>
  <si>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</si>
  <si>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</si>
  <si>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</si>
  <si>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</si>
  <si>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</si>
  <si>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</si>
  <si>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</si>
  <si>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</si>
  <si>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</si>
  <si>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</si>
  <si>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</si>
  <si>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</si>
  <si>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</si>
  <si>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</si>
  <si>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</si>
  <si>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</si>
  <si>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</si>
  <si>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</si>
  <si>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</si>
  <si>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</si>
  <si>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</si>
  <si>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</si>
  <si>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</si>
  <si>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</si>
  <si>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</si>
  <si>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</si>
  <si>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</si>
  <si>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</si>
  <si>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</si>
  <si>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</si>
  <si>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</si>
  <si>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</si>
  <si>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</si>
  <si>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</si>
  <si>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</si>
  <si>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</si>
  <si>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</si>
  <si>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</si>
  <si>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</si>
  <si>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</si>
  <si>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</si>
  <si>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</si>
  <si>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</si>
  <si>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</si>
  <si>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</si>
  <si>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</si>
  <si>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</si>
  <si>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</si>
  <si>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</si>
  <si>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</si>
  <si>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</si>
  <si>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</si>
  <si>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</si>
  <si>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</si>
  <si>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</si>
  <si>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</si>
  <si>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</si>
  <si>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</si>
  <si>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</si>
  <si>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</si>
  <si>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</si>
  <si>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</si>
  <si>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</si>
  <si>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</si>
  <si>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</si>
  <si>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</si>
  <si>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</si>
  <si>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</si>
  <si>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</si>
  <si>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</si>
  <si>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</si>
  <si>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</si>
  <si>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</si>
  <si>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</si>
  <si>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</si>
  <si>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</si>
  <si>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</si>
  <si>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</si>
  <si>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</si>
  <si>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</si>
  <si>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</si>
  <si>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</si>
  <si>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</si>
  <si>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</si>
  <si>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</si>
  <si>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</si>
  <si>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</si>
  <si>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</si>
  <si>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</si>
  <si>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</si>
  <si>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</si>
  <si>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</si>
  <si>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</si>
  <si>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</si>
  <si>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</si>
  <si>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</si>
  <si>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</si>
  <si>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</si>
  <si>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</si>
  <si>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</si>
  <si>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</si>
  <si>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</si>
  <si>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</si>
  <si>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</si>
  <si>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</si>
  <si>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</si>
  <si>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</si>
  <si>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</si>
  <si>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</si>
  <si>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</si>
  <si>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</si>
  <si>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</si>
  <si>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</si>
  <si>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</si>
  <si>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</si>
  <si>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</si>
  <si>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</si>
  <si>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</si>
  <si>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</si>
  <si>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</si>
  <si>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</si>
  <si>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</si>
  <si>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</si>
  <si>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</si>
  <si>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</si>
  <si>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</si>
  <si>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</si>
  <si>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</si>
  <si>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</si>
  <si>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</si>
  <si>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</si>
  <si>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</si>
  <si>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</si>
  <si>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</si>
  <si>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</si>
  <si>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</si>
  <si>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</si>
  <si>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</si>
  <si>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</si>
  <si>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</si>
  <si>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</si>
  <si>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</si>
  <si>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</si>
  <si>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</si>
  <si>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</si>
  <si>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</si>
  <si>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</si>
  <si>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</si>
  <si>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</si>
  <si>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</si>
  <si>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</si>
  <si>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</si>
  <si>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</si>
  <si>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</si>
  <si>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</si>
  <si>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</si>
  <si>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</si>
  <si>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</si>
  <si>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</si>
  <si>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</si>
  <si>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</si>
  <si>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</si>
  <si>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</si>
  <si>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</si>
  <si>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</si>
  <si>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</si>
  <si>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</si>
  <si>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</si>
  <si>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</si>
  <si>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</si>
  <si>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</si>
  <si>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</si>
  <si>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</si>
  <si>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</si>
  <si>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</si>
  <si>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</si>
  <si>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</si>
  <si>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</si>
  <si>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</si>
  <si>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</si>
  <si>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</si>
  <si>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</si>
  <si>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</si>
  <si>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</si>
  <si>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</si>
  <si>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</si>
  <si>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</si>
  <si>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</si>
  <si>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</si>
  <si>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</si>
  <si>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</si>
  <si>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</si>
  <si>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</si>
  <si>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</si>
  <si>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</si>
  <si>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</si>
  <si>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</si>
  <si>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</si>
  <si>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</si>
  <si>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</si>
  <si>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</si>
  <si>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</si>
  <si>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</si>
  <si>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</si>
  <si>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</si>
  <si>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</si>
  <si>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</si>
  <si>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</si>
  <si>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</si>
  <si>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</si>
  <si>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</si>
  <si>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</si>
  <si>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</si>
  <si>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</si>
  <si>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</si>
  <si>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</si>
  <si>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</si>
  <si>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</si>
  <si>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</si>
  <si>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</si>
  <si>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</si>
  <si>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</si>
  <si>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</si>
  <si>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</si>
  <si>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</si>
  <si>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</si>
  <si>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</si>
  <si>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</si>
  <si>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</si>
  <si>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</si>
  <si>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</si>
  <si>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</si>
  <si>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</si>
  <si>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</si>
  <si>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</si>
  <si>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</si>
  <si>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</si>
  <si>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</si>
  <si>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</si>
  <si>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</si>
  <si>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</si>
  <si>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</si>
  <si>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</si>
  <si>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</si>
  <si>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</si>
  <si>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</si>
  <si>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</si>
  <si>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</si>
  <si>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</si>
  <si>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</si>
  <si>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</si>
  <si>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</si>
  <si>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</si>
  <si>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</si>
  <si>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</si>
  <si>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</si>
  <si>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</si>
  <si>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</si>
  <si>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</si>
  <si>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</si>
  <si>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</si>
  <si>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</si>
  <si>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</si>
  <si>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</si>
  <si>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</si>
  <si>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</si>
  <si>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</si>
  <si>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</si>
  <si>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</si>
  <si>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</si>
  <si>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</si>
  <si>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</si>
  <si>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</si>
  <si>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</si>
  <si>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</si>
  <si>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</si>
  <si>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</si>
  <si>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</si>
  <si>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</si>
  <si>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</si>
  <si>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</si>
  <si>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</si>
  <si>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</si>
  <si>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</si>
  <si>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</si>
  <si>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</si>
  <si>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</si>
  <si>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</si>
  <si>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</si>
  <si>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</si>
  <si>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</si>
  <si>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</si>
  <si>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</si>
  <si>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</si>
  <si>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</si>
  <si>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</si>
  <si>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</si>
  <si>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</si>
  <si>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</si>
  <si>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</si>
  <si>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</si>
  <si>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</si>
  <si>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</si>
  <si>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</si>
  <si>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</si>
  <si>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</si>
  <si>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</si>
  <si>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</si>
  <si>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</si>
  <si>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</si>
  <si>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</si>
  <si>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</si>
  <si>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</si>
  <si>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</si>
  <si>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</si>
  <si>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</si>
  <si>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</si>
  <si>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</si>
  <si>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</si>
  <si>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</si>
  <si>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</si>
  <si>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</si>
  <si>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</si>
  <si>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</si>
  <si>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</si>
  <si>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</si>
  <si>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</si>
  <si>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</si>
  <si>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</si>
  <si>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</si>
  <si>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</si>
  <si>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</si>
  <si>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</si>
  <si>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</si>
  <si>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</si>
  <si>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</si>
  <si>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</si>
  <si>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</si>
  <si>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</si>
  <si>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</si>
  <si>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</si>
  <si>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</si>
  <si>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</si>
  <si>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</si>
  <si>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</si>
  <si>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</si>
  <si>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</si>
  <si>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</si>
  <si>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</si>
  <si>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</si>
  <si>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</si>
  <si>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</si>
  <si>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</si>
  <si>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</si>
  <si>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</si>
  <si>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</si>
  <si>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</si>
  <si>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</si>
  <si>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</si>
  <si>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</si>
  <si>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</si>
  <si>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</si>
  <si>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</si>
  <si>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</si>
  <si>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</si>
  <si>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</si>
  <si>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</si>
  <si>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</si>
  <si>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</si>
  <si>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</si>
  <si>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</si>
  <si>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</si>
  <si>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</si>
  <si>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</si>
  <si>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</si>
  <si>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</si>
  <si>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</si>
  <si>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</si>
  <si>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</si>
  <si>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</si>
  <si>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</si>
  <si>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</si>
  <si>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</si>
  <si>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</si>
  <si>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</si>
  <si>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</si>
  <si>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</si>
  <si>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</si>
  <si>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</si>
  <si>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</si>
  <si>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</si>
  <si>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</si>
  <si>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</si>
  <si>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</si>
  <si>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</si>
  <si>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</si>
  <si>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</si>
  <si>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</si>
  <si>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</si>
  <si>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</si>
  <si>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</si>
  <si>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</si>
  <si>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</si>
  <si>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</si>
  <si>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</si>
  <si>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</si>
  <si>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</si>
  <si>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</si>
  <si>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</si>
  <si>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</si>
  <si>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</si>
  <si>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</si>
  <si>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</si>
  <si>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</si>
  <si>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</si>
  <si>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</si>
  <si>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</si>
  <si>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</si>
  <si>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</si>
  <si>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</si>
  <si>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</si>
  <si>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</si>
  <si>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</si>
  <si>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</si>
  <si>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</si>
  <si>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</si>
  <si>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</si>
  <si>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</si>
  <si>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</si>
  <si>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</si>
  <si>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</si>
  <si>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</si>
  <si>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</si>
  <si>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</si>
  <si>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</si>
  <si>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</si>
  <si>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</si>
  <si>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</si>
  <si>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</si>
  <si>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</si>
  <si>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</si>
  <si>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</si>
  <si>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</si>
  <si>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</si>
  <si>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</si>
  <si>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</si>
  <si>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</si>
  <si>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</si>
  <si>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</si>
  <si>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</si>
  <si>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</si>
  <si>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</si>
  <si>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</si>
  <si>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</si>
  <si>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</si>
  <si>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</si>
  <si>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</si>
  <si>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</si>
  <si>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</si>
  <si>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</si>
  <si>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</si>
  <si>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</si>
  <si>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</si>
  <si>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</si>
  <si>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</si>
  <si>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</si>
  <si>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</si>
  <si>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</si>
  <si>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</si>
  <si>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</si>
  <si>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</si>
  <si>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</si>
  <si>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</si>
  <si>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</si>
  <si>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</si>
  <si>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</si>
  <si>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</si>
  <si>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</si>
  <si>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</si>
  <si>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</si>
  <si>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</si>
  <si>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</si>
  <si>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</si>
  <si>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</si>
  <si>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</si>
  <si>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</si>
  <si>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</si>
  <si>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</si>
  <si>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</si>
  <si>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</si>
  <si>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</si>
  <si>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</si>
  <si>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</si>
  <si>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</si>
  <si>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</si>
  <si>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</si>
  <si>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</si>
  <si>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</si>
  <si>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</si>
  <si>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</si>
  <si>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</si>
  <si>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</si>
  <si>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</si>
  <si>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</si>
  <si>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</si>
  <si>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</si>
  <si>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</si>
  <si>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</si>
  <si>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</si>
  <si>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</si>
  <si>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</si>
  <si>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</si>
  <si>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</si>
  <si>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</si>
  <si>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</si>
  <si>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</si>
  <si>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</si>
  <si>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</si>
  <si>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</si>
  <si>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</si>
  <si>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</si>
  <si>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</si>
  <si>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</si>
  <si>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</si>
  <si>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</si>
  <si>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</si>
  <si>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</si>
  <si>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</si>
  <si>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</si>
  <si>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</si>
  <si>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</si>
  <si>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</si>
  <si>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</si>
  <si>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</si>
  <si>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</si>
  <si>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</si>
  <si>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</si>
  <si>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</si>
  <si>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</si>
  <si>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</si>
  <si>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</si>
  <si>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</si>
  <si>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</si>
  <si>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</si>
  <si>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</si>
  <si>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</si>
  <si>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</si>
  <si>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</si>
  <si>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</si>
  <si>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</si>
  <si>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</si>
  <si>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</si>
  <si>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</si>
  <si>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</si>
  <si>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</si>
  <si>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</si>
  <si>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</si>
  <si>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</si>
  <si>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</si>
  <si>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</si>
  <si>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</si>
  <si>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</si>
  <si>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</si>
  <si>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</si>
  <si>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</si>
  <si>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</si>
  <si>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</si>
  <si>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</si>
  <si>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</si>
  <si>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</si>
  <si>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</si>
  <si>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</si>
  <si>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</si>
  <si>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</si>
  <si>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</si>
  <si>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</si>
  <si>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</si>
  <si>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</si>
  <si>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</si>
  <si>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</si>
  <si>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</si>
  <si>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</si>
  <si>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</si>
  <si>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</si>
  <si>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</si>
  <si>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</si>
  <si>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</si>
  <si>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</si>
  <si>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</si>
  <si>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</si>
  <si>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</si>
  <si>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</si>
  <si>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</si>
  <si>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</si>
  <si>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</si>
  <si>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</si>
  <si>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</si>
  <si>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</si>
  <si>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</si>
  <si>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</si>
  <si>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</si>
  <si>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</si>
  <si>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</si>
  <si>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</si>
  <si>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</si>
  <si>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</si>
  <si>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</si>
  <si>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</si>
  <si>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</si>
  <si>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</si>
  <si>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</si>
  <si>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</si>
  <si>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</si>
  <si>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</si>
  <si>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</si>
  <si>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</si>
  <si>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</si>
  <si>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</si>
  <si>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</si>
  <si>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</si>
  <si>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</si>
  <si>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</si>
  <si>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</si>
  <si>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</si>
  <si>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</si>
  <si>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</si>
  <si>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</si>
  <si>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</si>
  <si>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</si>
  <si>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</si>
  <si>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</si>
  <si>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</si>
  <si>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</si>
  <si>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</si>
  <si>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</si>
  <si>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</si>
  <si>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</si>
  <si>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</si>
  <si>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</si>
  <si>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</si>
  <si>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</si>
  <si>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</si>
  <si>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</si>
  <si>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</si>
  <si>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</si>
  <si>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</si>
  <si>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</si>
  <si>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</si>
  <si>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</si>
  <si>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</si>
  <si>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</si>
  <si>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</si>
  <si>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</si>
  <si>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</si>
  <si>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</si>
  <si>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</si>
  <si>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</si>
  <si>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</si>
  <si>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</si>
  <si>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</si>
  <si>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</si>
  <si>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</si>
  <si>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</si>
  <si>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</si>
  <si>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</si>
  <si>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</si>
  <si>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</si>
  <si>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</si>
  <si>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</si>
  <si>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</si>
  <si>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</si>
  <si>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</si>
  <si>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</si>
  <si>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</si>
  <si>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</si>
  <si>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</si>
  <si>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</si>
  <si>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</si>
  <si>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</si>
  <si>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</si>
  <si>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</si>
  <si>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</si>
  <si>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</si>
  <si>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</si>
  <si>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</si>
  <si>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</si>
  <si>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</si>
  <si>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</si>
  <si>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</si>
  <si>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</si>
  <si>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</si>
  <si>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</si>
  <si>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</si>
  <si>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</si>
  <si>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</si>
  <si>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</si>
  <si>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</si>
  <si>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</si>
  <si>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</si>
  <si>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</si>
  <si>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</si>
  <si>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</si>
  <si>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</si>
  <si>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</si>
  <si>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</si>
  <si>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</si>
  <si>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</si>
  <si>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</si>
  <si>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</si>
  <si>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</si>
  <si>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</si>
  <si>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</si>
  <si>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</si>
  <si>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</si>
  <si>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</si>
  <si>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</si>
  <si>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</si>
  <si>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</si>
  <si>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</si>
  <si>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</si>
  <si>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</si>
  <si>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</si>
  <si>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</si>
  <si>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</si>
  <si>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</si>
  <si>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</si>
  <si>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</si>
  <si>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</si>
  <si>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</si>
  <si>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</si>
  <si>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</si>
  <si>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</si>
  <si>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</si>
  <si>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</si>
  <si>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</si>
  <si>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</si>
  <si>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</si>
  <si>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</si>
  <si>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</si>
  <si>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</si>
  <si>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</si>
  <si>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</si>
  <si>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</si>
  <si>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</si>
  <si>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</si>
  <si>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</si>
  <si>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</si>
  <si>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</si>
  <si>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</si>
  <si>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</si>
  <si>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</si>
  <si>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</si>
  <si>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</si>
  <si>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</si>
  <si>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</si>
  <si>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</si>
  <si>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</si>
  <si>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</si>
  <si>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</si>
  <si>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</si>
  <si>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</si>
  <si>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</si>
  <si>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</si>
  <si>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</si>
  <si>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</si>
  <si>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</si>
  <si>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</si>
  <si>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</si>
  <si>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</si>
  <si>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</si>
  <si>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</si>
  <si>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</si>
  <si>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</si>
  <si>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</si>
  <si>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</si>
  <si>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</si>
  <si>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</si>
  <si>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</si>
  <si>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</si>
  <si>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</si>
  <si>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</si>
  <si>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</si>
  <si>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</si>
  <si>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</si>
  <si>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</si>
  <si>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</si>
  <si>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</si>
  <si>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</si>
  <si>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</si>
  <si>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</si>
  <si>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</si>
  <si>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</si>
  <si>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</si>
  <si>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</si>
  <si>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</si>
  <si>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</si>
  <si>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</si>
  <si>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</si>
  <si>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</si>
  <si>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</si>
  <si>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</si>
  <si>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</si>
  <si>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</si>
  <si>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</si>
  <si>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</si>
  <si>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</si>
  <si>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</si>
  <si>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</si>
  <si>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</si>
  <si>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</si>
  <si>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</si>
  <si>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</si>
  <si>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</si>
  <si>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</si>
  <si>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</si>
  <si>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</si>
  <si>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</si>
  <si>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</si>
  <si>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</si>
  <si>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</si>
  <si>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</si>
  <si>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</si>
  <si>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</si>
  <si>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</si>
  <si>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</si>
  <si>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</si>
  <si>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</si>
  <si>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</si>
  <si>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</si>
  <si>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</si>
  <si>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</si>
  <si>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</si>
  <si>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</si>
  <si>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</si>
  <si>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</si>
  <si>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</si>
  <si>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</si>
  <si>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</si>
  <si>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</si>
  <si>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</si>
  <si>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</si>
  <si>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</si>
  <si>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</si>
  <si>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</si>
  <si>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</si>
  <si>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</si>
  <si>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</si>
  <si>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</si>
  <si>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</si>
  <si>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</si>
  <si>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</si>
  <si>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</si>
  <si>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</si>
  <si>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</si>
  <si>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</si>
  <si>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</si>
  <si>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</si>
  <si>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</si>
  <si>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</si>
  <si>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</si>
  <si>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</si>
  <si>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</si>
  <si>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</si>
  <si>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</si>
  <si>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</si>
  <si>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</si>
  <si>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</si>
  <si>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</si>
  <si>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</si>
  <si>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</si>
  <si>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</si>
  <si>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</si>
  <si>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</si>
  <si>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</si>
  <si>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</si>
  <si>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</si>
  <si>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</si>
  <si>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</si>
  <si>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</si>
  <si>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</si>
  <si>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</si>
  <si>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</si>
  <si>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</si>
  <si>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</si>
  <si>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</si>
  <si>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</si>
  <si>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</si>
  <si>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</si>
  <si>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</si>
  <si>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</si>
  <si>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</si>
  <si>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</si>
  <si>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</si>
  <si>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</si>
  <si>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</si>
  <si>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</si>
  <si>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</si>
  <si>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</si>
  <si>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</si>
  <si>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</si>
  <si>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</si>
  <si>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</si>
  <si>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</si>
  <si>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</si>
  <si>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</si>
  <si>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</si>
  <si>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</si>
  <si>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</si>
  <si>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</si>
  <si>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</si>
  <si>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</si>
  <si>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</si>
  <si>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</si>
  <si>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</si>
  <si>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</si>
  <si>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</si>
  <si>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</si>
  <si>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</si>
  <si>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</si>
  <si>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</si>
  <si>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</si>
  <si>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</si>
  <si>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</si>
  <si>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</si>
  <si>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</si>
  <si>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</si>
  <si>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</si>
  <si>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</si>
  <si>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</si>
  <si>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</si>
  <si>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</si>
  <si>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</si>
  <si>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</si>
  <si>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</si>
  <si>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</si>
  <si>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</si>
  <si>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</si>
  <si>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</si>
  <si>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</si>
  <si>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</si>
  <si>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</si>
  <si>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</si>
  <si>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</si>
  <si>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</si>
  <si>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</si>
  <si>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</si>
  <si>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</si>
  <si>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</si>
  <si>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</si>
  <si>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</si>
  <si>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</si>
  <si>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</si>
  <si>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</si>
  <si>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</si>
  <si>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</si>
  <si>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</si>
  <si>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</si>
  <si>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</si>
  <si>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</si>
  <si>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</si>
  <si>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</si>
  <si>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</si>
  <si>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</si>
  <si>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</si>
  <si>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</si>
  <si>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</si>
  <si>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</si>
  <si>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</si>
  <si>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</si>
  <si>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</si>
  <si>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</si>
  <si>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</si>
  <si>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</si>
  <si>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</si>
  <si>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</si>
  <si>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</si>
  <si>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</si>
  <si>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</si>
  <si>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</si>
  <si>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</si>
  <si>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</si>
  <si>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</si>
  <si>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</si>
  <si>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</si>
  <si>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</si>
  <si>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</si>
  <si>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</si>
  <si>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</si>
  <si>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</si>
  <si>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</si>
  <si>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</si>
  <si>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</si>
  <si>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</si>
  <si>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</si>
  <si>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</si>
  <si>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</si>
  <si>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</si>
  <si>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</si>
  <si>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</si>
  <si>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</si>
  <si>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</si>
  <si>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</si>
  <si>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</si>
  <si>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</si>
  <si>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</si>
  <si>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</si>
  <si>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</si>
  <si>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</si>
  <si>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</si>
  <si>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</si>
  <si>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</si>
  <si>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</si>
  <si>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</si>
  <si>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</si>
  <si>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</si>
  <si>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</si>
  <si>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</si>
  <si>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</si>
  <si>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</si>
  <si>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</si>
  <si>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</si>
  <si>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</si>
  <si>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</si>
  <si>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</si>
  <si>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</si>
  <si>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</si>
  <si>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</si>
  <si>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</si>
  <si>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</si>
  <si>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</si>
  <si>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</si>
  <si>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</si>
  <si>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</si>
  <si>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</si>
  <si>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</si>
  <si>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</si>
  <si>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</si>
  <si>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</si>
  <si>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</si>
  <si>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</si>
  <si>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</si>
  <si>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</si>
  <si>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</si>
  <si>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</si>
  <si>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</si>
  <si>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</si>
  <si>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</si>
  <si>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</si>
  <si>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</si>
  <si>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</si>
  <si>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</si>
  <si>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</si>
  <si>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</si>
  <si>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</si>
  <si>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</si>
  <si>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</si>
  <si>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</si>
  <si>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</si>
  <si>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</si>
  <si>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</si>
  <si>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</si>
  <si>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</si>
  <si>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</si>
  <si>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</si>
  <si>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</si>
  <si>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</si>
  <si>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</si>
  <si>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</si>
  <si>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</si>
  <si>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</si>
  <si>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</si>
  <si>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</si>
  <si>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</si>
  <si>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</si>
  <si>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</si>
  <si>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</si>
  <si>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</si>
  <si>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</si>
  <si>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</si>
  <si>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</si>
  <si>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</si>
  <si>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</si>
  <si>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</si>
  <si>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</si>
  <si>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</si>
  <si>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</si>
  <si>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</si>
  <si>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</si>
  <si>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</si>
  <si>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</si>
  <si>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</si>
  <si>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</si>
  <si>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</si>
  <si>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</si>
  <si>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</si>
  <si>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</si>
  <si>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</si>
  <si>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</si>
  <si>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</si>
  <si>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</si>
  <si>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</si>
  <si>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</si>
  <si>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</si>
  <si>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</si>
  <si>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</si>
  <si>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</si>
  <si>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</si>
  <si>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</si>
  <si>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</si>
  <si>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</si>
  <si>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</si>
  <si>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</si>
  <si>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</si>
  <si>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</si>
  <si>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</si>
  <si>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</si>
  <si>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</si>
  <si>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</si>
  <si>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</si>
  <si>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</si>
  <si>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</si>
  <si>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</si>
  <si>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</si>
  <si>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</si>
  <si>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</si>
  <si>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</si>
  <si>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</si>
  <si>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</si>
  <si>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</si>
  <si>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</si>
  <si>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</si>
  <si>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</si>
  <si>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</si>
  <si>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</si>
  <si>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</si>
  <si>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</si>
  <si>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</si>
  <si>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</si>
  <si>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</si>
  <si>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</si>
  <si>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</si>
  <si>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</si>
  <si>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</si>
  <si>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</si>
  <si>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</si>
  <si>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</si>
  <si>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</si>
  <si>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</si>
  <si>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</si>
  <si>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</si>
  <si>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</si>
  <si>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</si>
  <si>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</si>
  <si>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</si>
  <si>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</si>
  <si>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</si>
  <si>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</si>
  <si>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</si>
  <si>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</si>
  <si>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</si>
  <si>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</si>
  <si>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</si>
  <si>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</si>
  <si>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</si>
  <si>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</si>
  <si>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</si>
  <si>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</si>
  <si>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</si>
  <si>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</si>
  <si>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</si>
  <si>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</si>
  <si>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</si>
  <si>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</si>
  <si>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</si>
  <si>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</si>
  <si>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</si>
  <si>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</si>
  <si>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</si>
  <si>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</si>
  <si>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</si>
  <si>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</si>
  <si>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</si>
  <si>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</si>
  <si>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</si>
  <si>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</si>
  <si>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</si>
  <si>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</si>
  <si>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</si>
  <si>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</si>
  <si>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</si>
  <si>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</si>
  <si>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</si>
  <si>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</si>
  <si>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</si>
  <si>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</si>
  <si>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</si>
  <si>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</si>
  <si>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</si>
  <si>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</si>
  <si>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</si>
  <si>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</si>
  <si>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</si>
  <si>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</si>
  <si>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</si>
  <si>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</si>
  <si>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</si>
  <si>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</si>
  <si>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</si>
  <si>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</si>
  <si>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</si>
  <si>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</si>
  <si>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</si>
  <si>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</si>
  <si>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</si>
  <si>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</si>
  <si>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</si>
  <si>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</si>
  <si>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</si>
  <si>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</si>
  <si>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</si>
  <si>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</si>
  <si>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</si>
  <si>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</si>
  <si>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</si>
  <si>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</si>
  <si>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</si>
  <si>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</si>
  <si>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</si>
  <si>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</si>
  <si>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</si>
  <si>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</si>
  <si>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</si>
  <si>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</si>
  <si>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</si>
  <si>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</si>
  <si>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</si>
  <si>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</si>
  <si>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</si>
  <si>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</si>
  <si>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</si>
  <si>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</si>
  <si>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</si>
  <si>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</si>
  <si>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</si>
  <si>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</si>
  <si>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</si>
  <si>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</si>
  <si>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</si>
  <si>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</si>
  <si>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</si>
  <si>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</si>
  <si>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</si>
  <si>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</si>
  <si>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</si>
  <si>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</si>
  <si>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</si>
  <si>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</si>
  <si>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</si>
  <si>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</si>
  <si>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</si>
  <si>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</si>
  <si>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</si>
  <si>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</si>
  <si>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</si>
  <si>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</si>
  <si>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</si>
  <si>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</si>
  <si>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</si>
  <si>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</si>
  <si>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</si>
  <si>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</si>
  <si>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</si>
  <si>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</si>
  <si>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</si>
  <si>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</si>
  <si>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</si>
  <si>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</si>
  <si>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</si>
  <si>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</si>
  <si>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</si>
  <si>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</si>
  <si>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</si>
  <si>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</si>
  <si>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</si>
  <si>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</si>
  <si>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</si>
  <si>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</si>
  <si>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</si>
  <si>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</si>
  <si>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</si>
  <si>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</si>
  <si>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</si>
  <si>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</si>
  <si>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</si>
  <si>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</si>
  <si>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</si>
  <si>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</si>
  <si>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</si>
  <si>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</si>
  <si>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</si>
  <si>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</si>
  <si>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</si>
  <si>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</si>
  <si>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</si>
  <si>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</si>
  <si>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</si>
  <si>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</si>
  <si>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</si>
  <si>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</si>
  <si>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</si>
  <si>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</si>
  <si>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</si>
  <si>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</si>
  <si>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</si>
  <si>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</si>
  <si>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</si>
  <si>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</si>
  <si>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</si>
  <si>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</si>
  <si>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</si>
  <si>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</si>
  <si>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</si>
  <si>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</si>
  <si>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</si>
  <si>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</si>
  <si>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</si>
  <si>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</si>
  <si>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</si>
  <si>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</si>
  <si>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</si>
  <si>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</si>
  <si>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</si>
  <si>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</si>
  <si>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</si>
  <si>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</si>
  <si>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</si>
  <si>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</si>
  <si>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</si>
  <si>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</si>
  <si>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</si>
  <si>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</si>
  <si>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</si>
  <si>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</si>
  <si>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</si>
  <si>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</si>
  <si>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</si>
  <si>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</si>
  <si>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</si>
  <si>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</si>
  <si>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</si>
  <si>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</si>
  <si>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</si>
  <si>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</si>
  <si>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</si>
  <si>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</si>
  <si>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</si>
  <si>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</si>
  <si>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</si>
  <si>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</si>
  <si>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</si>
  <si>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</si>
  <si>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</si>
  <si>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</si>
  <si>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</si>
  <si>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</si>
  <si>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</si>
  <si>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</si>
  <si>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</si>
  <si>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</si>
  <si>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</si>
  <si>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</si>
  <si>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</si>
  <si>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</si>
  <si>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</si>
  <si>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</si>
  <si>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</si>
  <si>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</si>
  <si>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</si>
  <si>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</si>
  <si>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</si>
  <si>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</si>
  <si>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</si>
  <si>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</si>
  <si>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</si>
  <si>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</si>
  <si>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</si>
  <si>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</si>
  <si>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</si>
  <si>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</si>
  <si>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</si>
  <si>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</si>
  <si>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</si>
  <si>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</si>
  <si>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</si>
  <si>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</si>
  <si>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</si>
  <si>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</si>
  <si>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</si>
  <si>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</si>
  <si>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</si>
  <si>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</si>
  <si>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</si>
  <si>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</si>
  <si>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</si>
  <si>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</si>
  <si>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</si>
  <si>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</si>
  <si>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</si>
  <si>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</si>
  <si>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</si>
  <si>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</si>
  <si>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</si>
  <si>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</si>
  <si>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</si>
  <si>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</si>
  <si>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</si>
  <si>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</si>
  <si>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</si>
  <si>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</si>
  <si>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</si>
  <si>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</si>
  <si>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</si>
  <si>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</si>
  <si>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</si>
  <si>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</si>
  <si>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</si>
  <si>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</si>
  <si>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</si>
  <si>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</si>
  <si>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</si>
  <si>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</si>
  <si>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</si>
  <si>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</si>
  <si>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</si>
  <si>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</si>
  <si>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</si>
  <si>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</si>
  <si>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</si>
  <si>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</si>
  <si>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</si>
  <si>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</si>
  <si>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</si>
  <si>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</si>
  <si>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</si>
  <si>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</si>
  <si>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</si>
  <si>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</si>
  <si>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</si>
  <si>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</si>
  <si>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</si>
  <si>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</si>
  <si>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</si>
  <si>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</si>
  <si>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</si>
  <si>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</si>
  <si>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</si>
  <si>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</si>
  <si>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</si>
  <si>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</si>
  <si>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</si>
  <si>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</si>
  <si>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</si>
  <si>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</si>
  <si>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</si>
  <si>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</si>
  <si>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</si>
  <si>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</si>
  <si>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</si>
  <si>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</si>
  <si>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</si>
  <si>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</si>
  <si>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</si>
  <si>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</si>
  <si>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</si>
  <si>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</si>
  <si>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</si>
  <si>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</si>
  <si>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</si>
  <si>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</si>
  <si>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</si>
  <si>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</si>
  <si>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</si>
  <si>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</si>
  <si>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</si>
  <si>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</si>
  <si>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</si>
  <si>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</si>
  <si>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</si>
  <si>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</si>
  <si>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</si>
  <si>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</si>
  <si>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</si>
  <si>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</si>
  <si>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</si>
  <si>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</si>
  <si>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</si>
  <si>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</si>
  <si>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</si>
  <si>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</si>
  <si>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</si>
  <si>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</si>
  <si>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</si>
  <si>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</si>
  <si>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</si>
  <si>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</si>
  <si>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</si>
  <si>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</si>
  <si>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</si>
  <si>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</si>
  <si>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</si>
  <si>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</si>
  <si>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</si>
  <si>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</si>
  <si>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</si>
  <si>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</si>
  <si>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</si>
  <si>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</si>
  <si>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</si>
  <si>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</si>
  <si>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</si>
  <si>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</si>
  <si>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</si>
  <si>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</si>
  <si>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</si>
  <si>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</si>
  <si>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</si>
  <si>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</si>
  <si>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</si>
  <si>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</si>
  <si>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</si>
  <si>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</si>
  <si>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</si>
  <si>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</si>
  <si>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</si>
  <si>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</si>
  <si>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</si>
  <si>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</si>
  <si>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</si>
  <si>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</si>
  <si>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</si>
  <si>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</si>
  <si>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</si>
  <si>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</si>
  <si>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</si>
  <si>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</si>
  <si>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</si>
  <si>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</si>
  <si>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</si>
  <si>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</si>
  <si>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</si>
  <si>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</si>
  <si>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</si>
  <si>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</si>
  <si>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</si>
  <si>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</si>
  <si>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</si>
  <si>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</si>
  <si>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</si>
  <si>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</si>
  <si>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</si>
  <si>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</si>
  <si>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</si>
  <si>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</si>
  <si>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</si>
  <si>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</si>
  <si>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</si>
  <si>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</si>
  <si>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</si>
  <si>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</si>
  <si>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</si>
  <si>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</si>
  <si>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</si>
  <si>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</si>
  <si>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</si>
  <si>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</si>
  <si>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</si>
  <si>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</si>
  <si>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</si>
  <si>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</si>
  <si>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</si>
  <si>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</si>
  <si>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</si>
  <si>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</si>
  <si>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</si>
  <si>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</si>
  <si>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</si>
  <si>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</si>
  <si>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</si>
  <si>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</si>
  <si>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</si>
  <si>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</si>
  <si>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</si>
  <si>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</si>
  <si>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</si>
  <si>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</si>
  <si>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</si>
  <si>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</si>
  <si>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</si>
  <si>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</si>
  <si>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</si>
  <si>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</si>
  <si>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</si>
  <si>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</si>
  <si>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</si>
  <si>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</si>
  <si>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</si>
  <si>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</si>
  <si>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</si>
  <si>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</si>
  <si>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</si>
  <si>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</si>
  <si>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</si>
  <si>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</si>
  <si>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</si>
  <si>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</si>
  <si>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</si>
  <si>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</si>
  <si>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</si>
  <si>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</si>
  <si>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</si>
  <si>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</si>
  <si>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</si>
  <si>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</si>
  <si>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</si>
  <si>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</si>
  <si>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</si>
  <si>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</si>
  <si>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</si>
  <si>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</si>
  <si>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</si>
  <si>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</si>
  <si>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</si>
  <si>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</si>
  <si>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</si>
  <si>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</si>
  <si>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</si>
  <si>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</si>
  <si>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</si>
  <si>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</si>
  <si>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</si>
  <si>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</si>
  <si>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</si>
  <si>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</si>
  <si>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</si>
  <si>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</si>
  <si>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</si>
  <si>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</si>
  <si>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</si>
  <si>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</si>
  <si>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</si>
  <si>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</si>
  <si>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</si>
  <si>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</si>
  <si>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</si>
  <si>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</si>
  <si>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</si>
  <si>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</si>
  <si>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</si>
  <si>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</si>
  <si>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</si>
  <si>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</si>
  <si>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</si>
  <si>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</si>
  <si>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</si>
  <si>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</si>
  <si>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</si>
  <si>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</si>
  <si>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</si>
  <si>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</si>
  <si>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</si>
  <si>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</si>
  <si>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</si>
  <si>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</si>
  <si>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</si>
  <si>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</si>
  <si>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</si>
  <si>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</si>
  <si>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</si>
  <si>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</si>
  <si>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</si>
  <si>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</si>
  <si>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</si>
  <si>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</si>
  <si>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</si>
  <si>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</si>
  <si>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</si>
  <si>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</si>
  <si>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</si>
  <si>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</si>
  <si>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</si>
  <si>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</si>
  <si>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</si>
  <si>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</si>
  <si>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</si>
  <si>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</si>
  <si>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</si>
  <si>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</si>
  <si>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</si>
  <si>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</si>
  <si>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</si>
  <si>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</si>
  <si>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</si>
  <si>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</si>
  <si>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</si>
  <si>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</si>
  <si>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</si>
  <si>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</si>
  <si>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</si>
  <si>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</si>
  <si>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</si>
  <si>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</si>
  <si>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</si>
  <si>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</si>
  <si>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</si>
  <si>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</si>
  <si>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</si>
  <si>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</si>
  <si>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</si>
  <si>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</si>
  <si>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</si>
  <si>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</si>
  <si>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</si>
  <si>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</si>
  <si>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</si>
  <si>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</si>
  <si>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</si>
  <si>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</si>
  <si>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</si>
  <si>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</si>
  <si>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</si>
  <si>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</si>
  <si>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</si>
  <si>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</si>
  <si>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</si>
  <si>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</si>
  <si>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</si>
  <si>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</si>
  <si>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</si>
  <si>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</si>
  <si>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</si>
  <si>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</si>
  <si>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</si>
  <si>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</si>
  <si>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</si>
  <si>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</si>
  <si>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</si>
  <si>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</si>
  <si>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</si>
  <si>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</si>
  <si>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</si>
  <si>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</si>
  <si>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</si>
  <si>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</si>
  <si>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</si>
  <si>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</si>
  <si>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</si>
  <si>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</si>
  <si>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</si>
  <si>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</si>
  <si>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</si>
  <si>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</si>
  <si>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</si>
  <si>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</si>
  <si>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</si>
  <si>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</si>
  <si>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</si>
  <si>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</si>
  <si>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</si>
  <si>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</si>
  <si>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</si>
  <si>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</si>
  <si>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</si>
  <si>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</si>
  <si>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</si>
  <si>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</si>
  <si>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</si>
  <si>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</si>
  <si>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</si>
  <si>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</si>
  <si>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</si>
  <si>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</si>
  <si>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</si>
  <si>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</si>
  <si>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</si>
  <si>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</si>
  <si>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</si>
  <si>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</si>
  <si>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</si>
  <si>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</si>
  <si>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</si>
  <si>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</si>
  <si>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</si>
  <si>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</si>
  <si>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</si>
  <si>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</si>
  <si>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</si>
  <si>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</si>
  <si>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</si>
  <si>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</si>
  <si>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</si>
  <si>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</si>
  <si>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</si>
  <si>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</si>
  <si>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</si>
  <si>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</si>
  <si>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</si>
  <si>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</si>
  <si>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</si>
  <si>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</si>
  <si>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</si>
  <si>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</si>
  <si>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</si>
  <si>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</si>
  <si>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</si>
  <si>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</si>
  <si>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</si>
  <si>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</si>
  <si>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</si>
  <si>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</si>
  <si>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</si>
  <si>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</si>
  <si>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</si>
  <si>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</si>
  <si>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</si>
  <si>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</si>
  <si>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</si>
  <si>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</si>
  <si>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</si>
  <si>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</si>
  <si>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</si>
  <si>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</si>
  <si>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</si>
  <si>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</si>
  <si>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</si>
  <si>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</si>
  <si>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</si>
  <si>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</si>
  <si>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</si>
  <si>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</si>
  <si>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</si>
  <si>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</si>
  <si>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</si>
  <si>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</si>
  <si>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</si>
  <si>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</si>
  <si>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</si>
  <si>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</si>
  <si>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</si>
  <si>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</si>
  <si>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</si>
  <si>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</si>
  <si>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</si>
  <si>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</si>
  <si>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</si>
  <si>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</si>
  <si>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</si>
  <si>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</si>
  <si>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</si>
  <si>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</si>
  <si>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</si>
  <si>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</si>
  <si>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</si>
  <si>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</si>
  <si>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</si>
  <si>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</si>
  <si>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</si>
  <si>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</si>
  <si>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</si>
  <si>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</si>
  <si>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</si>
  <si>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</si>
  <si>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</si>
  <si>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</si>
  <si>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</si>
  <si>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</si>
  <si>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</si>
  <si>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</si>
  <si>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</si>
  <si>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</si>
  <si>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</si>
  <si>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</si>
  <si>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</si>
  <si>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</si>
  <si>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</si>
  <si>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</si>
  <si>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</si>
  <si>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</si>
  <si>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</si>
  <si>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</si>
  <si>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</si>
  <si>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</si>
  <si>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</si>
  <si>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</si>
  <si>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</si>
  <si>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</si>
  <si>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</si>
  <si>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</si>
  <si>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</si>
  <si>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</si>
  <si>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</si>
  <si>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</si>
  <si>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</si>
  <si>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</si>
  <si>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</si>
  <si>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</si>
  <si>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</si>
  <si>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</si>
  <si>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</si>
  <si>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</si>
  <si>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</si>
  <si>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</si>
  <si>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</si>
  <si>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</si>
  <si>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</si>
  <si>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</si>
  <si>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</si>
  <si>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</si>
  <si>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</si>
  <si>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</si>
  <si>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</si>
  <si>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</si>
  <si>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</si>
  <si>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</si>
  <si>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</si>
  <si>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</si>
  <si>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</si>
  <si>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</si>
  <si>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</si>
  <si>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</si>
  <si>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</si>
  <si>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</si>
  <si>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</si>
  <si>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</si>
  <si>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</si>
  <si>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</si>
  <si>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</si>
  <si>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</si>
  <si>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</si>
  <si>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</si>
  <si>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</si>
  <si>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</si>
  <si>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</si>
  <si>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</si>
  <si>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</si>
  <si>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</si>
  <si>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</si>
  <si>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</si>
  <si>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</si>
  <si>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</si>
  <si>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</si>
  <si>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</si>
  <si>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</si>
  <si>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</si>
  <si>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</si>
  <si>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</si>
  <si>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</si>
  <si>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</si>
  <si>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</si>
  <si>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</si>
  <si>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</si>
  <si>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</si>
  <si>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</si>
  <si>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</si>
  <si>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</si>
  <si>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</si>
  <si>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</si>
  <si>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</si>
  <si>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</si>
  <si>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</si>
  <si>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</si>
  <si>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</si>
  <si>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</si>
  <si>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</si>
  <si>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</si>
  <si>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</si>
  <si>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</si>
  <si>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</si>
  <si>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</si>
  <si>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</si>
  <si>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</si>
  <si>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</si>
  <si>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</si>
  <si>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</si>
  <si>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</si>
  <si>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</si>
  <si>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</si>
  <si>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</si>
  <si>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</si>
  <si>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</si>
  <si>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</si>
  <si>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</si>
  <si>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</si>
  <si>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</si>
  <si>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</si>
  <si>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</si>
  <si>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</si>
  <si>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</si>
  <si>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</si>
  <si>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</si>
  <si>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</si>
  <si>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</si>
  <si>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</si>
  <si>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</si>
  <si>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</si>
  <si>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</si>
  <si>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</si>
  <si>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</si>
  <si>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</si>
  <si>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</si>
  <si>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</si>
  <si>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</si>
  <si>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</si>
  <si>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</si>
  <si>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</si>
  <si>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</si>
  <si>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</si>
  <si>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</si>
  <si>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</si>
  <si>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</si>
  <si>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</si>
  <si>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</si>
  <si>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</si>
  <si>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</si>
  <si>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</si>
  <si>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</si>
  <si>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</si>
  <si>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</si>
  <si>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</si>
  <si>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</si>
  <si>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</si>
  <si>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</si>
  <si>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</si>
  <si>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</si>
  <si>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</si>
  <si>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</si>
  <si>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</si>
  <si>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</si>
  <si>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</si>
  <si>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</si>
  <si>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</si>
  <si>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</si>
  <si>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</si>
  <si>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</si>
  <si>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</si>
  <si>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</si>
  <si>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</si>
  <si>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</si>
  <si>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</si>
  <si>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</si>
  <si>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</si>
  <si>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</si>
  <si>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</si>
  <si>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</si>
  <si>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</si>
  <si>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</si>
  <si>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</si>
  <si>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</si>
  <si>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</si>
  <si>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</si>
  <si>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</si>
  <si>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</si>
  <si>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</si>
  <si>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</si>
  <si>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</si>
  <si>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</si>
  <si>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</si>
  <si>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</si>
  <si>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</si>
  <si>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</si>
  <si>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</si>
  <si>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</si>
  <si>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</si>
  <si>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</si>
  <si>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</si>
  <si>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</si>
  <si>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</si>
  <si>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</si>
  <si>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</si>
  <si>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</si>
  <si>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</si>
  <si>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</si>
  <si>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</si>
  <si>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</si>
  <si>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</si>
  <si>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</si>
  <si>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</si>
  <si>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</si>
  <si>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</si>
  <si>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</si>
  <si>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</si>
  <si>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</si>
  <si>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</si>
  <si>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</si>
  <si>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</si>
  <si>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</si>
  <si>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</si>
  <si>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</si>
  <si>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</si>
  <si>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</si>
  <si>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</si>
  <si>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</si>
  <si>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</si>
  <si>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</si>
  <si>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</si>
  <si>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</si>
  <si>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</si>
  <si>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</si>
  <si>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</si>
  <si>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</si>
  <si>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</si>
  <si>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</si>
  <si>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</si>
  <si>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</si>
  <si>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</si>
  <si>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</si>
  <si>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</si>
  <si>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</si>
  <si>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</si>
  <si>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</si>
  <si>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</si>
  <si>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</si>
  <si>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</si>
  <si>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</si>
  <si>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</si>
  <si>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</si>
  <si>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</si>
  <si>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</si>
  <si>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</si>
  <si>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</si>
  <si>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</si>
  <si>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</si>
  <si>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</si>
  <si>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</si>
  <si>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</si>
  <si>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</si>
  <si>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</si>
  <si>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</si>
  <si>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</si>
  <si>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</si>
  <si>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</si>
  <si>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</si>
  <si>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</si>
  <si>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</si>
  <si>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</si>
  <si>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</si>
  <si>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</si>
  <si>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</si>
  <si>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</si>
  <si>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</si>
  <si>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</si>
  <si>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</si>
  <si>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</si>
  <si>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</si>
  <si>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</si>
  <si>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</si>
  <si>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</si>
  <si>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</si>
  <si>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</si>
  <si>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</si>
  <si>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</si>
  <si>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</si>
  <si>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</si>
  <si>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</si>
  <si>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</si>
  <si>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</si>
  <si>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</si>
  <si>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</si>
  <si>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</si>
  <si>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</si>
  <si>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</si>
  <si>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</si>
  <si>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</si>
  <si>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</si>
  <si>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</si>
  <si>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</si>
  <si>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</si>
  <si>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</si>
  <si>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</si>
  <si>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</si>
  <si>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</si>
  <si>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</si>
  <si>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</si>
  <si>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</si>
  <si>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</si>
  <si>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</si>
  <si>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</si>
  <si>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</si>
  <si>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</si>
  <si>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</si>
  <si>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</si>
  <si>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</si>
  <si>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</si>
  <si>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</si>
  <si>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</si>
  <si>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</si>
  <si>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</si>
  <si>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</si>
  <si>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</si>
  <si>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</si>
  <si>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</si>
  <si>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</si>
  <si>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</si>
  <si>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</si>
  <si>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</si>
  <si>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</si>
  <si>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</si>
  <si>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</si>
  <si>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</si>
  <si>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</si>
  <si>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</si>
  <si>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</si>
  <si>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</si>
  <si>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</si>
  <si>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</si>
  <si>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</si>
  <si>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</si>
  <si>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</si>
  <si>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</si>
  <si>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</si>
  <si>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</si>
  <si>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</si>
  <si>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</si>
  <si>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</si>
  <si>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</si>
  <si>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</si>
  <si>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</si>
  <si>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</si>
  <si>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</si>
  <si>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</si>
  <si>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</si>
  <si>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</si>
  <si>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</si>
  <si>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</si>
  <si>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</si>
  <si>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</si>
  <si>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</si>
  <si>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</si>
  <si>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</si>
  <si>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</si>
  <si>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</si>
  <si>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</si>
  <si>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</si>
  <si>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</si>
  <si>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</si>
  <si>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</si>
  <si>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</si>
  <si>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</si>
  <si>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</si>
  <si>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</si>
  <si>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</si>
  <si>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</si>
  <si>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</si>
  <si>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</si>
  <si>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</si>
  <si>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</si>
  <si>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</si>
  <si>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</si>
  <si>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</si>
  <si>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</si>
  <si>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</si>
  <si>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</si>
  <si>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</si>
  <si>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</si>
  <si>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</si>
  <si>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</si>
  <si>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</si>
  <si>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</si>
  <si>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</si>
  <si>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</si>
  <si>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</si>
  <si>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</si>
  <si>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</si>
  <si>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</si>
  <si>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</si>
  <si>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</si>
  <si>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</si>
  <si>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</si>
  <si>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</si>
  <si>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</si>
  <si>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</si>
  <si>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</si>
  <si>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</si>
  <si>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</si>
  <si>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</si>
  <si>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</si>
  <si>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</si>
  <si>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</si>
  <si>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</si>
  <si>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</si>
  <si>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</si>
  <si>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</si>
  <si>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</si>
  <si>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</si>
  <si>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</si>
  <si>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</si>
  <si>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</si>
  <si>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</si>
  <si>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</si>
  <si>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</si>
  <si>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</si>
  <si>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</si>
  <si>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</si>
  <si>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</si>
  <si>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</si>
  <si>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</si>
  <si>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</si>
  <si>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</si>
  <si>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</si>
  <si>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</si>
  <si>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</si>
  <si>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</si>
  <si>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</si>
  <si>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</si>
  <si>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</si>
  <si>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</si>
  <si>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</si>
  <si>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</si>
  <si>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</si>
  <si>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</si>
  <si>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</si>
  <si>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</si>
  <si>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</si>
  <si>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</si>
  <si>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</si>
  <si>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</si>
  <si>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</si>
  <si>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</si>
  <si>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</si>
  <si>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</si>
  <si>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</si>
  <si>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</si>
  <si>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</si>
  <si>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</si>
  <si>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</si>
  <si>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</si>
  <si>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</si>
  <si>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</si>
  <si>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</si>
  <si>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</si>
  <si>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</si>
  <si>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</si>
  <si>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</si>
  <si>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</si>
  <si>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</si>
  <si>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</si>
  <si>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</si>
  <si>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</si>
  <si>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</si>
  <si>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</si>
  <si>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</si>
  <si>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</si>
  <si>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</si>
  <si>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</si>
  <si>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</si>
  <si>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</si>
  <si>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</si>
  <si>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</si>
  <si>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</si>
  <si>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</si>
  <si>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</si>
  <si>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</si>
  <si>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</si>
  <si>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</si>
  <si>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</si>
  <si>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</si>
  <si>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</si>
  <si>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</si>
  <si>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</si>
  <si>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</si>
  <si>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</si>
  <si>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</si>
  <si>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</si>
  <si>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</si>
  <si>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</si>
  <si>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</si>
  <si>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</si>
  <si>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</si>
  <si>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</si>
  <si>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</si>
  <si>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</si>
  <si>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</si>
  <si>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</si>
  <si>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</si>
  <si>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</si>
  <si>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</si>
  <si>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</si>
  <si>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</si>
  <si>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</si>
  <si>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</si>
  <si>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</si>
  <si>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</si>
  <si>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</si>
  <si>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</si>
  <si>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</si>
  <si>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</si>
  <si>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</si>
  <si>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</si>
  <si>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</si>
  <si>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</si>
  <si>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</si>
  <si>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</si>
  <si>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</si>
  <si>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</si>
  <si>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</si>
  <si>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</si>
  <si>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</si>
  <si>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</si>
  <si>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</si>
  <si>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</si>
  <si>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</si>
  <si>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</si>
  <si>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</si>
  <si>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</si>
  <si>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</si>
  <si>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</si>
  <si>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</si>
  <si>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</si>
  <si>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</si>
  <si>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</si>
  <si>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</si>
  <si>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</si>
  <si>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</si>
  <si>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</si>
  <si>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</si>
  <si>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</si>
  <si>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</si>
  <si>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</si>
  <si>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</si>
  <si>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</si>
  <si>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</si>
  <si>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</si>
  <si>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</si>
  <si>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</si>
  <si>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</si>
  <si>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</si>
  <si>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</si>
  <si>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</si>
  <si>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</si>
  <si>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</si>
  <si>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</si>
  <si>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</si>
  <si>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</si>
  <si>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</si>
  <si>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</si>
  <si>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</si>
  <si>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</si>
  <si>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</si>
  <si>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</si>
  <si>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</si>
  <si>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</si>
  <si>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</si>
  <si>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</si>
  <si>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</si>
  <si>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</si>
  <si>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</si>
  <si>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</si>
  <si>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</si>
  <si>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</si>
  <si>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</si>
  <si>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</si>
  <si>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</si>
  <si>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</si>
  <si>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</si>
  <si>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</si>
  <si>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</si>
  <si>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</si>
  <si>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</si>
  <si>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</si>
  <si>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</si>
  <si>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</si>
  <si>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</si>
  <si>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</si>
  <si>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</si>
  <si>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</si>
  <si>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</si>
  <si>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</si>
  <si>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</si>
  <si>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</si>
  <si>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</si>
  <si>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</si>
  <si>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</si>
  <si>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</si>
  <si>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</si>
  <si>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</si>
  <si>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</si>
  <si>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</si>
  <si>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</si>
  <si>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</si>
  <si>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</si>
  <si>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</si>
  <si>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</si>
  <si>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</si>
  <si>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</si>
  <si>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</si>
  <si>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</si>
  <si>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</si>
  <si>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</si>
  <si>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</si>
  <si>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</si>
  <si>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</si>
  <si>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</si>
  <si>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</si>
  <si>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</si>
  <si>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</si>
  <si>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</si>
  <si>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</si>
  <si>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</si>
  <si>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</si>
  <si>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</si>
  <si>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</si>
  <si>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</si>
  <si>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</si>
  <si>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</si>
  <si>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</si>
  <si>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</si>
  <si>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</si>
  <si>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</si>
  <si>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7.9</t>
  </si>
  <si>
    <t>Ceny sú platné od  27.1.2026/Verzia 7.9</t>
  </si>
  <si>
    <t>Az árak érvényesek  27.1.2026 -től/7.9 - es változat</t>
  </si>
  <si>
    <t>Prices are valid from  27.1.2026/Version 7.9</t>
  </si>
  <si>
    <t>Les prix sont valables à partir du  27.1.2026/Version 7.9</t>
  </si>
  <si>
    <t>Vzdálenost od levého okraje</t>
  </si>
  <si>
    <t>Vzdialenosť od ľavého kraja</t>
  </si>
  <si>
    <t>Odległość od lewej krawędzi</t>
  </si>
  <si>
    <t>A távolsága a bal peremtől</t>
  </si>
  <si>
    <t>Distance from the left edge</t>
  </si>
  <si>
    <t>Distance du bord gauche</t>
  </si>
  <si>
    <t>Ceny obowiązują od 18.5.2026/Wersja 7.9</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</si>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</sst>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0" borderId="51"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64" fillId="22" borderId="0" xfId="7" applyFont="1" applyFill="1" applyAlignment="1" applyProtection="1">
      <alignment horizontal="center" vertical="center"/>
      <protection hidden="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57" xfId="0" applyFont="1" applyBorder="1" applyAlignment="1" applyProtection="1">
      <alignment horizontal="center" vertical="center"/>
      <protection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30" fillId="17" borderId="0" xfId="0" applyFont="1" applyFill="1" applyAlignment="1" applyProtection="1">
      <alignment horizontal="left" indent="1"/>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4" xfId="0" applyFill="1" applyBorder="1" applyAlignment="1" applyProtection="1">
      <alignment horizontal="center" vertical="center"/>
      <protection hidden="1"/>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3"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1" fillId="25" borderId="66"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5" fillId="6" borderId="0" xfId="0" applyFont="1" applyFill="1" applyAlignment="1" applyProtection="1">
      <alignment horizontal="left" vertical="center" wrapText="1"/>
      <protection hidden="1"/>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164" fontId="58" fillId="17"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58" fillId="17"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vertical="center" textRotation="90"/>
      <protection hidden="1"/>
    </xf>
    <xf numFmtId="0" fontId="13" fillId="17" borderId="0" xfId="0" applyFont="1" applyFill="1" applyAlignment="1" applyProtection="1">
      <alignment horizontal="center" vertical="center"/>
      <protection hidden="1"/>
    </xf>
    <xf numFmtId="0" fontId="16" fillId="11" borderId="57" xfId="0" applyFont="1" applyFill="1" applyBorder="1" applyAlignment="1" applyProtection="1">
      <alignment horizontal="center" vertical="center"/>
      <protection locked="0" hidden="1"/>
    </xf>
    <xf numFmtId="0" fontId="16" fillId="11" borderId="63" xfId="0" applyFont="1" applyFill="1" applyBorder="1" applyAlignment="1" applyProtection="1">
      <alignment horizontal="center" vertical="center"/>
      <protection locked="0" hidden="1"/>
    </xf>
    <xf numFmtId="0" fontId="35" fillId="0" borderId="63" xfId="0" applyFont="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164" fontId="18" fillId="23" borderId="66" xfId="0" applyNumberFormat="1"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164" fontId="60" fillId="17" borderId="0" xfId="0" applyNumberFormat="1" applyFont="1" applyFill="1" applyAlignment="1" applyProtection="1">
      <alignment horizontal="center" vertical="center"/>
      <protection locked="0"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protection locked="0" hidden="1"/>
    </xf>
    <xf numFmtId="0" fontId="9" fillId="17" borderId="0" xfId="0" applyFont="1" applyFill="1" applyAlignment="1" applyProtection="1">
      <alignment horizontal="left" vertical="center" indent="1"/>
      <protection hidden="1"/>
    </xf>
    <xf numFmtId="0" fontId="9" fillId="10" borderId="29" xfId="0" applyFont="1" applyFill="1" applyBorder="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0" xfId="0" applyFont="1" applyFill="1" applyAlignment="1" applyProtection="1">
      <alignment horizontal="left" vertical="center" indent="1"/>
      <protection hidden="1"/>
    </xf>
    <xf numFmtId="0" fontId="13" fillId="11" borderId="29" xfId="0" applyFont="1" applyFill="1" applyBorder="1" applyAlignment="1" applyProtection="1">
      <alignment horizontal="center"/>
      <protection locked="0"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29" xfId="0" applyFont="1" applyFill="1" applyBorder="1" applyAlignment="1" applyProtection="1">
      <alignment horizontal="left" vertical="center" indent="1"/>
      <protection hidden="1"/>
    </xf>
    <xf numFmtId="0" fontId="13" fillId="11" borderId="29" xfId="0" applyFont="1" applyFill="1" applyBorder="1" applyAlignment="1" applyProtection="1">
      <alignment horizontal="center" vertical="center"/>
      <protection hidden="1"/>
    </xf>
    <xf numFmtId="0" fontId="9" fillId="10" borderId="0" xfId="0" applyFont="1" applyFill="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11" borderId="73"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18" fillId="17" borderId="0" xfId="0" applyFont="1" applyFill="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6" fillId="17" borderId="0" xfId="0" applyFont="1" applyFill="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69" fillId="11"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0" fillId="0" borderId="0" xfId="0" applyProtection="1">
      <protection hidden="1"/>
    </xf>
    <xf numFmtId="0" fontId="66" fillId="11" borderId="0" xfId="0" applyFont="1" applyFill="1" applyAlignment="1" applyProtection="1">
      <alignment horizontal="center"/>
      <protection hidden="1"/>
    </xf>
    <xf numFmtId="0" fontId="13" fillId="10" borderId="0" xfId="0" applyFont="1" applyFill="1" applyAlignment="1" applyProtection="1">
      <alignment horizontal="left"/>
      <protection hidden="1"/>
    </xf>
    <xf numFmtId="2" fontId="13" fillId="11" borderId="0" xfId="21" applyNumberFormat="1" applyFont="1" applyFill="1" applyAlignment="1" applyProtection="1">
      <alignment horizontal="center" vertical="center"/>
      <protection hidden="1"/>
    </xf>
    <xf numFmtId="1" fontId="35" fillId="11" borderId="0" xfId="0" applyNumberFormat="1" applyFont="1" applyFill="1" applyAlignment="1" applyProtection="1">
      <alignment horizontal="center" vertical="center"/>
      <protection hidden="1"/>
    </xf>
    <xf numFmtId="14" fontId="0" fillId="0" borderId="0" xfId="0" applyNumberFormat="1" applyAlignment="1" applyProtection="1">
      <alignment horizontal="center"/>
      <protection hidden="1"/>
    </xf>
    <xf numFmtId="0" fontId="66" fillId="11" borderId="0" xfId="0" applyFont="1" applyFill="1" applyAlignment="1" applyProtection="1">
      <alignment horizontal="left"/>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68" fillId="11" borderId="0" xfId="1" applyFont="1" applyFill="1" applyAlignment="1" applyProtection="1">
      <alignment horizontal="center"/>
      <protection locked="0"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30" fillId="11"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7" borderId="31" xfId="0" applyFill="1" applyBorder="1" applyAlignment="1" applyProtection="1">
      <alignment horizontal="center"/>
      <protection hidden="1"/>
    </xf>
    <xf numFmtId="0" fontId="6" fillId="20" borderId="31" xfId="0" applyFont="1" applyFill="1" applyBorder="1" applyAlignment="1" applyProtection="1">
      <alignment horizontal="left"/>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6" fillId="20" borderId="0" xfId="0" applyFont="1" applyFill="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0" fontId="0" fillId="17" borderId="29" xfId="0" applyFill="1" applyBorder="1" applyAlignment="1" applyProtection="1">
      <alignment horizontal="center"/>
      <protection hidden="1"/>
    </xf>
    <xf numFmtId="0" fontId="70" fillId="20" borderId="0" xfId="0" applyFont="1" applyFill="1" applyAlignment="1" applyProtection="1">
      <alignment horizontal="center" vertical="center" textRotation="180"/>
      <protection hidden="1"/>
    </xf>
    <xf numFmtId="0" fontId="0" fillId="17"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left"/>
      <protection hidden="1"/>
    </xf>
    <xf numFmtId="0" fontId="6" fillId="20" borderId="31" xfId="0" applyFont="1" applyFill="1" applyBorder="1" applyAlignment="1" applyProtection="1">
      <alignment horizontal="center"/>
      <protection hidden="1"/>
    </xf>
    <xf numFmtId="0" fontId="0" fillId="0" borderId="31" xfId="0" applyBorder="1" applyAlignment="1">
      <alignment horizontal="left"/>
    </xf>
    <xf numFmtId="0" fontId="27" fillId="17"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79" fillId="0" borderId="0" xfId="0" applyFont="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4.jpeg"/><Relationship Id="rId18" Type="http://schemas.openxmlformats.org/officeDocument/2006/relationships/image" Target="../media/image99.jpeg"/><Relationship Id="rId26" Type="http://schemas.openxmlformats.org/officeDocument/2006/relationships/image" Target="../media/image107.jpeg"/><Relationship Id="rId21" Type="http://schemas.openxmlformats.org/officeDocument/2006/relationships/image" Target="../media/image102.jpeg"/><Relationship Id="rId34" Type="http://schemas.openxmlformats.org/officeDocument/2006/relationships/image" Target="../media/image5.pn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8.jpeg"/><Relationship Id="rId25" Type="http://schemas.openxmlformats.org/officeDocument/2006/relationships/image" Target="../media/image106.jpeg"/><Relationship Id="rId33" Type="http://schemas.openxmlformats.org/officeDocument/2006/relationships/image" Target="../media/image114.jpeg"/><Relationship Id="rId38" Type="http://schemas.openxmlformats.org/officeDocument/2006/relationships/image" Target="../media/image118.jpeg"/><Relationship Id="rId2" Type="http://schemas.openxmlformats.org/officeDocument/2006/relationships/image" Target="../media/image83.jpeg"/><Relationship Id="rId16" Type="http://schemas.openxmlformats.org/officeDocument/2006/relationships/image" Target="../media/image97.jpeg"/><Relationship Id="rId20" Type="http://schemas.openxmlformats.org/officeDocument/2006/relationships/image" Target="../media/image101.jpeg"/><Relationship Id="rId29" Type="http://schemas.openxmlformats.org/officeDocument/2006/relationships/image" Target="../media/image110.jpeg"/><Relationship Id="rId1" Type="http://schemas.openxmlformats.org/officeDocument/2006/relationships/image" Target="../media/image82.jpeg"/><Relationship Id="rId6" Type="http://schemas.openxmlformats.org/officeDocument/2006/relationships/image" Target="../media/image87.jpeg"/><Relationship Id="rId11" Type="http://schemas.openxmlformats.org/officeDocument/2006/relationships/image" Target="../media/image92.jpeg"/><Relationship Id="rId24" Type="http://schemas.openxmlformats.org/officeDocument/2006/relationships/image" Target="../media/image105.jpeg"/><Relationship Id="rId32" Type="http://schemas.openxmlformats.org/officeDocument/2006/relationships/image" Target="../media/image113.jpeg"/><Relationship Id="rId37" Type="http://schemas.openxmlformats.org/officeDocument/2006/relationships/image" Target="../media/image117.jpeg"/><Relationship Id="rId5" Type="http://schemas.openxmlformats.org/officeDocument/2006/relationships/image" Target="../media/image86.jpeg"/><Relationship Id="rId15" Type="http://schemas.openxmlformats.org/officeDocument/2006/relationships/image" Target="../media/image96.jpeg"/><Relationship Id="rId23" Type="http://schemas.openxmlformats.org/officeDocument/2006/relationships/image" Target="../media/image104.jpeg"/><Relationship Id="rId28" Type="http://schemas.openxmlformats.org/officeDocument/2006/relationships/image" Target="../media/image109.jpeg"/><Relationship Id="rId36" Type="http://schemas.openxmlformats.org/officeDocument/2006/relationships/image" Target="../media/image116.jpeg"/><Relationship Id="rId10" Type="http://schemas.openxmlformats.org/officeDocument/2006/relationships/image" Target="../media/image91.jpeg"/><Relationship Id="rId19" Type="http://schemas.openxmlformats.org/officeDocument/2006/relationships/image" Target="../media/image100.jpeg"/><Relationship Id="rId31" Type="http://schemas.openxmlformats.org/officeDocument/2006/relationships/image" Target="../media/image112.jpeg"/><Relationship Id="rId4" Type="http://schemas.openxmlformats.org/officeDocument/2006/relationships/image" Target="../media/image85.jpeg"/><Relationship Id="rId9" Type="http://schemas.openxmlformats.org/officeDocument/2006/relationships/image" Target="../media/image90.jpeg"/><Relationship Id="rId14" Type="http://schemas.openxmlformats.org/officeDocument/2006/relationships/image" Target="../media/image95.jpeg"/><Relationship Id="rId22" Type="http://schemas.openxmlformats.org/officeDocument/2006/relationships/image" Target="../media/image103.jpe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5.png"/><Relationship Id="rId8" Type="http://schemas.openxmlformats.org/officeDocument/2006/relationships/image" Target="../media/image89.jpeg"/><Relationship Id="rId3" Type="http://schemas.openxmlformats.org/officeDocument/2006/relationships/image" Target="../media/image84.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6.emf"/><Relationship Id="rId3" Type="http://schemas.openxmlformats.org/officeDocument/2006/relationships/image" Target="../media/image121.emf"/><Relationship Id="rId7" Type="http://schemas.openxmlformats.org/officeDocument/2006/relationships/image" Target="../media/image125.emf"/><Relationship Id="rId2" Type="http://schemas.openxmlformats.org/officeDocument/2006/relationships/image" Target="../media/image120.emf"/><Relationship Id="rId1" Type="http://schemas.openxmlformats.org/officeDocument/2006/relationships/image" Target="../media/image119.emf"/><Relationship Id="rId6" Type="http://schemas.openxmlformats.org/officeDocument/2006/relationships/image" Target="../media/image124.emf"/><Relationship Id="rId5" Type="http://schemas.openxmlformats.org/officeDocument/2006/relationships/image" Target="../media/image123.emf"/><Relationship Id="rId4" Type="http://schemas.openxmlformats.org/officeDocument/2006/relationships/image" Target="../media/image122.emf"/><Relationship Id="rId9" Type="http://schemas.openxmlformats.org/officeDocument/2006/relationships/image" Target="../media/image12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2.emf"/><Relationship Id="rId13" Type="http://schemas.openxmlformats.org/officeDocument/2006/relationships/image" Target="../media/image67.emf"/><Relationship Id="rId18" Type="http://schemas.openxmlformats.org/officeDocument/2006/relationships/image" Target="../media/image72.emf"/><Relationship Id="rId26" Type="http://schemas.openxmlformats.org/officeDocument/2006/relationships/image" Target="../media/image80.emf"/><Relationship Id="rId3" Type="http://schemas.openxmlformats.org/officeDocument/2006/relationships/image" Target="../media/image57.emf"/><Relationship Id="rId21" Type="http://schemas.openxmlformats.org/officeDocument/2006/relationships/image" Target="../media/image75.emf"/><Relationship Id="rId7" Type="http://schemas.openxmlformats.org/officeDocument/2006/relationships/image" Target="../media/image61.emf"/><Relationship Id="rId12" Type="http://schemas.openxmlformats.org/officeDocument/2006/relationships/image" Target="../media/image66.emf"/><Relationship Id="rId17" Type="http://schemas.openxmlformats.org/officeDocument/2006/relationships/image" Target="../media/image71.emf"/><Relationship Id="rId25" Type="http://schemas.openxmlformats.org/officeDocument/2006/relationships/image" Target="../media/image79.emf"/><Relationship Id="rId2" Type="http://schemas.openxmlformats.org/officeDocument/2006/relationships/image" Target="../media/image56.emf"/><Relationship Id="rId16" Type="http://schemas.openxmlformats.org/officeDocument/2006/relationships/image" Target="../media/image70.emf"/><Relationship Id="rId20" Type="http://schemas.openxmlformats.org/officeDocument/2006/relationships/image" Target="../media/image74.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24" Type="http://schemas.openxmlformats.org/officeDocument/2006/relationships/image" Target="../media/image78.emf"/><Relationship Id="rId5" Type="http://schemas.openxmlformats.org/officeDocument/2006/relationships/image" Target="../media/image59.emf"/><Relationship Id="rId15" Type="http://schemas.openxmlformats.org/officeDocument/2006/relationships/image" Target="../media/image69.emf"/><Relationship Id="rId23" Type="http://schemas.openxmlformats.org/officeDocument/2006/relationships/image" Target="../media/image77.emf"/><Relationship Id="rId10" Type="http://schemas.openxmlformats.org/officeDocument/2006/relationships/image" Target="../media/image64.emf"/><Relationship Id="rId19" Type="http://schemas.openxmlformats.org/officeDocument/2006/relationships/image" Target="../media/image73.emf"/><Relationship Id="rId4" Type="http://schemas.openxmlformats.org/officeDocument/2006/relationships/image" Target="../media/image58.emf"/><Relationship Id="rId9" Type="http://schemas.openxmlformats.org/officeDocument/2006/relationships/image" Target="../media/image63.emf"/><Relationship Id="rId14" Type="http://schemas.openxmlformats.org/officeDocument/2006/relationships/image" Target="../media/image68.emf"/><Relationship Id="rId22" Type="http://schemas.openxmlformats.org/officeDocument/2006/relationships/image" Target="../media/image76.emf"/><Relationship Id="rId27" Type="http://schemas.openxmlformats.org/officeDocument/2006/relationships/image" Target="../media/image81.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35.emf"/><Relationship Id="rId3" Type="http://schemas.openxmlformats.org/officeDocument/2006/relationships/image" Target="../media/image130.emf"/><Relationship Id="rId7" Type="http://schemas.openxmlformats.org/officeDocument/2006/relationships/image" Target="../media/image134.emf"/><Relationship Id="rId2" Type="http://schemas.openxmlformats.org/officeDocument/2006/relationships/image" Target="../media/image129.emf"/><Relationship Id="rId1" Type="http://schemas.openxmlformats.org/officeDocument/2006/relationships/image" Target="../media/image128.emf"/><Relationship Id="rId6" Type="http://schemas.openxmlformats.org/officeDocument/2006/relationships/image" Target="../media/image133.emf"/><Relationship Id="rId5" Type="http://schemas.openxmlformats.org/officeDocument/2006/relationships/image" Target="../media/image132.emf"/><Relationship Id="rId4" Type="http://schemas.openxmlformats.org/officeDocument/2006/relationships/image" Target="../media/image131.emf"/><Relationship Id="rId9" Type="http://schemas.openxmlformats.org/officeDocument/2006/relationships/image" Target="../media/image13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19"/>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20"/>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24"/>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25"/>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182880</xdr:rowOff>
        </xdr:from>
        <xdr:to>
          <xdr:col>0</xdr:col>
          <xdr:colOff>365760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69675"/>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69676"/>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6967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6967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6967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69680"/>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69681"/>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69682"/>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69683"/>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69684"/>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69685"/>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69686"/>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69687"/>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69688"/>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69689"/>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69690"/>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69691"/>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69692"/>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69693"/>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69694"/>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6969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69696"/>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69697"/>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69698"/>
                </a:ext>
              </a:extLst>
            </xdr:cNvPicPr>
          </xdr:nvPicPr>
          <xdr:blipFill>
            <a:blip xmlns:r="http://schemas.openxmlformats.org/officeDocument/2006/relationships" r:embed="rId18"/>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69699"/>
                </a:ext>
              </a:extLst>
            </xdr:cNvPicPr>
          </xdr:nvPicPr>
          <xdr:blipFill>
            <a:blip xmlns:r="http://schemas.openxmlformats.org/officeDocument/2006/relationships" r:embed="rId19"/>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6970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69701"/>
                </a:ext>
              </a:extLst>
            </xdr:cNvPicPr>
          </xdr:nvPicPr>
          <xdr:blipFill>
            <a:blip xmlns:r="http://schemas.openxmlformats.org/officeDocument/2006/relationships" r:embed="rId20"/>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6970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69703"/>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69704"/>
                </a:ext>
              </a:extLst>
            </xdr:cNvPicPr>
          </xdr:nvPicPr>
          <xdr:blipFill>
            <a:blip xmlns:r="http://schemas.openxmlformats.org/officeDocument/2006/relationships" r:embed="rId21"/>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69705"/>
                </a:ext>
              </a:extLst>
            </xdr:cNvPicPr>
          </xdr:nvPicPr>
          <xdr:blipFill>
            <a:blip xmlns:r="http://schemas.openxmlformats.org/officeDocument/2006/relationships" r:embed="rId22"/>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69706"/>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69707"/>
                </a:ext>
              </a:extLst>
            </xdr:cNvPicPr>
          </xdr:nvPicPr>
          <xdr:blipFill>
            <a:blip xmlns:r="http://schemas.openxmlformats.org/officeDocument/2006/relationships" r:embed="rId23"/>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69708"/>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69709"/>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69710"/>
                </a:ext>
              </a:extLst>
            </xdr:cNvPicPr>
          </xdr:nvPicPr>
          <xdr:blipFill>
            <a:blip xmlns:r="http://schemas.openxmlformats.org/officeDocument/2006/relationships" r:embed="rId24"/>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69711"/>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69712"/>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69713"/>
                </a:ext>
              </a:extLst>
            </xdr:cNvPicPr>
          </xdr:nvPicPr>
          <xdr:blipFill>
            <a:blip xmlns:r="http://schemas.openxmlformats.org/officeDocument/2006/relationships" r:embed="rId25"/>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69714"/>
                </a:ext>
              </a:extLst>
            </xdr:cNvPicPr>
          </xdr:nvPicPr>
          <xdr:blipFill>
            <a:blip xmlns:r="http://schemas.openxmlformats.org/officeDocument/2006/relationships" r:embed="rId26"/>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69715"/>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69716"/>
                </a:ext>
              </a:extLst>
            </xdr:cNvPicPr>
          </xdr:nvPicPr>
          <xdr:blipFill>
            <a:blip xmlns:r="http://schemas.openxmlformats.org/officeDocument/2006/relationships" r:embed="rId27"/>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69717"/>
                </a:ext>
              </a:extLst>
            </xdr:cNvPicPr>
          </xdr:nvPicPr>
          <xdr:blipFill>
            <a:blip xmlns:r="http://schemas.openxmlformats.org/officeDocument/2006/relationships" r:embed="rId1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69718"/>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69719"/>
                </a:ext>
              </a:extLst>
            </xdr:cNvPicPr>
          </xdr:nvPicPr>
          <xdr:blipFill>
            <a:blip xmlns:r="http://schemas.openxmlformats.org/officeDocument/2006/relationships" r:embed="rId2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69720"/>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0537"/>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0538"/>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0539"/>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0540"/>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0541"/>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0542"/>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0543"/>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0544"/>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0545"/>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0546"/>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0547"/>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0548"/>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0549"/>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0550"/>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0551"/>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0552"/>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0553"/>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0554"/>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0555"/>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0556"/>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0557"/>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0558"/>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0559"/>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0560"/>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0561"/>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0562"/>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0563"/>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0564"/>
                </a:ext>
              </a:extLst>
            </xdr:cNvPicPr>
          </xdr:nvPicPr>
          <xdr:blipFill>
            <a:blip xmlns:r="http://schemas.openxmlformats.org/officeDocument/2006/relationships" r:embed="rId8"/>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0565"/>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0566"/>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0567"/>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0568"/>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0569"/>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0570"/>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0571"/>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0572"/>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0573"/>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0574"/>
                </a:ext>
              </a:extLst>
            </xdr:cNvPicPr>
          </xdr:nvPicPr>
          <xdr:blipFill>
            <a:blip xmlns:r="http://schemas.openxmlformats.org/officeDocument/2006/relationships" r:embed="rId7"/>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0575"/>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0576"/>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0577"/>
                </a:ext>
              </a:extLst>
            </xdr:cNvPicPr>
          </xdr:nvPicPr>
          <xdr:blipFill>
            <a:blip xmlns:r="http://schemas.openxmlformats.org/officeDocument/2006/relationships" r:embed="rId8"/>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0578"/>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0579"/>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0580"/>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0581"/>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0582"/>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0583"/>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0584"/>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0585"/>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0586"/>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0587"/>
                </a:ext>
              </a:extLst>
            </xdr:cNvPicPr>
          </xdr:nvPicPr>
          <xdr:blipFill>
            <a:blip xmlns:r="http://schemas.openxmlformats.org/officeDocument/2006/relationships" r:embed="rId7"/>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0588"/>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42"/>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43"/>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44"/>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45"/>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09992"/>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09993"/>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783351"/>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783352"/>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22"/>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23"/>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4140625" style="128" customWidth="1"/>
    <col min="11" max="11" width="7.5546875" style="128" customWidth="1"/>
    <col min="12" max="12" width="3.109375" style="128" customWidth="1"/>
    <col min="13" max="13" width="7.5546875" style="128" customWidth="1"/>
    <col min="14" max="14" width="3.109375" style="128" customWidth="1"/>
    <col min="15" max="15" width="6.5546875" style="128" customWidth="1"/>
    <col min="16" max="16" width="5.5546875" style="128" customWidth="1"/>
    <col min="17" max="17" width="8" style="128" customWidth="1"/>
    <col min="18" max="18" width="3.109375" style="128" customWidth="1"/>
    <col min="19" max="20" width="8" style="128" customWidth="1"/>
    <col min="21" max="21" width="5.6640625" style="128" customWidth="1"/>
    <col min="22" max="22" width="8" style="128" customWidth="1"/>
    <col min="23" max="23" width="3.554687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485" t="str">
        <f>VLOOKUP(V39,kombinace_1!$EJ$3:$EK$8,2,0)</f>
        <v>PL</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485"/>
    </row>
    <row r="4" spans="1:32" ht="24" customHeight="1">
      <c r="K4" s="483" t="str">
        <f>'Translate&amp;Prices&amp;Logo'!$B$245</f>
        <v>Formularz zamówienia ramek aluminiowych</v>
      </c>
      <c r="L4" s="483"/>
      <c r="M4" s="483"/>
      <c r="N4" s="483"/>
      <c r="O4" s="483"/>
      <c r="P4" s="483"/>
      <c r="Q4" s="483"/>
      <c r="R4" s="483"/>
      <c r="S4" s="483"/>
      <c r="T4" s="483"/>
      <c r="U4" s="483"/>
      <c r="V4" s="483"/>
    </row>
    <row r="5" spans="1:32" ht="11.85" customHeight="1">
      <c r="K5" s="483"/>
      <c r="L5" s="483"/>
      <c r="M5" s="483"/>
      <c r="N5" s="483"/>
      <c r="O5" s="483"/>
      <c r="P5" s="483"/>
      <c r="Q5" s="483"/>
      <c r="R5" s="483"/>
      <c r="S5" s="483"/>
      <c r="T5" s="483"/>
      <c r="U5" s="483"/>
      <c r="V5" s="483"/>
    </row>
    <row r="6" spans="1:32" ht="11.85" customHeight="1">
      <c r="K6" s="484"/>
      <c r="L6" s="484"/>
      <c r="M6" s="484"/>
      <c r="N6" s="484"/>
      <c r="O6" s="484"/>
      <c r="P6" s="484"/>
      <c r="Q6" s="484"/>
      <c r="R6" s="484"/>
      <c r="S6" s="484"/>
      <c r="T6" s="484"/>
      <c r="U6" s="484"/>
      <c r="V6" s="484"/>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482" t="str">
        <f>'Translate&amp;Prices&amp;Logo'!$B$308</f>
        <v>Zwykłe ramki</v>
      </c>
      <c r="C14" s="482"/>
      <c r="D14" s="482"/>
      <c r="E14" s="482"/>
      <c r="F14" s="482"/>
      <c r="G14" s="482"/>
      <c r="J14" s="127"/>
      <c r="K14" s="127"/>
      <c r="L14" s="127"/>
      <c r="Q14" s="482" t="str">
        <f>'Translate&amp;Prices&amp;Logo'!$B$309</f>
        <v>Ramki przesuwne</v>
      </c>
      <c r="R14" s="482"/>
      <c r="S14" s="482"/>
      <c r="T14" s="482"/>
      <c r="U14" s="482"/>
      <c r="V14" s="6"/>
      <c r="W14" s="6"/>
      <c r="X14" s="6"/>
      <c r="AE14" s="6"/>
      <c r="AF14" s="6"/>
    </row>
    <row r="15" spans="1:32" ht="15" customHeight="1">
      <c r="A15" s="127"/>
      <c r="B15" s="482"/>
      <c r="C15" s="482"/>
      <c r="D15" s="482"/>
      <c r="E15" s="482"/>
      <c r="F15" s="482"/>
      <c r="G15" s="482"/>
      <c r="J15" s="127"/>
      <c r="K15" s="127"/>
      <c r="L15" s="127"/>
      <c r="Q15" s="482"/>
      <c r="R15" s="482"/>
      <c r="S15" s="482"/>
      <c r="T15" s="482"/>
      <c r="U15" s="482"/>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482" t="str">
        <f>'Translate&amp;Prices&amp;Logo'!$B$581</f>
        <v>Zamówienie szkła</v>
      </c>
      <c r="K21" s="482"/>
      <c r="L21" s="482"/>
      <c r="M21" s="482"/>
      <c r="N21" s="482"/>
      <c r="O21" s="482"/>
      <c r="Z21" s="6"/>
      <c r="AA21" s="6"/>
      <c r="AB21" s="6"/>
      <c r="AC21" s="6"/>
      <c r="AD21" s="6"/>
      <c r="AE21" s="6"/>
      <c r="AF21" s="6"/>
    </row>
    <row r="22" spans="1:32" ht="11.85" customHeight="1">
      <c r="J22" s="482"/>
      <c r="K22" s="482"/>
      <c r="L22" s="482"/>
      <c r="M22" s="482"/>
      <c r="N22" s="482"/>
      <c r="O22" s="482"/>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4.4">
      <c r="E27" s="132"/>
      <c r="Z27" s="6"/>
    </row>
    <row r="28" spans="1:32" ht="15" customHeight="1">
      <c r="A28" s="127"/>
      <c r="B28" s="482" t="str">
        <f>'Translate&amp;Prices&amp;Logo'!$B$279</f>
        <v>Kolory LACOBEL i MATELAC</v>
      </c>
      <c r="C28" s="482"/>
      <c r="D28" s="482"/>
      <c r="E28" s="482"/>
      <c r="F28" s="482"/>
      <c r="G28" s="482"/>
      <c r="J28" s="127"/>
      <c r="K28" s="127"/>
      <c r="L28" s="127"/>
      <c r="Q28" s="482" t="str">
        <f>'Translate&amp;Prices&amp;Logo'!$B$310</f>
        <v>Rysunki profili i okuć łączących</v>
      </c>
      <c r="R28" s="482"/>
      <c r="S28" s="482"/>
      <c r="T28" s="482"/>
      <c r="U28" s="482"/>
      <c r="V28" s="131"/>
    </row>
    <row r="29" spans="1:32" ht="15" customHeight="1">
      <c r="A29" s="127"/>
      <c r="B29" s="482"/>
      <c r="C29" s="482"/>
      <c r="D29" s="482"/>
      <c r="E29" s="482"/>
      <c r="F29" s="482"/>
      <c r="G29" s="482"/>
      <c r="J29" s="127"/>
      <c r="K29" s="127"/>
      <c r="L29" s="127"/>
      <c r="Q29" s="482"/>
      <c r="R29" s="482"/>
      <c r="S29" s="482"/>
      <c r="T29" s="482"/>
      <c r="U29" s="482"/>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Ceny obowiązują od 18.5.2026/Wersja 7.9</v>
      </c>
    </row>
    <row r="39" spans="1:22" ht="11.85" hidden="1" customHeight="1">
      <c r="V39" s="152">
        <v>3</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IF(Ram_1!$H$9=kombinace_1!M11,2,0)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"&amp;2</f>
        <v>Ramka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IFERROR(IF(kombinace_2!FC2=TRUE,'Translate&amp;Prices&amp;Logo'!B654,IF(VLOOKUP(H8,kombinace_2!$A:$E,5,0)=3,'Translate&amp;Prices&amp;Logo'!B642,"")),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IF(kombinace_2!FC2=TRUE,AB4,"")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IF(AU10&gt;0,'Translate&amp;Prices&amp;Logo'!B303,IF(H8=kombinace_2!A59,'Translate&amp;Prices&amp;Logo'!B580,0))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IFERROR(IF(AND(VLOOKUP(H8,kombinace_2!$A:$D,4,0)=1,kombinace_2!FC2=FALSE),'Translate&amp;Prices&amp;Logo'!$B$543,0),0)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IF(H15=kombinace_2!AB40,'Translate&amp;Prices&amp;Logo'!$B$224,IF(H15=kombinace_2!AB41,'Translate&amp;Prices&amp;Logo'!$B$224,IF(H12='závěsy dle výklopu'!BQ2,'Translate&amp;Prices&amp;Logo'!$B$222,'Translate&amp;Prices&amp;Logo'!$B$218)))</f>
        <v>Wybierz pozycję ramki</v>
      </c>
      <c r="C16" s="641"/>
      <c r="D16" s="641"/>
      <c r="E16" s="641"/>
      <c r="F16" s="639"/>
      <c r="G16" s="639"/>
      <c r="H16" s="639"/>
      <c r="I16" s="639"/>
      <c r="J16" s="659" t="str">
        <f>IF(OR(H15=kombinace_2!AB40,H15=kombinace_2!AB7,H15=kombinace_2!AB15,H15=kombinace_2!AB20,H15=kombinace_2!AB21,H15=kombinace_2!AB22),'Translate&amp;Prices&amp;Logo'!$B$226,IF(H15=kombinace_2!AB41,'Translate&amp;Prices&amp;Logo'!$B$226,'Translate&amp;Prices&amp;Logo'!$B$232))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IF(H12='Translate&amp;Prices&amp;Logo'!B551,'Translate&amp;Prices&amp;Logo'!B238,IF(H15=kombinace_2!AB8,'Translate&amp;Prices&amp;Logo'!B284,0))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85">
        <f>IFERROR(IF(VLOOKUP(H15,kombinace_2!CD:CE,2,0)=1,'Translate&amp;Prices&amp;Logo'!$B$547,0),0)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IFERROR(IF(H12='Translate&amp;Prices&amp;Logo'!B551,'Translate&amp;Prices&amp;Logo'!$B$223,IF(VLOOKUP(H15,kombinace_2!CD:CE,2,0)=1,'Translate&amp;Prices&amp;Logo'!$B$223,)),0)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výklopu'!BR2,VLOOKUP(H15,kombinace_2!$CD$3:$CF$18,3,0),IF(H12='závěsy dle výklopu'!BQ2,1,0)),0)</f>
        <v>0</v>
      </c>
      <c r="AV19" s="140">
        <f>IFERROR(VLOOKUP(H15,kombinace_2!$CD:$CF,3,0),0)</f>
        <v>0</v>
      </c>
    </row>
    <row r="20" spans="1:52" ht="18" customHeight="1">
      <c r="A20" s="61"/>
      <c r="B20" s="644">
        <f>IF(H13&lt;&gt;"Salice",(IFERROR('Translate&amp;Prices&amp;Logo'!$B$242&amp;" "&amp;(VLOOKUP(H17,kombinace_2!$BY$32:$CA$35,2,0)),0)),0)</f>
        <v>0</v>
      </c>
      <c r="C20" s="583"/>
      <c r="D20" s="583"/>
      <c r="E20" s="583"/>
      <c r="F20" s="638">
        <v>100</v>
      </c>
      <c r="G20" s="638"/>
      <c r="H20" s="638"/>
      <c r="I20" s="638"/>
      <c r="J20" s="583">
        <f>IFERROR('Translate&amp;Prices&amp;Logo'!$B$242&amp;" "&amp;(VLOOKUP(H17,kombinace_2!$BY$32:$CA$35,3,0)),0)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IF(kombinace_2!FC2=FALSE,'Translate&amp;Prices&amp;Logo'!$B$173,"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VLOOKUP(H17,kombinace_2!$BY$3:$BZ$6,2,0)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VLOOKUP(H27,kombinace_2!$BY3:$BZ6,2,0)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VLOOKUP(H14,kombinace_2!$DN$7:$DO$24,2,0)</f>
        <v>#N/A</v>
      </c>
      <c r="AB29" s="626">
        <f>IF(kombinace_2!FC2=TRUE,AB4,IF(H12='závěsy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HLOOKUP("_Úzký_dolny_K12",kombinace_2!CV2:CW19,3,FALSE)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maksymalna zalecana długość profilu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Zawiasy</v>
      </c>
      <c r="M36" s="157" t="str">
        <v>Podnośniki</v>
      </c>
      <c r="P36" s="157" t="str" cm="1">
        <f t="array" ref="P36:P38">IF(H13=kombinace_2!BQ11,kombinace_2!$DN$2,kombinace_2!$DN$2:$DN$4)</f>
        <v>Nakładany</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CONCATENATE(H13,"_",VLOOKUP(kombinace_2!H1,kombinace_2!$J$14:$K$15,2,0))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VLOOKUP(AD42,kombinace_2!ER1:ES120,2,0)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Wąska ALU ramka</v>
      </c>
      <c r="T54" s="157" t="str">
        <f t="array" ref="T54:T56">kombinace_2!$EN$3:$EN$5</f>
        <v>Bez modyfikacji</v>
      </c>
      <c r="U54" s="157">
        <v>1</v>
      </c>
      <c r="X54" s="157" t="str">
        <f t="array" ref="X54:X56">kombinace_2!$X$3:$X$5</f>
        <v>transparentna</v>
      </c>
      <c r="AD54" s="157" t="e" cm="1">
        <f t="array" aca="1" ref="AD54" ca="1">IF(kombinace_2!FC2=FALSE,
INDIRECT(kombinace_2!S1),
IF(kombinace_2!FC2=TRUE,INDIRECT(VLOOKUP(Ram_2!H8,'závěsy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IF(OR(H8=kombinace_2!F18,H8=kombinace_2!F19,H8=kombinace_2!A60,H8=kombinace_2!A61,H8=kombinace_2!A62,H8=kombinace_2!A63),_2_strany,IF(H15=kombinace_2!AB8,_ramena_HL,_4_strany))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IVo7weVHI8FyWTeM6wzHTn9s06nNtrZWS7hKTPyDNK4pQ8uMKPrjofQJ6S7NwH+J/6lvH4wVyH07WN6x9zRNHw==" saltValue="kqK5bN/wEsJY8bgkQocAx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6">
      <formula>$B$19=0</formula>
    </cfRule>
    <cfRule type="expression" dxfId="402" priority="25">
      <formula>$B$20=0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IF(Ram_2!$H$9=kombinace_2!M11,2,0)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"&amp;3</f>
        <v>Ramka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IFERROR(IF(kombinace_3!FC2=TRUE,'Translate&amp;Prices&amp;Logo'!B654,IF(VLOOKUP(H8,kombinace_3!$A:$E,5,0)=3,'Translate&amp;Prices&amp;Logo'!B642,"")),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IF(kombinace_3!FC2=TRUE,AB4,"")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IF(AU10&gt;0,'Translate&amp;Prices&amp;Logo'!B303,IF(H8=kombinace_3!A59,'Translate&amp;Prices&amp;Logo'!B580,0))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IFERROR(IF(AND(VLOOKUP(H8,kombinace_3!$A:$D,4,0)=1,kombinace_3!FC2=FALSE),'Translate&amp;Prices&amp;Logo'!$B$543,0),0)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IF(H15=kombinace_3!AB40,'Translate&amp;Prices&amp;Logo'!$B$224,IF(H15=kombinace_3!AB41,'Translate&amp;Prices&amp;Logo'!$B$224,IF(H12='závěsy dle výklopu'!BQ2,'Translate&amp;Prices&amp;Logo'!$B$222,'Translate&amp;Prices&amp;Logo'!$B$218)))</f>
        <v>Wybierz pozycję ramki</v>
      </c>
      <c r="C16" s="641"/>
      <c r="D16" s="641"/>
      <c r="E16" s="641"/>
      <c r="F16" s="639"/>
      <c r="G16" s="639"/>
      <c r="H16" s="639"/>
      <c r="I16" s="639"/>
      <c r="J16" s="659" t="str">
        <f>IF(OR(H15=kombinace_3!AB40,H15=kombinace_3!AB7,H15=kombinace_3!AB15,H15=kombinace_3!AB20,H15=kombinace_3!AB21,H15=kombinace_3!AB22),'Translate&amp;Prices&amp;Logo'!$B$226,IF(H15=kombinace_3!AB41,'Translate&amp;Prices&amp;Logo'!$B$226,'Translate&amp;Prices&amp;Logo'!$B$232))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IF(H12='Translate&amp;Prices&amp;Logo'!B551,'Translate&amp;Prices&amp;Logo'!B238,IF(H15=kombinace_3!AB8,'Translate&amp;Prices&amp;Logo'!B284,0))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85">
        <f>IFERROR(IF(VLOOKUP(H15,kombinace_3!CD:CE,2,0)=1,'Translate&amp;Prices&amp;Logo'!$B$547,0),0)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IFERROR(IF(H12='Translate&amp;Prices&amp;Logo'!B551,'Translate&amp;Prices&amp;Logo'!$B$223,IF(VLOOKUP(H15,kombinace_3!CD:CE,2,0)=1,'Translate&amp;Prices&amp;Logo'!$B$223,)),0)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výklopu'!BR2,VLOOKUP(H15,kombinace_3!$CD$3:$CF$18,3,0),IF(H12='závěsy dle výklopu'!BQ2,1,0)),0)</f>
        <v>0</v>
      </c>
      <c r="AV19" s="140">
        <f>IFERROR(VLOOKUP(H15,kombinace_3!$CD:$CF,3,0),0)</f>
        <v>0</v>
      </c>
    </row>
    <row r="20" spans="1:52" ht="18" customHeight="1">
      <c r="A20" s="61"/>
      <c r="B20" s="644">
        <f>IF(H13&lt;&gt;"Salice",(IFERROR('Translate&amp;Prices&amp;Logo'!$B$242&amp;" "&amp;(VLOOKUP(H17,kombinace_3!$BY$32:$CA$35,2,0)),0)),0)</f>
        <v>0</v>
      </c>
      <c r="C20" s="583"/>
      <c r="D20" s="583"/>
      <c r="E20" s="583"/>
      <c r="F20" s="638">
        <v>100</v>
      </c>
      <c r="G20" s="638"/>
      <c r="H20" s="638"/>
      <c r="I20" s="638"/>
      <c r="J20" s="583">
        <f>IFERROR('Translate&amp;Prices&amp;Logo'!$B$242&amp;" "&amp;(VLOOKUP(H17,kombinace_3!$BY$32:$CA$35,3,0)),0)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IF(kombinace_3!FC2=FALSE,'Translate&amp;Prices&amp;Logo'!$B$173,"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VLOOKUP(H17,kombinace_3!$BY$3:$BZ$6,2,0)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VLOOKUP(H27,kombinace_3!$BY3:$BZ6,2,0)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VLOOKUP(H14,kombinace_3!$DN$7:$DO$24,2,0)</f>
        <v>#N/A</v>
      </c>
      <c r="AB29" s="626">
        <f>IF(kombinace_3!FC2=TRUE,AB4,IF(H12='závěsy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HLOOKUP("_Úzký_dolny_K12",kombinace_3!CV2:CW19,3,FALSE)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maksymalna zalecana długość profilu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Zawiasy</v>
      </c>
      <c r="M36" s="157" t="str">
        <v>Podnośniki</v>
      </c>
      <c r="P36" s="157" t="str" cm="1">
        <f t="array" ref="P36:P38">IF(H13=kombinace_3!BQ11,kombinace_3!$DN$2,kombinace_3!$DN$2:$DN$4)</f>
        <v>Nakładany</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CONCATENATE(H13,"_",VLOOKUP(kombinace_3!H1,kombinace_3!$J$14:$K$15,2,0))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VLOOKUP(AD42,kombinace_3!ER1:ES120,2,0)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Wąska ALU ramka</v>
      </c>
      <c r="T54" s="157" t="str">
        <f t="array" ref="T54:T56">kombinace_3!$EN$3:$EN$5</f>
        <v>Bez modyfikacji</v>
      </c>
      <c r="U54" s="157">
        <v>1</v>
      </c>
      <c r="X54" s="157" t="str">
        <f t="array" ref="X54:X56">kombinace_3!$X$3:$X$5</f>
        <v>transparentna</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IF(OR(H8=kombinace_3!F18,H8=kombinace_3!F19,H8=kombinace_3!A60,H8=kombinace_3!A61,H8=kombinace_3!A62,H8=kombinace_3!A63),_2_strany,IF(H15=kombinace_3!AB8,_ramena_HL,_4_strany))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5F7vDWhc29QIamRBLLHdqtSfvVJrwS4HAzyboJeN0mUZoHMDbcKqE0ISUj4nmWsOxdvNygVtM35SmqWZnS1A==" saltValue="ThJA3P4nJXVNQWFnJaENi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6">
      <formula>$B$19=0</formula>
    </cfRule>
    <cfRule type="expression" dxfId="355" priority="25">
      <formula>$B$20=0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IF(Ram_3!$H$9=kombinace_3!M11,2,0)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"&amp;4</f>
        <v>Ramka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IFERROR(IF(kombinace_4!FC2=TRUE,'Translate&amp;Prices&amp;Logo'!B654,IF(VLOOKUP(H8,kombinace_4!$A:$E,5,0)=3,'Translate&amp;Prices&amp;Logo'!B642,"")),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IF(kombinace_4!FC2=TRUE,AB4,"")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IF(AU10&gt;0,'Translate&amp;Prices&amp;Logo'!B303,IF(H8=kombinace_4!A59,'Translate&amp;Prices&amp;Logo'!B580,0))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IFERROR(IF(AND(VLOOKUP(H8,kombinace_4!$A:$D,4,0)=1,kombinace_4!FC2=FALSE),'Translate&amp;Prices&amp;Logo'!$B$543,0),0)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IF(H15=kombinace_4!AB40,'Translate&amp;Prices&amp;Logo'!$B$224,IF(H15=kombinace_4!AB41,'Translate&amp;Prices&amp;Logo'!$B$224,IF(H12='závěsy dle výklopu'!BQ2,'Translate&amp;Prices&amp;Logo'!$B$222,'Translate&amp;Prices&amp;Logo'!$B$218)))</f>
        <v>Wybierz pozycję ramki</v>
      </c>
      <c r="C16" s="641"/>
      <c r="D16" s="641"/>
      <c r="E16" s="641"/>
      <c r="F16" s="639"/>
      <c r="G16" s="639"/>
      <c r="H16" s="639"/>
      <c r="I16" s="639"/>
      <c r="J16" s="659" t="str">
        <f>IF(OR(H15=kombinace_4!AB40,H15=kombinace_4!AB7,H15=kombinace_4!AB15,H15=kombinace_4!AB20,H15=kombinace_4!AB21,H15=kombinace_4!AB22),'Translate&amp;Prices&amp;Logo'!$B$226,IF(H15=kombinace_4!AB41,'Translate&amp;Prices&amp;Logo'!$B$226,'Translate&amp;Prices&amp;Logo'!$B$232))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IF(H12='Translate&amp;Prices&amp;Logo'!B551,'Translate&amp;Prices&amp;Logo'!B238,IF(H15=kombinace_4!AB8,'Translate&amp;Prices&amp;Logo'!B284,0))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85">
        <f>IFERROR(IF(VLOOKUP(H15,kombinace_4!CD:CE,2,0)=1,'Translate&amp;Prices&amp;Logo'!$B$547,0),0)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IFERROR(IF(H12='Translate&amp;Prices&amp;Logo'!B551,'Translate&amp;Prices&amp;Logo'!$B$223,IF(VLOOKUP(H15,kombinace_4!CD:CE,2,0)=1,'Translate&amp;Prices&amp;Logo'!$B$223,)),0)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výklopu'!BR2,VLOOKUP(H15,kombinace_4!$CD$3:$CF$18,3,0),IF(H12='závěsy dle výklopu'!BQ2,1,0)),0)</f>
        <v>0</v>
      </c>
      <c r="AV19" s="140">
        <f>IFERROR(VLOOKUP(H15,kombinace_4!$CD:$CF,3,0),0)</f>
        <v>0</v>
      </c>
    </row>
    <row r="20" spans="1:52" ht="18" customHeight="1">
      <c r="A20" s="61"/>
      <c r="B20" s="644">
        <f>IF(H13&lt;&gt;"Salice",(IFERROR('Translate&amp;Prices&amp;Logo'!$B$242&amp;" "&amp;(VLOOKUP(H17,kombinace_4!$BY$32:$CA$35,2,0)),0)),0)</f>
        <v>0</v>
      </c>
      <c r="C20" s="583"/>
      <c r="D20" s="583"/>
      <c r="E20" s="583"/>
      <c r="F20" s="638">
        <v>100</v>
      </c>
      <c r="G20" s="638"/>
      <c r="H20" s="638"/>
      <c r="I20" s="638"/>
      <c r="J20" s="583">
        <f>IFERROR('Translate&amp;Prices&amp;Logo'!$B$242&amp;" "&amp;(VLOOKUP(H17,kombinace_4!$BY$32:$CA$35,3,0)),0)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IF(kombinace_4!FC2=FALSE,'Translate&amp;Prices&amp;Logo'!$B$173,"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VLOOKUP(H17,kombinace_4!$BY$3:$BZ$6,2,0)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VLOOKUP(H27,kombinace_4!$BY3:$BZ6,2,0)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VLOOKUP(H14,kombinace_4!$DN$7:$DO$24,2,0)</f>
        <v>#N/A</v>
      </c>
      <c r="AB29" s="626">
        <f>IF(kombinace_4!FC2=TRUE,AB4,IF(H12='závěsy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HLOOKUP("_Úzký_dolny_K12",kombinace_4!CV2:CW19,3,FALSE)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maksymalna zalecana długość profilu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Zawiasy</v>
      </c>
      <c r="M36" s="157" t="str">
        <v>Podnośniki</v>
      </c>
      <c r="P36" s="157" t="str" cm="1">
        <f t="array" ref="P36:P38">IF(H13=kombinace_4!BQ11,kombinace_4!$DN$2,kombinace_4!$DN$2:$DN$4)</f>
        <v>Nakładany</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CONCATENATE(H13,"_",VLOOKUP(kombinace_4!H1,kombinace_4!$J$14:$K$15,2,0))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VLOOKUP(AD42,kombinace_4!ER1:ES120,2,0)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Wąska ALU ramka</v>
      </c>
      <c r="T54" s="157" t="str">
        <f t="array" ref="T54:T56">kombinace_4!$EN$3:$EN$5</f>
        <v>Bez modyfikacji</v>
      </c>
      <c r="U54" s="157">
        <v>1</v>
      </c>
      <c r="X54" s="157" t="str">
        <f t="array" ref="X54:X56">kombinace_4!$X$3:$X$5</f>
        <v>transparentna</v>
      </c>
      <c r="AD54" s="157" t="e" cm="1">
        <f t="array" aca="1" ref="AD54" ca="1">IF(kombinace_4!FC2=FALSE,
INDIRECT(kombinace_4!S1),
IF(kombinace_4!FC2=TRUE,INDIRECT(VLOOKUP(Ram_4!H8,'závěsy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IF(OR(H8=kombinace_4!F18,H8=kombinace_4!F19,H8=kombinace_4!A60,H8=kombinace_4!A61,H8=kombinace_4!A62,H8=kombinace_4!A63),_2_strany,IF(H15=kombinace_4!AB8,_ramena_HL,_4_strany))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FSE08W87sbsOU06R6f2D0TMEC/Wlck8JfkaeQKPi61np9ukecsRvDZxwxLnx4BKpIIToWcKNBfIsfJPsbhxvg==" saltValue="hI6yI0voNlZaCfwsBMwbj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6">
      <formula>$B$19=0</formula>
    </cfRule>
    <cfRule type="expression" dxfId="308" priority="25">
      <formula>$B$20=0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IF(Ram_4!$H$9=kombinace_4!M11,2,0)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"&amp;5</f>
        <v>Ramka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IFERROR(IF(kombinace_5!FC2=TRUE,'Translate&amp;Prices&amp;Logo'!B654,IF(VLOOKUP(H8,kombinace_5!$A:$E,5,0)=3,'Translate&amp;Prices&amp;Logo'!B642,"")),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IF(kombinace_5!FC2=TRUE,AB4,"")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IF(AU10&gt;0,'Translate&amp;Prices&amp;Logo'!B303,IF(H8=kombinace_5!A59,'Translate&amp;Prices&amp;Logo'!B580,0))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IFERROR(IF(AND(VLOOKUP(H8,kombinace_5!$A:$D,4,0)=1,kombinace_5!FC2=FALSE),'Translate&amp;Prices&amp;Logo'!$B$543,0),0)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IF(H15=kombinace_5!AB40,'Translate&amp;Prices&amp;Logo'!$B$224,IF(H15=kombinace_5!AB41,'Translate&amp;Prices&amp;Logo'!$B$224,IF(H12='závěsy dle výklopu'!BQ2,'Translate&amp;Prices&amp;Logo'!$B$222,'Translate&amp;Prices&amp;Logo'!$B$218)))</f>
        <v>Wybierz pozycję ramki</v>
      </c>
      <c r="C16" s="641"/>
      <c r="D16" s="641"/>
      <c r="E16" s="641"/>
      <c r="F16" s="639"/>
      <c r="G16" s="639"/>
      <c r="H16" s="639"/>
      <c r="I16" s="639"/>
      <c r="J16" s="659" t="str">
        <f>IF(OR(H15=kombinace_5!AB40,H15=kombinace_5!AB7,H15=kombinace_5!AB15,H15=kombinace_5!AB20,H15=kombinace_5!AB21,H15=kombinace_5!AB22),'Translate&amp;Prices&amp;Logo'!$B$226,IF(H15=kombinace_5!AB41,'Translate&amp;Prices&amp;Logo'!$B$226,'Translate&amp;Prices&amp;Logo'!$B$232))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IF(H12='Translate&amp;Prices&amp;Logo'!B551,'Translate&amp;Prices&amp;Logo'!B238,IF(H15=kombinace_5!AB8,'Translate&amp;Prices&amp;Logo'!B284,0))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85">
        <f>IFERROR(IF(VLOOKUP(H15,kombinace_5!CD:CE,2,0)=1,'Translate&amp;Prices&amp;Logo'!$B$547,0),0)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IFERROR(IF(H12='Translate&amp;Prices&amp;Logo'!B551,'Translate&amp;Prices&amp;Logo'!$B$223,IF(VLOOKUP(H15,kombinace_5!CD:CE,2,0)=1,'Translate&amp;Prices&amp;Logo'!$B$223,)),0)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výklopu'!BR2,VLOOKUP(H15,kombinace_5!$CD$3:$CF$18,3,0),IF(H12='závěsy dle výklopu'!BQ2,1,0)),0)</f>
        <v>0</v>
      </c>
      <c r="AV19" s="140">
        <f>IFERROR(VLOOKUP(H15,kombinace_5!$CD:$CF,3,0),0)</f>
        <v>0</v>
      </c>
    </row>
    <row r="20" spans="1:52" ht="18" customHeight="1">
      <c r="A20" s="61"/>
      <c r="B20" s="644">
        <f>IF(H13&lt;&gt;"Salice",(IFERROR('Translate&amp;Prices&amp;Logo'!$B$242&amp;" "&amp;(VLOOKUP(H17,kombinace_5!$BY$32:$CA$35,2,0)),0)),0)</f>
        <v>0</v>
      </c>
      <c r="C20" s="583"/>
      <c r="D20" s="583"/>
      <c r="E20" s="583"/>
      <c r="F20" s="638">
        <v>100</v>
      </c>
      <c r="G20" s="638"/>
      <c r="H20" s="638"/>
      <c r="I20" s="638"/>
      <c r="J20" s="583">
        <f>IFERROR('Translate&amp;Prices&amp;Logo'!$B$242&amp;" "&amp;(VLOOKUP(H17,kombinace_5!$BY$32:$CA$35,3,0)),0)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IF(kombinace_5!FC2=FALSE,'Translate&amp;Prices&amp;Logo'!$B$173,"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VLOOKUP(H17,kombinace_5!$BY$3:$BZ$6,2,0)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VLOOKUP(H27,kombinace_5!$BY3:$BZ6,2,0)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VLOOKUP(H14,kombinace_5!$DN$7:$DO$24,2,0)</f>
        <v>#N/A</v>
      </c>
      <c r="AB29" s="626">
        <f>IF(kombinace_5!FC2=TRUE,AB4,IF(H12='závěsy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HLOOKUP("_Úzký_dolny_K12",kombinace_5!CV2:CW19,3,FALSE)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maksymalna zalecana długość profilu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Zawiasy</v>
      </c>
      <c r="M36" s="157" t="str">
        <v>Podnośniki</v>
      </c>
      <c r="P36" s="157" t="str" cm="1">
        <f t="array" ref="P36:P38">IF(H13=kombinace_5!BQ11,kombinace_5!$DN$2,kombinace_5!$DN$2:$DN$4)</f>
        <v>Nakładany</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CONCATENATE(H13,"_",VLOOKUP(kombinace_5!H1,kombinace_5!$J$14:$K$15,2,0))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VLOOKUP(AD42,kombinace_5!ER1:ES120,2,0)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Wąska ALU ramka</v>
      </c>
      <c r="T54" s="157" t="str">
        <f t="array" ref="T54:T56">kombinace_5!$EN$3:$EN$5</f>
        <v>Bez modyfikacji</v>
      </c>
      <c r="U54" s="157">
        <v>1</v>
      </c>
      <c r="X54" s="157" t="str">
        <f t="array" ref="X54:X56">kombinace_5!$X$3:$X$5</f>
        <v>transparentna</v>
      </c>
      <c r="AD54" s="157" t="e" cm="1">
        <f t="array" aca="1" ref="AD54" ca="1">IF(kombinace_5!FC2=FALSE,
INDIRECT(kombinace_5!S1),
IF(kombinace_5!FC2=TRUE,INDIRECT(VLOOKUP(Ram_5!H8,'závěsy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IF(OR(H8=kombinace_5!F18,H8=kombinace_5!F19,H8=kombinace_5!A60,H8=kombinace_5!A61,H8=kombinace_5!A62,H8=kombinace_5!A63),_2_strany,IF(H15=kombinace_5!AB8,_ramena_HL,_4_strany))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fgIauuIjYbc71rOCuCKGVq/H6H9NpvoA/YHSvcL/9rAjQr+Z9ZASRO5z2TiN6JdXoUXeX7bJJ+eqyHPQ498iLA==" saltValue="2phQt7iE88AUUUYlazTbi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6">
      <formula>$B$19=0</formula>
    </cfRule>
    <cfRule type="expression" dxfId="261" priority="25">
      <formula>$B$20=0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IF(Ram_5!$H$9=kombinace_5!M11,2,0)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"&amp;6</f>
        <v>Ramka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IFERROR(IF(kombinace_6!FC2=TRUE,'Translate&amp;Prices&amp;Logo'!B654,IF(VLOOKUP(H8,kombinace_6!$A:$E,5,0)=3,'Translate&amp;Prices&amp;Logo'!B642,"")),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IF(kombinace_6!FC2=TRUE,AB4,"")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IF(AU10&gt;0,'Translate&amp;Prices&amp;Logo'!B303,IF(H8=kombinace_6!A59,'Translate&amp;Prices&amp;Logo'!B580,0))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IFERROR(IF(AND(VLOOKUP(H8,kombinace_6!$A:$D,4,0)=1,kombinace_6!FC2=FALSE),'Translate&amp;Prices&amp;Logo'!$B$543,0),0)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IF(H15=kombinace_6!AB40,'Translate&amp;Prices&amp;Logo'!$B$224,IF(H15=kombinace_6!AB41,'Translate&amp;Prices&amp;Logo'!$B$224,IF(H12='závěsy dle výklopu'!BQ2,'Translate&amp;Prices&amp;Logo'!$B$222,'Translate&amp;Prices&amp;Logo'!$B$218)))</f>
        <v>Wybierz pozycję ramki</v>
      </c>
      <c r="C16" s="641"/>
      <c r="D16" s="641"/>
      <c r="E16" s="641"/>
      <c r="F16" s="639"/>
      <c r="G16" s="639"/>
      <c r="H16" s="639"/>
      <c r="I16" s="639"/>
      <c r="J16" s="659" t="str">
        <f>IF(OR(H15=kombinace_6!AB40,H15=kombinace_6!AB7,H15=kombinace_6!AB15,H15=kombinace_6!AB20,H15=kombinace_6!AB21,H15=kombinace_6!AB22),'Translate&amp;Prices&amp;Logo'!$B$226,IF(H15=kombinace_6!AB41,'Translate&amp;Prices&amp;Logo'!$B$226,'Translate&amp;Prices&amp;Logo'!$B$232))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IF(H12='Translate&amp;Prices&amp;Logo'!B551,'Translate&amp;Prices&amp;Logo'!B238,IF(H15=kombinace_6!AB8,'Translate&amp;Prices&amp;Logo'!B284,0))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85">
        <f>IFERROR(IF(VLOOKUP(H15,kombinace_6!CD:CE,2,0)=1,'Translate&amp;Prices&amp;Logo'!$B$547,0),0)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IFERROR(IF(H12='Translate&amp;Prices&amp;Logo'!B551,'Translate&amp;Prices&amp;Logo'!$B$223,IF(VLOOKUP(H15,kombinace_6!CD:CE,2,0)=1,'Translate&amp;Prices&amp;Logo'!$B$223,)),0)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výklopu'!BR2,VLOOKUP(H15,kombinace_6!$CD$3:$CF$18,3,0),IF(H12='závěsy dle výklopu'!BQ2,1,0)),0)</f>
        <v>0</v>
      </c>
      <c r="AV19" s="140">
        <f>IFERROR(VLOOKUP(H15,kombinace_6!$CD:$CF,3,0),0)</f>
        <v>0</v>
      </c>
    </row>
    <row r="20" spans="1:52" ht="18" customHeight="1">
      <c r="A20" s="61"/>
      <c r="B20" s="644">
        <f>IF(H13&lt;&gt;"Salice",(IFERROR('Translate&amp;Prices&amp;Logo'!$B$242&amp;" "&amp;(VLOOKUP(H17,kombinace_6!$BY$32:$CA$35,2,0)),0)),0)</f>
        <v>0</v>
      </c>
      <c r="C20" s="583"/>
      <c r="D20" s="583"/>
      <c r="E20" s="583"/>
      <c r="F20" s="638">
        <v>100</v>
      </c>
      <c r="G20" s="638"/>
      <c r="H20" s="638"/>
      <c r="I20" s="638"/>
      <c r="J20" s="583">
        <f>IFERROR('Translate&amp;Prices&amp;Logo'!$B$242&amp;" "&amp;(VLOOKUP(H17,kombinace_6!$BY$32:$CA$35,3,0)),0)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IF(kombinace_6!FC2=FALSE,'Translate&amp;Prices&amp;Logo'!$B$173,"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VLOOKUP(H17,kombinace_6!$BY$3:$BZ$6,2,0)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VLOOKUP(H27,kombinace_6!$BY3:$BZ6,2,0)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VLOOKUP(H14,kombinace_6!$DN$7:$DO$24,2,0)</f>
        <v>#N/A</v>
      </c>
      <c r="AB29" s="626">
        <f>IF(kombinace_6!FC2=TRUE,AB4,IF(H12='závěsy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HLOOKUP("_Úzký_dolny_K12",kombinace_6!CV2:CW19,3,FALSE)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IF(kombinace_6!$V$1=3,IFERROR(((VLOOKUP(H24,'Translate&amp;Prices&amp;Logo'!B91:C93,2,0))*(AR14/1000)),0),0)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IF(kombinace_6!FC2=TRUE,_profily_síťka,IF(kombinace_6!H1=TRUE,_kombinovane_profily,_vše_profily))</f>
        <v>BRW (elox.) - maksymalna zalecana długość profilu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Zawiasy</v>
      </c>
      <c r="M36" s="157" t="str">
        <v>Podnośniki</v>
      </c>
      <c r="P36" s="157" t="str" cm="1">
        <f t="array" ref="P36:P38">IF(H13=kombinace_6!BQ11,kombinace_6!$DN$2,kombinace_6!$DN$2:$DN$4)</f>
        <v>Nakładany</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CONCATENATE(H13,"_",VLOOKUP(kombinace_6!H1,kombinace_6!$J$14:$K$15,2,0))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VLOOKUP(AD42,kombinace_6!ER1:ES120,2,0)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Wąska ALU ramka</v>
      </c>
      <c r="T54" s="157" t="str">
        <f t="array" ref="T54:T56">kombinace_6!$EN$3:$EN$5</f>
        <v>Bez modyfikacji</v>
      </c>
      <c r="U54" s="157">
        <v>1</v>
      </c>
      <c r="X54" s="157" t="str">
        <f t="array" ref="X54:X56">kombinace_6!$X$3:$X$5</f>
        <v>transparentna</v>
      </c>
      <c r="AD54" s="157" t="e" cm="1">
        <f t="array" aca="1" ref="AD54" ca="1">IF(kombinace_6!FC2=FALSE,
INDIRECT(kombinace_6!S1),
IF(kombinace_6!FC2=TRUE,INDIRECT(VLOOKUP(Ram_6!H8,'závěsy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IF(OR(H8=kombinace_6!F18,H8=kombinace_6!F19,H8=kombinace_6!A60,H8=kombinace_6!A61,H8=kombinace_6!A62,H8=kombinace_6!A63),_2_strany,IF(H15=kombinace_6!AB8,_ramena_HL,_4_strany))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AinlhzeXr0mHbvocgV5hcPJZRDUwb8KM7qz9Rn+FNn/E2DrBL3Vh5gaT3zz/eI3quxlzxCIJXk4n4ZB9YI/D0g==" saltValue="84iN6XMSJ0lYnbq913Nf9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6">
      <formula>$B$19=0</formula>
    </cfRule>
    <cfRule type="expression" dxfId="214" priority="25">
      <formula>$B$20=0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486" t="str">
        <f>'Translate&amp;Prices&amp;Logo'!$B$540</f>
        <v>Wprowadzenie</v>
      </c>
      <c r="R2" s="487"/>
      <c r="S2" s="487"/>
      <c r="T2" s="487"/>
    </row>
    <row r="3" spans="1:23">
      <c r="A3" s="39"/>
      <c r="B3" s="39"/>
      <c r="C3" s="39"/>
      <c r="D3" s="39"/>
      <c r="E3" s="39"/>
      <c r="F3" s="39"/>
      <c r="G3" s="39"/>
      <c r="H3" s="39"/>
      <c r="I3" s="39"/>
      <c r="J3" s="39"/>
      <c r="K3" s="39"/>
      <c r="L3" s="39"/>
      <c r="M3" s="39"/>
      <c r="N3" s="39"/>
      <c r="O3" s="39"/>
      <c r="P3" s="15"/>
      <c r="Q3" s="486"/>
      <c r="R3" s="487"/>
      <c r="S3" s="487"/>
      <c r="T3" s="487"/>
    </row>
    <row r="4" spans="1:23">
      <c r="A4" s="38"/>
      <c r="B4" s="38"/>
      <c r="C4" s="38"/>
      <c r="D4" s="38"/>
      <c r="E4" s="38"/>
      <c r="F4" s="38"/>
      <c r="G4" s="38"/>
      <c r="H4" s="38"/>
      <c r="I4" s="38"/>
    </row>
    <row r="5" spans="1:23">
      <c r="A5" s="38"/>
      <c r="B5" s="38"/>
      <c r="C5" s="38"/>
      <c r="D5" s="38"/>
      <c r="E5" s="38"/>
      <c r="F5" s="3" t="str">
        <f>'Translate&amp;Prices&amp;Logo'!$B$302</f>
        <v>Zawsze korzystaj z aktualnej wersji formularza, który jest umieszczony na naszej stronie web.</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Wpisz proszę dane kontaktowe i kliknij w odpowiednie okienko poniżej.</v>
      </c>
    </row>
    <row r="11" spans="1:23">
      <c r="E11" s="497"/>
      <c r="F11" s="497"/>
      <c r="G11" s="497"/>
      <c r="H11" s="497"/>
      <c r="I11" s="497"/>
      <c r="J11" s="31"/>
      <c r="K11" s="498"/>
      <c r="L11" s="498"/>
      <c r="M11" s="498"/>
      <c r="N11" s="498"/>
      <c r="O11" s="498"/>
      <c r="P11" s="498"/>
    </row>
    <row r="12" spans="1:23"/>
    <row r="13" spans="1:23">
      <c r="E13" s="488" t="str">
        <f>'Translate&amp;Prices&amp;Logo'!$B$249</f>
        <v>Klient</v>
      </c>
      <c r="F13" s="488"/>
      <c r="G13" s="488"/>
      <c r="H13" s="488"/>
      <c r="I13" s="488"/>
      <c r="K13" s="499"/>
      <c r="L13" s="499"/>
      <c r="M13" s="499"/>
      <c r="N13" s="499"/>
      <c r="O13" s="499"/>
      <c r="P13" s="499"/>
    </row>
    <row r="14" spans="1:23">
      <c r="K14" s="29"/>
      <c r="L14" s="29"/>
      <c r="M14" s="29"/>
      <c r="N14" s="29"/>
      <c r="O14" s="29"/>
      <c r="P14" s="29"/>
    </row>
    <row r="15" spans="1:23">
      <c r="E15" s="488" t="str">
        <f>'Translate&amp;Prices&amp;Logo'!$B$253</f>
        <v>NIP</v>
      </c>
      <c r="F15" s="488"/>
      <c r="G15" s="488"/>
      <c r="H15" s="488"/>
      <c r="I15" s="488"/>
      <c r="K15" s="499"/>
      <c r="L15" s="499"/>
      <c r="M15" s="499"/>
      <c r="N15" s="499"/>
      <c r="O15" s="499"/>
      <c r="P15" s="499"/>
    </row>
    <row r="16" spans="1:23">
      <c r="K16" s="29"/>
      <c r="L16" s="29"/>
      <c r="M16" s="29"/>
      <c r="N16" s="29"/>
      <c r="O16" s="29"/>
      <c r="P16" s="29"/>
    </row>
    <row r="17" spans="5:16">
      <c r="E17" s="488" t="str">
        <f>'Translate&amp;Prices&amp;Logo'!$B$250</f>
        <v>Telefon kontaktowy</v>
      </c>
      <c r="F17" s="488"/>
      <c r="G17" s="488"/>
      <c r="H17" s="488"/>
      <c r="I17" s="488"/>
      <c r="K17" s="500"/>
      <c r="L17" s="499"/>
      <c r="M17" s="499"/>
      <c r="N17" s="499"/>
      <c r="O17" s="499"/>
      <c r="P17" s="499"/>
    </row>
    <row r="18" spans="5:16">
      <c r="K18" s="29"/>
      <c r="L18" s="29"/>
      <c r="M18" s="29"/>
      <c r="N18" s="29"/>
      <c r="O18" s="29"/>
      <c r="P18" s="29"/>
    </row>
    <row r="19" spans="5:16">
      <c r="E19" s="488" t="str">
        <f>'Translate&amp;Prices&amp;Logo'!$B$251</f>
        <v>Adres e-mail</v>
      </c>
      <c r="F19" s="488"/>
      <c r="G19" s="488"/>
      <c r="H19" s="488"/>
      <c r="I19" s="488"/>
      <c r="K19" s="499"/>
      <c r="L19" s="499"/>
      <c r="M19" s="499"/>
      <c r="N19" s="499"/>
      <c r="O19" s="499"/>
      <c r="P19" s="499"/>
    </row>
    <row r="20" spans="5:16">
      <c r="K20" s="29"/>
      <c r="L20" s="29"/>
      <c r="M20" s="29"/>
      <c r="N20" s="29"/>
      <c r="O20" s="29"/>
      <c r="P20" s="29"/>
    </row>
    <row r="21" spans="5:16">
      <c r="E21" s="488" t="str">
        <f>'Translate&amp;Prices&amp;Logo'!$B$254</f>
        <v>Rabat na ramki</v>
      </c>
      <c r="F21" s="488"/>
      <c r="G21" s="488"/>
      <c r="H21" s="488"/>
      <c r="I21" s="488"/>
      <c r="K21" s="502"/>
      <c r="L21" s="502"/>
      <c r="M21" s="502"/>
      <c r="N21" s="502"/>
      <c r="O21" s="502"/>
      <c r="P21" s="334" t="s">
        <v>4112</v>
      </c>
    </row>
    <row r="22" spans="5:16" ht="14.25" customHeight="1">
      <c r="K22" s="289">
        <v>0.2</v>
      </c>
      <c r="L22" s="289"/>
      <c r="M22" s="289"/>
      <c r="N22" s="289"/>
      <c r="O22" s="289"/>
      <c r="P22" s="289"/>
    </row>
    <row r="23" spans="5:16">
      <c r="E23" s="489" t="str">
        <f>IF(Hlavní!V39=3,"Dostawa","")</f>
        <v>Dostawa</v>
      </c>
      <c r="F23" s="489"/>
      <c r="G23" s="489"/>
      <c r="H23" s="489"/>
      <c r="I23" s="489"/>
      <c r="K23" s="490"/>
      <c r="L23" s="490"/>
      <c r="M23" s="490"/>
      <c r="N23" s="490"/>
      <c r="O23" s="490"/>
      <c r="P23" s="490"/>
    </row>
    <row r="24" spans="5:16" ht="14.25" customHeight="1">
      <c r="K24" s="49" t="s">
        <v>3599</v>
      </c>
      <c r="L24" s="501" t="s">
        <v>3600</v>
      </c>
      <c r="M24" s="501"/>
      <c r="N24" s="501"/>
      <c r="O24" s="501"/>
      <c r="P24" s="49" t="s">
        <v>3599</v>
      </c>
    </row>
    <row r="25" spans="5:16" ht="14.25" customHeight="1">
      <c r="E25" s="489" t="str">
        <f>IF(Hlavní!V39=3,"Adres","")</f>
        <v>Adres</v>
      </c>
      <c r="F25" s="489"/>
      <c r="G25" s="489"/>
      <c r="H25" s="489"/>
      <c r="I25" s="489"/>
      <c r="K25" s="491"/>
      <c r="L25" s="491"/>
      <c r="M25" s="491"/>
      <c r="N25" s="491"/>
      <c r="O25" s="491"/>
      <c r="P25" s="491"/>
    </row>
    <row r="26" spans="5:16" ht="14.25" customHeight="1">
      <c r="K26" s="491"/>
      <c r="L26" s="491"/>
      <c r="M26" s="491"/>
      <c r="N26" s="491"/>
      <c r="O26" s="491"/>
      <c r="P26" s="491"/>
    </row>
    <row r="27" spans="5:16" ht="14.25" customHeight="1">
      <c r="K27" s="491"/>
      <c r="L27" s="491"/>
      <c r="M27" s="491"/>
      <c r="N27" s="491"/>
      <c r="O27" s="491"/>
      <c r="P27" s="491"/>
    </row>
    <row r="28" spans="5:16" ht="14.25" customHeight="1"/>
    <row r="29" spans="5:16">
      <c r="E29" s="494"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494"/>
      <c r="G29" s="494"/>
      <c r="H29" s="494"/>
      <c r="I29" s="494"/>
      <c r="J29" s="494"/>
      <c r="K29" s="494"/>
      <c r="L29" s="494"/>
      <c r="M29" s="494"/>
      <c r="N29" s="494"/>
      <c r="O29" s="494"/>
      <c r="P29" s="494"/>
    </row>
    <row r="30" spans="5:16">
      <c r="E30" s="494"/>
      <c r="F30" s="494"/>
      <c r="G30" s="494"/>
      <c r="H30" s="494"/>
      <c r="I30" s="494"/>
      <c r="J30" s="494"/>
      <c r="K30" s="494"/>
      <c r="L30" s="494"/>
      <c r="M30" s="494"/>
      <c r="N30" s="494"/>
      <c r="O30" s="494"/>
      <c r="P30" s="494"/>
    </row>
    <row r="31" spans="5:16">
      <c r="E31" s="494"/>
      <c r="F31" s="494"/>
      <c r="G31" s="494"/>
      <c r="H31" s="494"/>
      <c r="I31" s="494"/>
      <c r="J31" s="494"/>
      <c r="K31" s="494"/>
      <c r="L31" s="494"/>
      <c r="M31" s="494"/>
      <c r="N31" s="494"/>
      <c r="O31" s="494"/>
      <c r="P31" s="494"/>
    </row>
    <row r="32" spans="5:16">
      <c r="E32" s="287"/>
      <c r="F32" s="287"/>
      <c r="G32" s="287"/>
      <c r="H32" s="287"/>
      <c r="I32" s="287"/>
      <c r="J32" s="287"/>
      <c r="K32" s="287"/>
      <c r="L32" s="287"/>
      <c r="M32" s="287"/>
      <c r="N32" s="287"/>
      <c r="O32" s="287"/>
      <c r="P32" s="287"/>
    </row>
    <row r="33" spans="2:24"/>
    <row r="34" spans="2:24">
      <c r="B34" s="486" t="str">
        <f>"&lt;"&amp;" "&amp;'Translate&amp;Prices&amp;Logo'!$B$574</f>
        <v>&lt; Powrót</v>
      </c>
      <c r="C34" s="487"/>
      <c r="E34" s="287"/>
      <c r="F34" s="287"/>
      <c r="G34" s="287"/>
      <c r="H34" s="287"/>
      <c r="I34" s="287"/>
      <c r="J34" s="287"/>
      <c r="K34" s="492" t="s">
        <v>3635</v>
      </c>
      <c r="L34" s="493"/>
      <c r="M34" s="287"/>
      <c r="N34" s="287"/>
      <c r="O34" s="287"/>
      <c r="P34" s="287"/>
      <c r="R34" s="495" t="str">
        <f>'Translate&amp;Prices&amp;Logo'!$B$566&amp;" "&amp;"&gt;"</f>
        <v>Kolejne &gt;</v>
      </c>
      <c r="S34" s="496"/>
      <c r="U34" s="6">
        <f>IF('Translate&amp;Prices&amp;Logo'!D1=3,1,0)</f>
        <v>1</v>
      </c>
      <c r="V34" s="6">
        <f>IF(K23="",0,1)</f>
        <v>0</v>
      </c>
      <c r="W34" s="6">
        <f>IF(AND(U34=1,V34=1),1,0)</f>
        <v>0</v>
      </c>
      <c r="X34" s="6">
        <f>IF(OR(W34=1,W35=1),1,0)</f>
        <v>0</v>
      </c>
    </row>
    <row r="35" spans="2:24">
      <c r="B35" s="486"/>
      <c r="C35" s="487"/>
      <c r="E35" s="287"/>
      <c r="F35" s="287"/>
      <c r="G35" s="287"/>
      <c r="H35" s="287"/>
      <c r="I35" s="287"/>
      <c r="J35" s="287"/>
      <c r="K35" s="492"/>
      <c r="L35" s="493"/>
      <c r="M35" s="287"/>
      <c r="N35" s="287"/>
      <c r="O35" s="287"/>
      <c r="P35" s="287"/>
      <c r="R35" s="495"/>
      <c r="S35" s="496"/>
      <c r="U35" s="6" t="s">
        <v>3576</v>
      </c>
      <c r="V35" s="6"/>
      <c r="W35" s="6">
        <f>IF('Translate&amp;Prices&amp;Logo'!D1&lt;&gt;3,1,0)</f>
        <v>0</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Nakładany</v>
      </c>
      <c r="DP2" t="str">
        <f>'Translate&amp;Prices&amp;Logo'!$B$551</f>
        <v>Zawiasy</v>
      </c>
      <c r="DQ2">
        <v>2</v>
      </c>
      <c r="ED2" t="s">
        <v>1649</v>
      </c>
      <c r="EE2" t="s">
        <v>3252</v>
      </c>
      <c r="ER2" t="s">
        <v>2157</v>
      </c>
      <c r="ES2" t="s">
        <v>2162</v>
      </c>
      <c r="EV2">
        <v>2</v>
      </c>
      <c r="EW2" t="s">
        <v>2179</v>
      </c>
      <c r="EY2" s="213" t="str">
        <f>'Translate&amp;Prices&amp;Logo'!B164</f>
        <v>siatka alu złota - oko 10x6x1 mm</v>
      </c>
      <c r="FA2" s="34" t="str">
        <f>'Translate&amp;Prices&amp;Logo'!B644</f>
        <v>520405 SALICE AIR SOFT zawiasy niklowe o kącie otwarcia 92° kpl. 2 szt</v>
      </c>
      <c r="FC2" t="b">
        <v>0</v>
      </c>
    </row>
    <row r="3" spans="1:159">
      <c r="A3" t="str">
        <f>'Translate&amp;Prices&amp;Logo'!$B$6</f>
        <v>BRW (elox.) - maksymalna zalecana długość profilu 2500 mm</v>
      </c>
      <c r="B3">
        <v>1</v>
      </c>
      <c r="C3" t="s">
        <v>651</v>
      </c>
      <c r="D3">
        <v>1</v>
      </c>
      <c r="F3" t="s">
        <v>950</v>
      </c>
      <c r="G3" t="s">
        <v>382</v>
      </c>
      <c r="H3" t="s">
        <v>951</v>
      </c>
      <c r="I3">
        <v>1</v>
      </c>
      <c r="J3">
        <v>2</v>
      </c>
      <c r="K3" t="s">
        <v>651</v>
      </c>
      <c r="M3" t="s">
        <v>952</v>
      </c>
      <c r="N3" t="s">
        <v>554</v>
      </c>
      <c r="X3" t="str">
        <f>'Translate&amp;Prices&amp;Logo'!$B$563</f>
        <v>transparentna</v>
      </c>
      <c r="Y3">
        <v>1</v>
      </c>
      <c r="AA3" t="s">
        <v>2083</v>
      </c>
      <c r="AB3" t="s">
        <v>1009</v>
      </c>
      <c r="AF3" t="s">
        <v>105</v>
      </c>
      <c r="AG3" t="s">
        <v>2377</v>
      </c>
      <c r="AY3" t="s">
        <v>984</v>
      </c>
      <c r="BK3" t="s">
        <v>105</v>
      </c>
      <c r="BU3" t="e">
        <f>VLOOKUP(BU2,BV2:BW9,2,0)</f>
        <v>#N/A</v>
      </c>
      <c r="BV3" t="s">
        <v>1015</v>
      </c>
      <c r="BW3" t="s">
        <v>1012</v>
      </c>
      <c r="BY3" t="str">
        <f>'Translate&amp;Prices&amp;Logo'!$B$230</f>
        <v>W lewo</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Podnośniki</v>
      </c>
      <c r="DQ3">
        <v>3</v>
      </c>
      <c r="ED3" t="s">
        <v>1650</v>
      </c>
      <c r="EE3" t="s">
        <v>3255</v>
      </c>
      <c r="EJ3">
        <v>1</v>
      </c>
      <c r="EK3" t="s">
        <v>113</v>
      </c>
      <c r="EN3" t="str">
        <f>'Translate&amp;Prices&amp;Logo'!B638</f>
        <v>Bez modyfikacji</v>
      </c>
      <c r="EO3">
        <v>1</v>
      </c>
      <c r="ER3" t="s">
        <v>2155</v>
      </c>
      <c r="ES3" t="s">
        <v>2163</v>
      </c>
      <c r="EV3">
        <v>3</v>
      </c>
      <c r="EW3" t="s">
        <v>2180</v>
      </c>
      <c r="EY3" s="213" t="str">
        <f>'Translate&amp;Prices&amp;Logo'!B165</f>
        <v>siatka stal czarny mat RAL 9005– oko 8x4x1 mm</v>
      </c>
      <c r="FA3" s="34" t="str">
        <f>'Translate&amp;Prices&amp;Logo'!B645</f>
        <v>520406 SALICE AIR PUSH TO OPEN zawiasy niklowe z zestawem adapterów 2 szt</v>
      </c>
    </row>
    <row r="4" spans="1:159">
      <c r="A4" t="str">
        <f>'Translate&amp;Prices&amp;Logo'!$B$8</f>
        <v>BRW bialy matowy RAL 9003 - maksymalna zalecana długość profilu 2500 mm</v>
      </c>
      <c r="B4">
        <v>1</v>
      </c>
      <c r="C4" t="s">
        <v>651</v>
      </c>
      <c r="D4">
        <v>0</v>
      </c>
      <c r="G4" t="s">
        <v>951</v>
      </c>
      <c r="H4" t="s">
        <v>382</v>
      </c>
      <c r="I4">
        <v>0</v>
      </c>
      <c r="J4">
        <v>2</v>
      </c>
      <c r="K4" t="s">
        <v>651</v>
      </c>
      <c r="M4" t="s">
        <v>955</v>
      </c>
      <c r="N4" t="s">
        <v>856</v>
      </c>
      <c r="X4" t="str">
        <f>'Translate&amp;Prices&amp;Logo'!$B$564</f>
        <v>Biała</v>
      </c>
      <c r="Y4">
        <v>2</v>
      </c>
      <c r="AA4" t="s">
        <v>954</v>
      </c>
      <c r="AB4" t="s">
        <v>2374</v>
      </c>
      <c r="AC4">
        <v>1</v>
      </c>
      <c r="AD4">
        <v>1</v>
      </c>
      <c r="AF4" t="s">
        <v>106</v>
      </c>
      <c r="AG4" t="s">
        <v>2377</v>
      </c>
      <c r="AY4" t="s">
        <v>984</v>
      </c>
      <c r="AZ4" t="s">
        <v>1017</v>
      </c>
      <c r="BK4" t="s">
        <v>106</v>
      </c>
      <c r="BV4" t="s">
        <v>1016</v>
      </c>
      <c r="BW4" t="s">
        <v>1011</v>
      </c>
      <c r="BY4" t="str">
        <f>'Translate&amp;Prices&amp;Logo'!$B$229</f>
        <v>W prawo</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Hartowane (termin dostawy 4 tygodnie)</v>
      </c>
      <c r="EO4">
        <v>2</v>
      </c>
      <c r="ER4" t="s">
        <v>2449</v>
      </c>
      <c r="ES4" t="s">
        <v>2450</v>
      </c>
      <c r="EV4">
        <v>4</v>
      </c>
      <c r="EW4" t="s">
        <v>2181</v>
      </c>
      <c r="EY4" s="213" t="str">
        <f>'Translate&amp;Prices&amp;Logo'!B166</f>
        <v>siatka stalowa biała - oko 8x4x1 mm</v>
      </c>
      <c r="FA4" s="34" t="str">
        <f>'Translate&amp;Prices&amp;Logo'!B646</f>
        <v>520407 SALICE AIR PUSH TO OPEN zawiasy niklowe z zestawem adapterów 2 szt</v>
      </c>
    </row>
    <row r="5" spans="1:159">
      <c r="A5" t="str">
        <f>'Translate&amp;Prices&amp;Logo'!$B$9</f>
        <v>BRW bialy połysk RAL 9003 - maksymalna zalecana długość profilu 2500 mm</v>
      </c>
      <c r="B5">
        <v>1</v>
      </c>
      <c r="C5" t="s">
        <v>651</v>
      </c>
      <c r="D5">
        <v>0</v>
      </c>
      <c r="F5" t="s">
        <v>957</v>
      </c>
      <c r="G5" t="s">
        <v>381</v>
      </c>
      <c r="H5" t="s">
        <v>951</v>
      </c>
      <c r="I5">
        <v>1</v>
      </c>
      <c r="J5">
        <v>2</v>
      </c>
      <c r="K5" t="s">
        <v>651</v>
      </c>
      <c r="M5" t="s">
        <v>958</v>
      </c>
      <c r="N5" t="s">
        <v>556</v>
      </c>
      <c r="X5" t="str">
        <f>'Translate&amp;Prices&amp;Logo'!$B$565</f>
        <v>czarna</v>
      </c>
      <c r="Y5">
        <v>3</v>
      </c>
      <c r="AA5" t="s">
        <v>954</v>
      </c>
      <c r="AB5" t="s">
        <v>2378</v>
      </c>
      <c r="AC5">
        <v>0</v>
      </c>
      <c r="AD5">
        <v>0</v>
      </c>
      <c r="AF5" t="s">
        <v>105</v>
      </c>
      <c r="AG5" t="s">
        <v>2379</v>
      </c>
      <c r="AY5" t="s">
        <v>984</v>
      </c>
      <c r="AZ5" t="s">
        <v>1018</v>
      </c>
      <c r="BK5" t="s">
        <v>961</v>
      </c>
      <c r="BV5" t="s">
        <v>2501</v>
      </c>
      <c r="BW5" t="s">
        <v>2502</v>
      </c>
      <c r="BY5" t="str">
        <f>'Translate&amp;Prices&amp;Logo'!$B$227</f>
        <v>W górę</v>
      </c>
      <c r="BZ5">
        <v>3</v>
      </c>
      <c r="CA5">
        <v>76</v>
      </c>
      <c r="CD5" t="s">
        <v>964</v>
      </c>
      <c r="CE5">
        <v>1</v>
      </c>
      <c r="CF5">
        <v>0</v>
      </c>
      <c r="ED5" t="s">
        <v>1652</v>
      </c>
      <c r="EE5" t="s">
        <v>3258</v>
      </c>
      <c r="EJ5">
        <v>3</v>
      </c>
      <c r="EK5" t="s">
        <v>74</v>
      </c>
      <c r="EN5" t="str">
        <f>'Translate&amp;Prices&amp;Logo'!B640</f>
        <v>Folia</v>
      </c>
      <c r="EO5">
        <v>3</v>
      </c>
      <c r="ER5" t="s">
        <v>2451</v>
      </c>
      <c r="ES5" t="s">
        <v>2452</v>
      </c>
      <c r="EV5">
        <v>5</v>
      </c>
      <c r="EW5" t="s">
        <v>2179</v>
      </c>
      <c r="EY5" s="213" t="str">
        <f>'Translate&amp;Prices&amp;Logo'!B167</f>
        <v>siatka elox - oko 10x6x1 mm</v>
      </c>
      <c r="FA5" s="34" t="str">
        <f>'Translate&amp;Prices&amp;Logo'!B647</f>
        <v>520408 SALICE AIR SOFT zawiasy niklowe z zestawem adapterów 2 szt</v>
      </c>
    </row>
    <row r="6" spans="1:159">
      <c r="A6" t="str">
        <f>'Translate&amp;Prices&amp;Logo'!$B$11</f>
        <v>BRW szczotkowany - maksymalna zalecana długość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W dół</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zawiasy o kącie otwarcia 92° kpl. 2 szt</v>
      </c>
    </row>
    <row r="7" spans="1:159">
      <c r="A7" t="str">
        <f>'Translate&amp;Prices&amp;Logo'!$B$12</f>
        <v>BRW Czarny matowy - maksymalna zalecana długość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zawiasy komplet 2 szt</v>
      </c>
    </row>
    <row r="8" spans="1:159">
      <c r="A8" t="str">
        <f>'Translate&amp;Prices&amp;Logo'!$B$14</f>
        <v>BRW czarna szczotka - maksymalna zalecana długość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zawiasy z zestawem adapterów 2 szt</v>
      </c>
    </row>
    <row r="9" spans="1:159">
      <c r="A9" t="str">
        <f>'Translate&amp;Prices&amp;Logo'!$B$15</f>
        <v>BRW acier grata - maksymalna zalecana długość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zawiasy z zestawem adapterów 2 szt</v>
      </c>
    </row>
    <row r="10" spans="1:159">
      <c r="A10" t="str">
        <f>'Translate&amp;Prices&amp;Logo'!$B$7</f>
        <v>BRW antracyt RAL 7021 - maksymalna zalecana długość profilu 2500 mm</v>
      </c>
      <c r="B10">
        <v>1</v>
      </c>
      <c r="C10" t="s">
        <v>651</v>
      </c>
      <c r="D10">
        <v>0</v>
      </c>
      <c r="M10" t="str">
        <f>'Translate&amp;Prices&amp;Logo'!B558</f>
        <v>Poziomo (termin dostawy 4 tygodnie)</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maksymalna zalecana długość profilu 2500 mm</v>
      </c>
      <c r="B11">
        <v>1</v>
      </c>
      <c r="C11" t="s">
        <v>651</v>
      </c>
      <c r="D11">
        <v>0</v>
      </c>
      <c r="M11" t="str">
        <f>'Translate&amp;Prices&amp;Logo'!B559</f>
        <v>Pionowo (termin dostawy 4 tygodnie)</v>
      </c>
      <c r="N11">
        <f>IF(Ram_6!$H$9=kombinace_6!M11,2,0)</f>
        <v>0</v>
      </c>
      <c r="AC11">
        <v>0</v>
      </c>
      <c r="AD11">
        <v>0</v>
      </c>
      <c r="AF11" t="s">
        <v>105</v>
      </c>
      <c r="AG11" t="s">
        <v>969</v>
      </c>
      <c r="AY11" t="s">
        <v>954</v>
      </c>
      <c r="AZ11" t="s">
        <v>1023</v>
      </c>
      <c r="BQ11" s="215" t="s">
        <v>2267</v>
      </c>
      <c r="BY11">
        <v>5</v>
      </c>
      <c r="CA11">
        <v>240</v>
      </c>
      <c r="CD11" t="str">
        <f>CONCATENATE('Translate&amp;Prices&amp;Logo'!B664,"_K12")</f>
        <v>dolny_K12</v>
      </c>
      <c r="CE11">
        <v>1</v>
      </c>
      <c r="CF11">
        <v>0</v>
      </c>
      <c r="DN11" t="s">
        <v>69</v>
      </c>
      <c r="DO11" s="2" t="s">
        <v>69</v>
      </c>
      <c r="ED11" t="s">
        <v>1658</v>
      </c>
      <c r="EE11" t="s">
        <v>1752</v>
      </c>
      <c r="ER11" t="s">
        <v>2159</v>
      </c>
      <c r="ES11" t="s">
        <v>2165</v>
      </c>
    </row>
    <row r="12" spans="1:159">
      <c r="A12" t="str">
        <f>'Translate&amp;Prices&amp;Logo'!$B$70</f>
        <v>BRW champagne light - maksymalna zalecana długość profilu 2500 mm</v>
      </c>
      <c r="B12">
        <v>1</v>
      </c>
      <c r="C12" t="s">
        <v>651</v>
      </c>
      <c r="D12">
        <v>0</v>
      </c>
      <c r="M12" t="str">
        <f>'Translate&amp;Prices&amp;Logo'!B560</f>
        <v>Poziomo i pionowo (termin dostawy 4 tygodnie)</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brąz - maksymalna zalecana długość profilu 2500 mm</v>
      </c>
      <c r="B13">
        <v>1</v>
      </c>
      <c r="C13" t="s">
        <v>651</v>
      </c>
      <c r="D13">
        <v>0</v>
      </c>
      <c r="AC13">
        <v>0</v>
      </c>
      <c r="AD13">
        <v>0</v>
      </c>
      <c r="AF13" t="s">
        <v>105</v>
      </c>
      <c r="AG13" t="s">
        <v>972</v>
      </c>
      <c r="AY13" t="s">
        <v>954</v>
      </c>
      <c r="AZ13" t="s">
        <v>1025</v>
      </c>
      <c r="BQ13" s="216"/>
      <c r="BR13" t="s">
        <v>966</v>
      </c>
      <c r="BY13" t="str">
        <f>'Translate&amp;Prices&amp;Logo'!$B$558</f>
        <v>Poziomo (termin dostawy 4 tygodnie)</v>
      </c>
      <c r="BZ13">
        <v>1</v>
      </c>
      <c r="CA13">
        <v>288</v>
      </c>
      <c r="CD13" t="str">
        <f>CONCATENATE('Translate&amp;Prices&amp;Logo'!B664,"_kraby")</f>
        <v>dolny_kraby</v>
      </c>
      <c r="CE13">
        <v>1</v>
      </c>
      <c r="CF13">
        <v>0</v>
      </c>
      <c r="DN13" t="s">
        <v>220</v>
      </c>
      <c r="DO13" s="2" t="s">
        <v>68</v>
      </c>
      <c r="ED13" t="s">
        <v>2511</v>
      </c>
      <c r="EE13" t="s">
        <v>2510</v>
      </c>
      <c r="ER13" t="s">
        <v>2161</v>
      </c>
      <c r="ES13" t="s">
        <v>2161</v>
      </c>
    </row>
    <row r="14" spans="1:159">
      <c r="A14" t="str">
        <f>'Translate&amp;Prices&amp;Logo'!$B$16</f>
        <v>BRW INOX (stal nierdzewna) - maksymalna zalecana długość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Pionowo (termin dostawy 4 tygodnie)</v>
      </c>
      <c r="BZ14">
        <v>2</v>
      </c>
      <c r="CA14">
        <v>320</v>
      </c>
      <c r="CD14" t="s">
        <v>980</v>
      </c>
      <c r="CE14">
        <v>1</v>
      </c>
      <c r="CF14">
        <v>0</v>
      </c>
      <c r="DN14" t="s">
        <v>221</v>
      </c>
      <c r="DO14" s="2" t="s">
        <v>69</v>
      </c>
      <c r="ED14" t="s">
        <v>1660</v>
      </c>
      <c r="EE14" t="s">
        <v>1754</v>
      </c>
      <c r="ER14" t="s">
        <v>2162</v>
      </c>
      <c r="ES14" t="s">
        <v>2162</v>
      </c>
    </row>
    <row r="15" spans="1:159">
      <c r="A15" t="str">
        <f>'Translate&amp;Prices&amp;Logo'!$B$64</f>
        <v>BRW kaszmirowy - maksymalna zalecana długość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Poziomo i pionowo (termin dostawy 4 tygodnie)</v>
      </c>
      <c r="BZ15">
        <v>3</v>
      </c>
      <c r="CA15">
        <v>384</v>
      </c>
      <c r="CD15" t="s">
        <v>981</v>
      </c>
      <c r="CE15">
        <v>1</v>
      </c>
      <c r="CF15">
        <v>0</v>
      </c>
      <c r="DN15" t="s">
        <v>1145</v>
      </c>
      <c r="DO15" s="2" t="s">
        <v>70</v>
      </c>
      <c r="ED15" t="s">
        <v>1661</v>
      </c>
      <c r="EE15" t="s">
        <v>1755</v>
      </c>
      <c r="ER15" t="s">
        <v>2163</v>
      </c>
      <c r="ES15" t="s">
        <v>2163</v>
      </c>
    </row>
    <row r="16" spans="1:159">
      <c r="A16" t="str">
        <f>'Translate&amp;Prices&amp;Logo'!$B$13</f>
        <v>BRW złota- maksymalna zalecana długość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StrongLift_gorny</v>
      </c>
      <c r="CE16">
        <v>1</v>
      </c>
      <c r="CF16">
        <v>1</v>
      </c>
      <c r="DN16" t="s">
        <v>284</v>
      </c>
      <c r="DO16" s="2" t="s">
        <v>68</v>
      </c>
      <c r="ED16" t="s">
        <v>1662</v>
      </c>
      <c r="EE16" t="s">
        <v>1756</v>
      </c>
      <c r="ER16" t="s">
        <v>2450</v>
      </c>
      <c r="ES16" t="s">
        <v>2450</v>
      </c>
      <c r="FC16" s="251"/>
    </row>
    <row r="17" spans="1:159">
      <c r="A17" t="str">
        <f>'Translate&amp;Prices&amp;Logo'!$B$55</f>
        <v>BRW złota szczotkowany - maksymalna zalecana zalecana długość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StrongLift_dolny</v>
      </c>
      <c r="CE17">
        <v>1</v>
      </c>
      <c r="CF17">
        <v>1</v>
      </c>
      <c r="DN17" t="s">
        <v>1244</v>
      </c>
      <c r="DO17" s="2" t="s">
        <v>69</v>
      </c>
      <c r="ED17" t="s">
        <v>1663</v>
      </c>
      <c r="EE17" t="s">
        <v>1757</v>
      </c>
      <c r="ER17" t="s">
        <v>2452</v>
      </c>
      <c r="ES17" t="s">
        <v>2452</v>
      </c>
      <c r="FC17" s="251"/>
    </row>
    <row r="18" spans="1:159">
      <c r="A18" t="str">
        <f>'Translate&amp;Prices&amp;Logo'!$B$17</f>
        <v>Corleone (elox.)- maksymalna zalecana długość profilu 1500 mm</v>
      </c>
      <c r="B18">
        <v>2</v>
      </c>
      <c r="C18" t="s">
        <v>651</v>
      </c>
      <c r="D18">
        <v>0</v>
      </c>
      <c r="E18">
        <v>3</v>
      </c>
      <c r="F18" t="str">
        <f>'Translate&amp;Prices&amp;Logo'!$B$80</f>
        <v>Rocca elox (lewa i prawa) + Varna elox (góra i dół)</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czarny matowy - maksymalna zalecana długość profilu 1500 mm</v>
      </c>
      <c r="B19">
        <v>2</v>
      </c>
      <c r="C19" t="s">
        <v>651</v>
      </c>
      <c r="D19">
        <v>0</v>
      </c>
      <c r="F19" t="str">
        <f>'Translate&amp;Prices&amp;Logo'!$B$81</f>
        <v>Rocca czarny (lewa i prawa) + Varna czarny (góra i dół)</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czarne  - maksymalna zalecana długość profilu 2150</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antracyt mat RAL 7021 mat lakier - maksymalna zalecana długość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maksymalna zalecana długość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Czarny matowy - maksymalna zalecana długość profilu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bialy matowy RAL 9003 - maksymalna zalecana długość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złota - maksymalna zalecana zalecana długość profilu 2150 mm</v>
      </c>
      <c r="B25">
        <v>2</v>
      </c>
      <c r="C25" t="s">
        <v>998</v>
      </c>
      <c r="D25">
        <v>0</v>
      </c>
      <c r="AF25" t="s">
        <v>105</v>
      </c>
      <c r="AG25" t="s">
        <v>980</v>
      </c>
      <c r="ED25" t="s">
        <v>1671</v>
      </c>
      <c r="EE25" t="s">
        <v>3269</v>
      </c>
      <c r="ER25" t="s">
        <v>2171</v>
      </c>
      <c r="ES25" t="s">
        <v>2171</v>
      </c>
    </row>
    <row r="26" spans="1:159">
      <c r="A26" t="str">
        <f>'Translate&amp;Prices&amp;Logo'!$B$22</f>
        <v>Modena (elox.) - maksymalna zalecana długość profilu 2500 mm</v>
      </c>
      <c r="B26">
        <v>2</v>
      </c>
      <c r="C26" t="s">
        <v>651</v>
      </c>
      <c r="D26">
        <v>0</v>
      </c>
      <c r="AF26" t="s">
        <v>106</v>
      </c>
      <c r="AG26" t="s">
        <v>980</v>
      </c>
      <c r="ED26" t="s">
        <v>1672</v>
      </c>
      <c r="EE26" t="s">
        <v>3270</v>
      </c>
      <c r="ER26" t="s">
        <v>2172</v>
      </c>
      <c r="ES26" t="s">
        <v>2172</v>
      </c>
    </row>
    <row r="27" spans="1:159">
      <c r="A27" t="str">
        <f>'Translate&amp;Prices&amp;Logo'!$B$23</f>
        <v>Modena Czarny matowy - maksymalna zalecana długość profilu 2500 mm</v>
      </c>
      <c r="B27">
        <v>2</v>
      </c>
      <c r="C27" t="s">
        <v>651</v>
      </c>
      <c r="D27">
        <v>0</v>
      </c>
      <c r="AF27" t="s">
        <v>105</v>
      </c>
      <c r="AG27" t="s">
        <v>981</v>
      </c>
      <c r="ED27" t="s">
        <v>1673</v>
      </c>
      <c r="EE27" t="s">
        <v>3272</v>
      </c>
      <c r="ER27" t="s">
        <v>2173</v>
      </c>
      <c r="ES27" t="s">
        <v>2173</v>
      </c>
    </row>
    <row r="28" spans="1:159">
      <c r="A28" t="str">
        <f>'Translate&amp;Prices&amp;Logo'!$B$25</f>
        <v>Modena czarna szczotka - maksymalna zalecana długość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INOX (stal nierdzewna) - maksymalna zalecana długość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brąz - maksymalna zalecana długość profilu 2500 mm</v>
      </c>
      <c r="B30">
        <v>2</v>
      </c>
      <c r="C30" t="s">
        <v>651</v>
      </c>
      <c r="D30">
        <v>0</v>
      </c>
      <c r="AA30" t="s">
        <v>976</v>
      </c>
      <c r="AB30" t="str">
        <f>CONCATENATE('Translate&amp;Prices&amp;Logo'!B664,"_K12")</f>
        <v>dolny_K12</v>
      </c>
      <c r="AC30">
        <v>1</v>
      </c>
      <c r="AD30">
        <v>0</v>
      </c>
      <c r="AF30" t="s">
        <v>106</v>
      </c>
      <c r="AG30" t="s">
        <v>982</v>
      </c>
      <c r="ED30" t="s">
        <v>1676</v>
      </c>
      <c r="EE30" t="s">
        <v>3275</v>
      </c>
      <c r="ER30" t="s">
        <v>2463</v>
      </c>
      <c r="ES30" t="s">
        <v>2463</v>
      </c>
    </row>
    <row r="31" spans="1:159">
      <c r="A31" t="str">
        <f>'Translate&amp;Prices&amp;Logo'!$B$29</f>
        <v>Pisa (elox.) - maksymalna zalecana długość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biały matowy RAL 9003 - maksymalna zalecana zalecana długość profilu 2500 mm</v>
      </c>
      <c r="B32">
        <v>2</v>
      </c>
      <c r="C32" t="s">
        <v>998</v>
      </c>
      <c r="D32">
        <v>0</v>
      </c>
      <c r="AA32" t="s">
        <v>976</v>
      </c>
      <c r="AB32" t="str">
        <f>CONCATENATE('Translate&amp;Prices&amp;Logo'!B664,"_kraby")</f>
        <v>dolny_kraby</v>
      </c>
      <c r="AC32">
        <v>1</v>
      </c>
      <c r="AD32">
        <v>0</v>
      </c>
      <c r="AF32" t="s">
        <v>106</v>
      </c>
      <c r="AG32" t="s">
        <v>983</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1678</v>
      </c>
      <c r="EE32" t="s">
        <v>3277</v>
      </c>
      <c r="ER32" t="s">
        <v>2465</v>
      </c>
      <c r="ES32" t="s">
        <v>2465</v>
      </c>
    </row>
    <row r="33" spans="1:149">
      <c r="A33" t="str">
        <f>'Translate&amp;Prices&amp;Logo'!$B$53</f>
        <v>Pisa biały połysk RAL 9003 - maksymalna zalecana zalecana długość profilu 2500 mm</v>
      </c>
      <c r="B33">
        <v>2</v>
      </c>
      <c r="C33" t="s">
        <v>998</v>
      </c>
      <c r="D33">
        <v>0</v>
      </c>
      <c r="AA33" t="s">
        <v>976</v>
      </c>
      <c r="AB33" t="s">
        <v>980</v>
      </c>
      <c r="AC33">
        <v>1</v>
      </c>
      <c r="AD33">
        <v>0</v>
      </c>
      <c r="AF33" t="s">
        <v>105</v>
      </c>
      <c r="AG33" t="s">
        <v>985</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1679</v>
      </c>
      <c r="EE33" t="s">
        <v>3278</v>
      </c>
      <c r="ER33" t="s">
        <v>2466</v>
      </c>
      <c r="ES33" t="s">
        <v>2466</v>
      </c>
    </row>
    <row r="34" spans="1:149">
      <c r="A34" t="str">
        <f>'Translate&amp;Prices&amp;Logo'!$B$30</f>
        <v>Pisa Czarny matowy - maksymalna zalecana długość profilu 2500 mm</v>
      </c>
      <c r="B34">
        <v>2</v>
      </c>
      <c r="C34" t="s">
        <v>998</v>
      </c>
      <c r="D34">
        <v>0</v>
      </c>
      <c r="AA34" t="s">
        <v>976</v>
      </c>
      <c r="AB34" t="s">
        <v>981</v>
      </c>
      <c r="AC34">
        <v>1</v>
      </c>
      <c r="AD34">
        <v>0</v>
      </c>
      <c r="AF34" t="s">
        <v>106</v>
      </c>
      <c r="AG34" t="s">
        <v>985</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1680</v>
      </c>
      <c r="EE34" t="s">
        <v>3279</v>
      </c>
      <c r="ER34" t="s">
        <v>2174</v>
      </c>
      <c r="ES34" t="s">
        <v>2174</v>
      </c>
    </row>
    <row r="35" spans="1:149">
      <c r="A35" t="str">
        <f>'Translate&amp;Prices&amp;Logo'!$B$58</f>
        <v>Pisa złota - maksymalna zalecana długość profilu 2150 mm</v>
      </c>
      <c r="B35">
        <v>2</v>
      </c>
      <c r="C35" t="s">
        <v>998</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1681</v>
      </c>
      <c r="EE35" t="s">
        <v>1775</v>
      </c>
      <c r="ER35" t="s">
        <v>2175</v>
      </c>
      <c r="ES35" t="s">
        <v>2175</v>
      </c>
    </row>
    <row r="36" spans="1:149">
      <c r="A36" t="str">
        <f>'Translate&amp;Prices&amp;Logo'!$B$50</f>
        <v>Rocca (elox.) - maksymalna zalecana zalecana długość profilu 2150 mm</v>
      </c>
      <c r="B36">
        <v>1</v>
      </c>
      <c r="C36" t="s">
        <v>651</v>
      </c>
      <c r="D36">
        <v>0</v>
      </c>
      <c r="ED36" t="s">
        <v>1620</v>
      </c>
      <c r="EE36" t="s">
        <v>1776</v>
      </c>
      <c r="ER36" t="s">
        <v>2176</v>
      </c>
      <c r="ES36" t="s">
        <v>2176</v>
      </c>
    </row>
    <row r="37" spans="1:149">
      <c r="A37" t="str">
        <f>'Translate&amp;Prices&amp;Logo'!$B$42</f>
        <v>Rocca czarny matowy - maksymalna zalecana zalecana długość profilu 2150 mm</v>
      </c>
      <c r="B37">
        <v>1</v>
      </c>
      <c r="C37" t="s">
        <v>651</v>
      </c>
      <c r="D37">
        <v>0</v>
      </c>
      <c r="BY37" t="s">
        <v>1332</v>
      </c>
      <c r="ED37" t="s">
        <v>1621</v>
      </c>
      <c r="EE37" t="s">
        <v>1777</v>
      </c>
      <c r="ER37" t="s">
        <v>2219</v>
      </c>
      <c r="ES37" t="s">
        <v>2213</v>
      </c>
    </row>
    <row r="38" spans="1:149">
      <c r="A38" t="str">
        <f>'Translate&amp;Prices&amp;Logo'!$B$63</f>
        <v>Treviso czarny matowy - maksymalna zalecana długość profilu 2750 mm</v>
      </c>
      <c r="B38">
        <v>1</v>
      </c>
      <c r="C38" t="s">
        <v>651</v>
      </c>
      <c r="D38">
        <v>0</v>
      </c>
      <c r="ED38" t="s">
        <v>1622</v>
      </c>
      <c r="EE38" t="s">
        <v>1778</v>
      </c>
      <c r="ER38" t="s">
        <v>2220</v>
      </c>
      <c r="ES38" t="s">
        <v>2214</v>
      </c>
    </row>
    <row r="39" spans="1:149">
      <c r="A39" t="str">
        <f>'Translate&amp;Prices&amp;Logo'!$B$34</f>
        <v>Verona (elox.) - maksymalna zalecana zalecana długość profilu 2500 mm</v>
      </c>
      <c r="B39">
        <v>1</v>
      </c>
      <c r="C39" t="s">
        <v>651</v>
      </c>
      <c r="D39">
        <v>0</v>
      </c>
      <c r="AA39" t="s">
        <v>2504</v>
      </c>
      <c r="AB39" t="s">
        <v>2502</v>
      </c>
      <c r="ED39" t="s">
        <v>1623</v>
      </c>
      <c r="EE39" t="s">
        <v>1779</v>
      </c>
      <c r="ER39" t="s">
        <v>2221</v>
      </c>
      <c r="ES39" t="s">
        <v>2215</v>
      </c>
    </row>
    <row r="40" spans="1:149">
      <c r="A40" t="str">
        <f>'Translate&amp;Prices&amp;Logo'!$B$35</f>
        <v>Verona szczotkowany - maksymalna zalecana zalecana długość profilu 2500 mm</v>
      </c>
      <c r="B40">
        <v>1</v>
      </c>
      <c r="C40" t="s">
        <v>651</v>
      </c>
      <c r="D40">
        <v>0</v>
      </c>
      <c r="AA40" t="s">
        <v>2504</v>
      </c>
      <c r="AB40" t="str">
        <f>'Translate&amp;Prices&amp;Logo'!B659</f>
        <v>StrongLift_gorny</v>
      </c>
      <c r="AC40">
        <v>1</v>
      </c>
      <c r="AD40">
        <v>0</v>
      </c>
      <c r="ED40" t="s">
        <v>1624</v>
      </c>
      <c r="EE40" t="s">
        <v>1780</v>
      </c>
      <c r="ER40" t="s">
        <v>2222</v>
      </c>
      <c r="ES40" t="s">
        <v>2216</v>
      </c>
    </row>
    <row r="41" spans="1:149">
      <c r="A41" t="str">
        <f>'Translate&amp;Prices&amp;Logo'!$B$37</f>
        <v>Verona czarny matowy - maksymalna zalecana zalecana długość profilu 2500 mm</v>
      </c>
      <c r="B41">
        <v>1</v>
      </c>
      <c r="C41" t="s">
        <v>651</v>
      </c>
      <c r="D41">
        <v>0</v>
      </c>
      <c r="AB41" t="str">
        <f>'Translate&amp;Prices&amp;Logo'!B660</f>
        <v>StrongLift_dolny</v>
      </c>
      <c r="AC41">
        <v>1</v>
      </c>
      <c r="AD41">
        <v>0</v>
      </c>
      <c r="ED41" t="s">
        <v>1625</v>
      </c>
      <c r="EE41" t="s">
        <v>1781</v>
      </c>
      <c r="ER41" t="s">
        <v>2223</v>
      </c>
      <c r="ES41" t="s">
        <v>2217</v>
      </c>
    </row>
    <row r="42" spans="1:149">
      <c r="A42" t="str">
        <f>'Translate&amp;Prices&amp;Logo'!$B$36</f>
        <v>Verona czarny połysk - maksymalna zalecana zalecana długość profilu 2500 mm</v>
      </c>
      <c r="B42">
        <v>1</v>
      </c>
      <c r="C42" t="s">
        <v>651</v>
      </c>
      <c r="D42">
        <v>0</v>
      </c>
      <c r="AA42" t="s">
        <v>2086</v>
      </c>
      <c r="AB42" t="s">
        <v>1010</v>
      </c>
      <c r="ED42" t="s">
        <v>1626</v>
      </c>
      <c r="EE42" t="s">
        <v>1782</v>
      </c>
      <c r="ER42" t="s">
        <v>2224</v>
      </c>
      <c r="ES42" t="s">
        <v>2218</v>
      </c>
    </row>
    <row r="43" spans="1:149">
      <c r="A43" t="str">
        <f>'Translate&amp;Prices&amp;Logo'!$B$38</f>
        <v>Verona braz - maksymalna zalecana zalecana długość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szampański - maksymalna zalecana zalecana długość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Inox szczotkowany - maksymalna zalecana zalecana długość profilu 2500 mm</v>
      </c>
      <c r="B45">
        <v>1</v>
      </c>
      <c r="C45" t="s">
        <v>651</v>
      </c>
      <c r="D45">
        <v>0</v>
      </c>
      <c r="AB45" t="s">
        <v>1111</v>
      </c>
      <c r="AC45">
        <v>0</v>
      </c>
      <c r="AD45">
        <v>0</v>
      </c>
      <c r="ED45" t="s">
        <v>1629</v>
      </c>
      <c r="EE45" t="s">
        <v>1785</v>
      </c>
      <c r="ER45" t="s">
        <v>2243</v>
      </c>
      <c r="ES45" t="s">
        <v>2237</v>
      </c>
    </row>
    <row r="46" spans="1:149">
      <c r="A46" t="str">
        <f>'Translate&amp;Prices&amp;Logo'!$B$41</f>
        <v>Verona Inox Acier szczotkowany - maksymalna zalecana zalecana długość profilu 2500 mm</v>
      </c>
      <c r="B46">
        <v>1</v>
      </c>
      <c r="C46" t="s">
        <v>651</v>
      </c>
      <c r="D46">
        <v>0</v>
      </c>
      <c r="ED46" t="s">
        <v>1630</v>
      </c>
      <c r="EE46" t="s">
        <v>1786</v>
      </c>
      <c r="ER46" t="s">
        <v>2244</v>
      </c>
      <c r="ES46" t="s">
        <v>2238</v>
      </c>
    </row>
    <row r="47" spans="1:149">
      <c r="A47" t="str">
        <f>'Translate&amp;Prices&amp;Logo'!$B$62</f>
        <v>Verona Ivory mat - maksymalna zalecana zalecana długość profilu 2150 mm</v>
      </c>
      <c r="B47">
        <v>1</v>
      </c>
      <c r="C47" t="s">
        <v>651</v>
      </c>
      <c r="D47">
        <v>0</v>
      </c>
      <c r="ED47" t="s">
        <v>1631</v>
      </c>
      <c r="EE47" t="s">
        <v>1787</v>
      </c>
      <c r="ER47" t="s">
        <v>2245</v>
      </c>
      <c r="ES47" t="s">
        <v>2239</v>
      </c>
    </row>
    <row r="48" spans="1:149">
      <c r="A48" t="str">
        <f>'Translate&amp;Prices&amp;Logo'!$B$65</f>
        <v>Verona kaszmirowy - maksymalna zalecana długość profilu 2150 mm</v>
      </c>
      <c r="B48">
        <v>1</v>
      </c>
      <c r="C48" t="s">
        <v>651</v>
      </c>
      <c r="D48">
        <v>0</v>
      </c>
      <c r="ED48" t="s">
        <v>1632</v>
      </c>
      <c r="EE48" t="s">
        <v>1788</v>
      </c>
      <c r="ER48" t="s">
        <v>2246</v>
      </c>
      <c r="ES48" t="s">
        <v>2240</v>
      </c>
    </row>
    <row r="49" spans="1:149">
      <c r="A49" t="str">
        <f>'Translate&amp;Prices&amp;Logo'!$B$24</f>
        <v>Verona złota - maksymalna zalecana długość profilu 2150 mm</v>
      </c>
      <c r="B49">
        <v>1</v>
      </c>
      <c r="C49" t="s">
        <v>651</v>
      </c>
      <c r="D49">
        <v>0</v>
      </c>
      <c r="AA49" t="s">
        <v>2087</v>
      </c>
      <c r="AB49" t="s">
        <v>2089</v>
      </c>
      <c r="ED49" t="s">
        <v>1633</v>
      </c>
      <c r="EE49" t="s">
        <v>1789</v>
      </c>
      <c r="ER49" t="s">
        <v>2247</v>
      </c>
      <c r="ES49" t="s">
        <v>2241</v>
      </c>
    </row>
    <row r="50" spans="1:149">
      <c r="A50" t="str">
        <f>'Translate&amp;Prices&amp;Logo'!$B$56</f>
        <v>Verona złota szczotkowany - maksymalna zalecana zalecana długość profilu 2150 mm</v>
      </c>
      <c r="B50">
        <v>1</v>
      </c>
      <c r="C50" t="s">
        <v>651</v>
      </c>
      <c r="D50">
        <v>0</v>
      </c>
      <c r="AB50" t="s">
        <v>2378</v>
      </c>
      <c r="AC50">
        <v>0</v>
      </c>
      <c r="AD50">
        <v>0</v>
      </c>
      <c r="ED50" t="s">
        <v>1634</v>
      </c>
      <c r="EE50" t="s">
        <v>1790</v>
      </c>
      <c r="ER50" t="s">
        <v>2248</v>
      </c>
      <c r="ES50" t="s">
        <v>2242</v>
      </c>
    </row>
    <row r="51" spans="1:149">
      <c r="A51" t="str">
        <f>'Translate&amp;Prices&amp;Logo'!$B$43</f>
        <v>Vivaro (elox.) - maksymalna zalecana zalecana długość profilu 2500 mm</v>
      </c>
      <c r="B51">
        <v>2</v>
      </c>
      <c r="C51" t="s">
        <v>651</v>
      </c>
      <c r="D51">
        <v>1</v>
      </c>
      <c r="AB51" t="s">
        <v>2380</v>
      </c>
      <c r="AC51">
        <v>0</v>
      </c>
      <c r="AD51">
        <v>0</v>
      </c>
      <c r="ED51" t="s">
        <v>1635</v>
      </c>
      <c r="EE51" t="s">
        <v>1791</v>
      </c>
      <c r="ER51" t="s">
        <v>2477</v>
      </c>
      <c r="ES51" t="s">
        <v>2469</v>
      </c>
    </row>
    <row r="52" spans="1:149">
      <c r="A52" t="str">
        <f>'Translate&amp;Prices&amp;Logo'!$B$44</f>
        <v>Vivaro czarny matowy - maksymalna zalecana zalecana długość profilu 2500 mm</v>
      </c>
      <c r="B52">
        <v>2</v>
      </c>
      <c r="C52" t="s">
        <v>651</v>
      </c>
      <c r="D52">
        <v>1</v>
      </c>
      <c r="AB52" t="s">
        <v>2375</v>
      </c>
      <c r="AC52">
        <v>0</v>
      </c>
      <c r="AD52">
        <v>0</v>
      </c>
      <c r="ED52" t="s">
        <v>1636</v>
      </c>
      <c r="EE52" t="s">
        <v>1792</v>
      </c>
      <c r="ER52" t="s">
        <v>2478</v>
      </c>
      <c r="ES52" t="s">
        <v>2470</v>
      </c>
    </row>
    <row r="53" spans="1:149">
      <c r="A53" t="str">
        <f>'Translate&amp;Prices&amp;Logo'!$B$46</f>
        <v>Vivaro INOX (stal nierdzewna) - maksymalna zalecana zalecana długość profilu 2500 mm</v>
      </c>
      <c r="B53">
        <v>2</v>
      </c>
      <c r="C53" t="s">
        <v>651</v>
      </c>
      <c r="D53">
        <v>0</v>
      </c>
      <c r="AB53" t="s">
        <v>2376</v>
      </c>
      <c r="AC53">
        <v>0</v>
      </c>
      <c r="AD53">
        <v>0</v>
      </c>
      <c r="ED53" t="s">
        <v>1637</v>
      </c>
      <c r="EE53" t="s">
        <v>1793</v>
      </c>
      <c r="ER53" t="s">
        <v>2479</v>
      </c>
      <c r="ES53" t="s">
        <v>2471</v>
      </c>
    </row>
    <row r="54" spans="1:149">
      <c r="A54" t="str">
        <f>'Translate&amp;Prices&amp;Logo'!$B$47</f>
        <v>Vivaro biały matowy RAL 9003 - maksymalna zalecana zalecana długość profilu 2500 mm</v>
      </c>
      <c r="B54">
        <v>2</v>
      </c>
      <c r="C54" t="s">
        <v>651</v>
      </c>
      <c r="D54">
        <v>0</v>
      </c>
      <c r="ED54" t="s">
        <v>1638</v>
      </c>
      <c r="EE54" t="s">
        <v>1794</v>
      </c>
      <c r="ER54" t="s">
        <v>2480</v>
      </c>
      <c r="ES54" t="s">
        <v>2472</v>
      </c>
    </row>
    <row r="55" spans="1:149">
      <c r="A55" t="str">
        <f>'Translate&amp;Prices&amp;Logo'!$B$48</f>
        <v>Vivaro biały połysk RAL 9003 - maksymalna zalecana zalecana długość profilu 2500 mm</v>
      </c>
      <c r="B55">
        <v>2</v>
      </c>
      <c r="C55" t="s">
        <v>651</v>
      </c>
      <c r="D55">
        <v>0</v>
      </c>
      <c r="ED55" t="s">
        <v>1639</v>
      </c>
      <c r="EE55" t="s">
        <v>1795</v>
      </c>
      <c r="ER55" t="s">
        <v>2481</v>
      </c>
      <c r="ES55" t="s">
        <v>2473</v>
      </c>
    </row>
    <row r="56" spans="1:149">
      <c r="A56" t="str">
        <f>'Translate&amp;Prices&amp;Logo'!$B$31</f>
        <v>Vivaro złota - maksymalna zalecana zalecana długość profilu 2150 mm</v>
      </c>
      <c r="B56">
        <v>2</v>
      </c>
      <c r="C56" t="s">
        <v>651</v>
      </c>
      <c r="D56">
        <v>1</v>
      </c>
      <c r="ED56" t="s">
        <v>1640</v>
      </c>
      <c r="EE56" t="s">
        <v>1796</v>
      </c>
      <c r="ER56" t="s">
        <v>2482</v>
      </c>
      <c r="ES56" t="s">
        <v>2474</v>
      </c>
    </row>
    <row r="57" spans="1:149">
      <c r="A57" t="str">
        <f>'Translate&amp;Prices&amp;Logo'!$B$57</f>
        <v>Vivaro złota szczotkowany - maksymalna zalecana zalecana długość profilu 2150 mm</v>
      </c>
      <c r="B57">
        <v>2</v>
      </c>
      <c r="C57" t="s">
        <v>651</v>
      </c>
      <c r="D57">
        <v>0</v>
      </c>
      <c r="ED57" t="s">
        <v>1641</v>
      </c>
      <c r="EE57" t="s">
        <v>1797</v>
      </c>
      <c r="ER57" t="s">
        <v>2225</v>
      </c>
      <c r="ES57" t="s">
        <v>2213</v>
      </c>
    </row>
    <row r="58" spans="1:149">
      <c r="A58" t="str">
        <f>'Translate&amp;Prices&amp;Logo'!$B$80</f>
        <v>Rocca elox (lewa i prawa) + Varna elox (góra i dół)</v>
      </c>
      <c r="B58">
        <v>3</v>
      </c>
      <c r="C58" t="s">
        <v>651</v>
      </c>
      <c r="D58">
        <v>0</v>
      </c>
      <c r="ED58" t="s">
        <v>1642</v>
      </c>
      <c r="EE58" t="s">
        <v>1798</v>
      </c>
      <c r="ER58" t="s">
        <v>2226</v>
      </c>
      <c r="ES58" t="s">
        <v>2214</v>
      </c>
    </row>
    <row r="59" spans="1:149">
      <c r="A59" t="str">
        <f>'Translate&amp;Prices&amp;Logo'!$B$81</f>
        <v>Rocca czarny (lewa i prawa) + Varna czarny (góra i dół)</v>
      </c>
      <c r="B59">
        <v>3</v>
      </c>
      <c r="C59" t="s">
        <v>651</v>
      </c>
      <c r="D59">
        <v>0</v>
      </c>
      <c r="AA59" t="s">
        <v>2088</v>
      </c>
      <c r="AB59" t="s">
        <v>2090</v>
      </c>
      <c r="ED59" t="s">
        <v>1643</v>
      </c>
      <c r="EE59" t="s">
        <v>1799</v>
      </c>
      <c r="ER59" t="s">
        <v>2227</v>
      </c>
      <c r="ES59" t="s">
        <v>2215</v>
      </c>
    </row>
    <row r="60" spans="1:149">
      <c r="A60" t="str">
        <f>'Translate&amp;Prices&amp;Logo'!$B$71</f>
        <v>ROMA czarna matowa -  maksymalna zalecana długość profilu 2696 mm</v>
      </c>
      <c r="B60">
        <v>1</v>
      </c>
      <c r="C60" t="s">
        <v>651</v>
      </c>
      <c r="D60">
        <v>0</v>
      </c>
      <c r="AB60" t="s">
        <v>968</v>
      </c>
      <c r="AC60">
        <v>0</v>
      </c>
      <c r="AD60">
        <v>0</v>
      </c>
      <c r="ED60" t="s">
        <v>1644</v>
      </c>
      <c r="EE60" t="s">
        <v>1800</v>
      </c>
      <c r="ER60" t="s">
        <v>2228</v>
      </c>
      <c r="ES60" t="s">
        <v>2216</v>
      </c>
    </row>
    <row r="61" spans="1:149">
      <c r="A61" t="str">
        <f>'Translate&amp;Prices&amp;Logo'!$B$72</f>
        <v>ROMA champagne mat - maksymalna zalecana długość profilu 2696 mm</v>
      </c>
      <c r="B61">
        <v>1</v>
      </c>
      <c r="C61" t="s">
        <v>651</v>
      </c>
      <c r="D61">
        <v>0</v>
      </c>
      <c r="AB61" t="s">
        <v>970</v>
      </c>
      <c r="AC61">
        <v>0</v>
      </c>
      <c r="AD61">
        <v>0</v>
      </c>
      <c r="ED61" t="s">
        <v>1645</v>
      </c>
      <c r="EE61" t="s">
        <v>1801</v>
      </c>
      <c r="ER61" t="s">
        <v>2229</v>
      </c>
      <c r="ES61" t="s">
        <v>2217</v>
      </c>
    </row>
    <row r="62" spans="1:149">
      <c r="A62" t="str">
        <f>'Translate&amp;Prices&amp;Logo'!$B$73</f>
        <v>ROMA GRIP czarna matowa - maksymalna zalecana długość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maksymalna zalecana długość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maksymalna zalecana długość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13" customWidth="1"/>
    <col min="31" max="31" width="5.44140625" style="11"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ol min="42" max="42" width="10.33203125" style="6" hidden="1"/>
    <col min="43" max="43" width="11.6640625" style="6" hidden="1"/>
    <col min="44" max="46" width="7.6640625" style="6" hidden="1"/>
    <col min="47" max="48" width="7.6640625" style="295" hidden="1"/>
    <col min="49" max="53" width="7.6640625" style="6" hidden="1"/>
    <col min="54" max="54" width="14.44140625" style="6" hidden="1"/>
    <col min="55" max="57" width="7.6640625" style="6" hidden="1"/>
    <col min="58" max="58" width="10.5546875" style="6" hidden="1"/>
    <col min="59" max="60" width="7.6640625" style="6" hidden="1"/>
    <col min="61" max="61" width="9.44140625" style="6" hidden="1"/>
    <col min="62" max="62" width="8.5546875" style="6" hidden="1"/>
    <col min="63" max="63" width="7.6640625" style="6" hidden="1"/>
    <col min="64" max="65" width="9.6640625" style="6" hidden="1"/>
    <col min="66" max="66" width="18.33203125" style="6" hidden="1"/>
    <col min="67" max="71" width="13.33203125" style="6" hidden="1"/>
    <col min="72" max="72" width="9.5546875" style="6" hidden="1"/>
    <col min="73" max="74" width="10.33203125" style="6" hidden="1"/>
    <col min="75" max="75" width="13.33203125" style="6" hidden="1"/>
    <col min="76" max="76" width="11.5546875" style="6" hidden="1"/>
    <col min="77" max="16376" width="7.6640625" style="6" hidden="1"/>
    <col min="16377" max="16384" width="8.88671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713" t="str">
        <f>'Translate&amp;Prices&amp;Logo'!$B$278</f>
        <v>Ramki przesuwne</v>
      </c>
      <c r="Q2" s="713"/>
      <c r="R2" s="713"/>
      <c r="S2" s="713"/>
      <c r="T2" s="713"/>
      <c r="U2" s="713"/>
      <c r="V2" s="713"/>
      <c r="W2" s="713"/>
      <c r="X2" s="713"/>
      <c r="Y2" s="713"/>
      <c r="Z2" s="713"/>
      <c r="AA2" s="713"/>
      <c r="AB2" s="713"/>
      <c r="AC2" s="15"/>
      <c r="AD2" s="16"/>
      <c r="AE2" s="17"/>
      <c r="AF2" s="15"/>
      <c r="AG2" s="15"/>
      <c r="AH2" s="15"/>
      <c r="AI2" s="265"/>
      <c r="AJ2" s="709" t="str">
        <f>'Translate&amp;Prices&amp;Logo'!$B$540</f>
        <v>Wprowadzenie</v>
      </c>
      <c r="AK2" s="710"/>
      <c r="AL2" s="710"/>
      <c r="AM2" s="710"/>
      <c r="AN2" s="710"/>
    </row>
    <row r="3" spans="1:74" ht="11.85" customHeight="1">
      <c r="A3" s="39"/>
      <c r="B3" s="39"/>
      <c r="C3" s="39"/>
      <c r="D3" s="39"/>
      <c r="E3" s="39"/>
      <c r="F3" s="39"/>
      <c r="G3" s="39"/>
      <c r="H3" s="39"/>
      <c r="I3" s="39"/>
      <c r="J3" s="39"/>
      <c r="K3" s="39"/>
      <c r="L3" s="39"/>
      <c r="M3" s="39"/>
      <c r="N3" s="39"/>
      <c r="O3" s="39"/>
      <c r="P3" s="713"/>
      <c r="Q3" s="713"/>
      <c r="R3" s="713"/>
      <c r="S3" s="713"/>
      <c r="T3" s="713"/>
      <c r="U3" s="713"/>
      <c r="V3" s="713"/>
      <c r="W3" s="713"/>
      <c r="X3" s="713"/>
      <c r="Y3" s="713"/>
      <c r="Z3" s="713"/>
      <c r="AA3" s="713"/>
      <c r="AB3" s="713"/>
      <c r="AC3" s="15"/>
      <c r="AD3" s="16"/>
      <c r="AE3" s="17"/>
      <c r="AF3" s="15"/>
      <c r="AG3" s="15"/>
      <c r="AH3" s="15"/>
      <c r="AI3" s="265"/>
      <c r="AJ3" s="709"/>
      <c r="AK3" s="710"/>
      <c r="AL3" s="710"/>
      <c r="AM3" s="710"/>
      <c r="AN3" s="710"/>
    </row>
    <row r="4" spans="1:74" ht="11.4" customHeight="1">
      <c r="A4" s="38"/>
      <c r="B4" s="38"/>
      <c r="C4" s="38"/>
      <c r="D4" s="38"/>
      <c r="E4" s="38"/>
      <c r="F4" s="38"/>
      <c r="G4" s="38"/>
      <c r="P4" s="714"/>
      <c r="Q4" s="714"/>
      <c r="R4" s="714"/>
      <c r="S4" s="714"/>
      <c r="T4" s="714"/>
      <c r="U4" s="714"/>
      <c r="V4" s="714"/>
      <c r="W4" s="714"/>
      <c r="X4" s="714"/>
      <c r="Y4" s="714"/>
      <c r="Z4" s="714"/>
      <c r="AA4" s="714"/>
      <c r="AB4" s="714"/>
      <c r="AC4" s="714"/>
    </row>
    <row r="5" spans="1:74" ht="15" hidden="1" customHeight="1">
      <c r="A5" s="38"/>
      <c r="B5" s="38"/>
      <c r="C5" s="38"/>
      <c r="D5" s="38"/>
      <c r="E5" s="38"/>
      <c r="F5" s="38"/>
      <c r="G5" s="38"/>
      <c r="P5" s="714"/>
      <c r="Q5" s="714"/>
      <c r="R5" s="714"/>
      <c r="S5" s="714"/>
      <c r="T5" s="714"/>
      <c r="U5" s="714"/>
      <c r="V5" s="714"/>
      <c r="W5" s="714"/>
      <c r="X5" s="714"/>
      <c r="Y5" s="714"/>
      <c r="Z5" s="714"/>
      <c r="AA5" s="714"/>
      <c r="AB5" s="714"/>
      <c r="AC5" s="714"/>
    </row>
    <row r="7" spans="1:74" ht="14.85" customHeight="1">
      <c r="S7" s="711" t="str">
        <f>'Translate&amp;Prices&amp;Logo'!$B$275</f>
        <v>Standardowe prześwity drzwi</v>
      </c>
      <c r="T7" s="711"/>
      <c r="U7" s="711"/>
      <c r="V7" s="711"/>
      <c r="W7" s="711"/>
      <c r="X7" s="711"/>
      <c r="Y7" s="711"/>
      <c r="Z7" s="711"/>
      <c r="AA7" s="711"/>
      <c r="AB7" s="711"/>
      <c r="AC7" s="711"/>
    </row>
    <row r="8" spans="1:74" ht="7.35" customHeight="1"/>
    <row r="9" spans="1:74" ht="14.4">
      <c r="C9" s="681" t="str">
        <f>'Translate&amp;Prices&amp;Logo'!$B$249</f>
        <v>Klient</v>
      </c>
      <c r="D9" s="681"/>
      <c r="E9" s="681"/>
      <c r="F9" s="681"/>
      <c r="G9" s="681"/>
      <c r="H9" s="290"/>
      <c r="I9" s="499"/>
      <c r="J9" s="499"/>
      <c r="K9" s="499"/>
      <c r="L9" s="499"/>
      <c r="M9" s="499"/>
      <c r="N9" s="499"/>
      <c r="S9" s="679" t="s">
        <v>27</v>
      </c>
      <c r="T9" s="679"/>
      <c r="U9" s="36"/>
      <c r="V9" s="680">
        <v>20</v>
      </c>
      <c r="W9" s="680"/>
      <c r="Y9" s="679" t="s">
        <v>378</v>
      </c>
      <c r="Z9" s="679"/>
      <c r="AA9" s="36"/>
      <c r="AB9" s="680" t="s">
        <v>146</v>
      </c>
      <c r="AC9" s="680"/>
    </row>
    <row r="10" spans="1:74" ht="6.6" customHeight="1">
      <c r="C10" s="55"/>
      <c r="D10" s="55"/>
      <c r="E10" s="55"/>
      <c r="F10" s="55"/>
      <c r="G10" s="55"/>
    </row>
    <row r="11" spans="1:74" ht="14.4">
      <c r="C11" s="681" t="str">
        <f>'Translate&amp;Prices&amp;Logo'!$B$253</f>
        <v>NIP</v>
      </c>
      <c r="D11" s="681"/>
      <c r="E11" s="681"/>
      <c r="F11" s="681"/>
      <c r="G11" s="681"/>
      <c r="H11" s="290"/>
      <c r="I11" s="499"/>
      <c r="J11" s="499"/>
      <c r="K11" s="499"/>
      <c r="L11" s="499"/>
      <c r="M11" s="499"/>
      <c r="N11" s="499"/>
      <c r="S11" s="679" t="s">
        <v>377</v>
      </c>
      <c r="T11" s="679"/>
      <c r="U11" s="36"/>
      <c r="V11" s="680">
        <v>20</v>
      </c>
      <c r="W11" s="680"/>
      <c r="Y11" s="679" t="s">
        <v>4241</v>
      </c>
      <c r="Z11" s="679"/>
      <c r="AA11" s="36"/>
      <c r="AB11" s="680">
        <v>28</v>
      </c>
      <c r="AC11" s="680"/>
      <c r="BP11" s="29"/>
      <c r="BQ11" s="304"/>
      <c r="BR11" s="304"/>
      <c r="BS11" s="304"/>
      <c r="BT11" s="304"/>
      <c r="BU11" s="304"/>
      <c r="BV11" s="304"/>
    </row>
    <row r="12" spans="1:74" ht="6.6" customHeight="1">
      <c r="C12" s="55"/>
      <c r="D12" s="55"/>
      <c r="E12" s="55"/>
      <c r="F12" s="55"/>
      <c r="G12" s="55"/>
    </row>
    <row r="13" spans="1:74" ht="14.4">
      <c r="C13" s="681" t="str">
        <f>'Translate&amp;Prices&amp;Logo'!$B$250</f>
        <v>Telefon kontaktowy</v>
      </c>
      <c r="D13" s="681"/>
      <c r="E13" s="681"/>
      <c r="F13" s="681"/>
      <c r="G13" s="681"/>
      <c r="H13" s="290"/>
      <c r="I13" s="499"/>
      <c r="J13" s="499"/>
      <c r="K13" s="499"/>
      <c r="L13" s="499"/>
      <c r="M13" s="499"/>
      <c r="N13" s="499"/>
      <c r="S13" s="679" t="s">
        <v>4240</v>
      </c>
      <c r="T13" s="679"/>
      <c r="U13" s="36"/>
      <c r="V13" s="680">
        <v>28</v>
      </c>
      <c r="W13" s="680"/>
      <c r="Y13" s="679" t="s">
        <v>380</v>
      </c>
      <c r="Z13" s="679"/>
      <c r="AA13" s="36"/>
      <c r="AB13" s="680">
        <v>40</v>
      </c>
      <c r="AC13" s="680"/>
      <c r="AQ13" s="262" t="b">
        <v>0</v>
      </c>
      <c r="BP13" s="29"/>
      <c r="BQ13" s="304"/>
      <c r="BR13" s="304"/>
      <c r="BS13" s="304"/>
      <c r="BT13" s="29"/>
      <c r="BU13" s="29"/>
      <c r="BV13" s="29"/>
    </row>
    <row r="14" spans="1:74" ht="6.6" customHeight="1">
      <c r="C14" s="55"/>
      <c r="D14" s="55"/>
      <c r="E14" s="55"/>
      <c r="F14" s="55"/>
      <c r="G14" s="55"/>
    </row>
    <row r="15" spans="1:74" ht="14.4">
      <c r="C15" s="681" t="str">
        <f>'Translate&amp;Prices&amp;Logo'!$B$254</f>
        <v>Rabat na ramki</v>
      </c>
      <c r="D15" s="681"/>
      <c r="E15" s="681"/>
      <c r="F15" s="681"/>
      <c r="G15" s="681"/>
      <c r="H15" s="290"/>
      <c r="I15" s="499"/>
      <c r="J15" s="499"/>
      <c r="K15" s="499"/>
      <c r="L15" s="499"/>
      <c r="M15" s="499"/>
      <c r="N15" s="499"/>
      <c r="S15" s="679" t="s">
        <v>376</v>
      </c>
      <c r="T15" s="679"/>
      <c r="U15" s="36"/>
      <c r="V15" s="680">
        <v>45</v>
      </c>
      <c r="W15" s="680"/>
      <c r="Y15" s="679" t="s">
        <v>379</v>
      </c>
      <c r="Z15" s="679"/>
      <c r="AA15" s="36"/>
      <c r="AB15" s="680">
        <v>40</v>
      </c>
      <c r="AC15" s="680"/>
    </row>
    <row r="16" spans="1:74" ht="6.6" customHeight="1">
      <c r="C16" s="55"/>
      <c r="D16" s="55"/>
      <c r="E16" s="55"/>
      <c r="F16" s="55"/>
      <c r="G16" s="55"/>
      <c r="I16" s="6"/>
      <c r="J16" s="6"/>
      <c r="K16" s="6"/>
      <c r="L16" s="6"/>
      <c r="M16" s="6"/>
      <c r="N16" s="6"/>
    </row>
    <row r="17" spans="1:96" ht="14.4">
      <c r="C17" s="678" t="str">
        <f>IF(Hlavní!V39=3,"Dostawa","")</f>
        <v>Dostawa</v>
      </c>
      <c r="D17" s="678"/>
      <c r="E17" s="678"/>
      <c r="F17" s="678"/>
      <c r="G17" s="678"/>
      <c r="H17" s="31"/>
      <c r="I17" s="677"/>
      <c r="J17" s="677"/>
      <c r="K17" s="677"/>
      <c r="L17" s="677"/>
      <c r="M17" s="677"/>
      <c r="N17" s="677"/>
      <c r="S17" s="679" t="s">
        <v>383</v>
      </c>
      <c r="T17" s="679"/>
      <c r="U17" s="36"/>
      <c r="V17" s="680">
        <v>20</v>
      </c>
      <c r="W17" s="680"/>
      <c r="Y17" s="679" t="s">
        <v>384</v>
      </c>
      <c r="Z17" s="679"/>
      <c r="AA17" s="36"/>
      <c r="AB17" s="680">
        <v>40</v>
      </c>
      <c r="AC17" s="680"/>
    </row>
    <row r="18" spans="1:96" ht="33.75" customHeight="1">
      <c r="C18" s="685" t="str">
        <f>IF(I17="Dostawa na adres","W przypadku wyboru DOSTAWA NA ADRES do zamówienia zostanie automatycznie doliczona opłata transportowa","")</f>
        <v/>
      </c>
      <c r="D18" s="685"/>
      <c r="E18" s="685"/>
      <c r="F18" s="685"/>
      <c r="G18" s="685"/>
      <c r="H18" s="685"/>
      <c r="I18" s="685"/>
      <c r="J18" s="685"/>
      <c r="K18" s="686" t="str">
        <f>IF(I17="Dostawa na adres","Cennik transportu - kliknij tutaj","")</f>
        <v/>
      </c>
      <c r="L18" s="686"/>
      <c r="M18" s="686"/>
      <c r="N18" s="686"/>
      <c r="BP18" s="453"/>
      <c r="BQ18" s="1"/>
      <c r="BR18" s="1"/>
      <c r="BS18" s="1"/>
      <c r="BT18" s="1"/>
      <c r="BU18" s="1"/>
      <c r="BV18" s="1"/>
    </row>
    <row r="19" spans="1:96" ht="14.85" customHeight="1">
      <c r="C19" s="678" t="str">
        <f>IF(Hlavní!V39=3,"Adres","")</f>
        <v>Adres</v>
      </c>
      <c r="D19" s="678"/>
      <c r="E19" s="678"/>
      <c r="F19" s="678"/>
      <c r="G19" s="678"/>
      <c r="H19" s="31"/>
      <c r="I19" s="677"/>
      <c r="J19" s="677"/>
      <c r="K19" s="677"/>
      <c r="L19" s="677"/>
      <c r="M19" s="677"/>
      <c r="N19" s="677"/>
      <c r="BP19" s="454"/>
      <c r="BQ19" s="1"/>
      <c r="BR19" s="1"/>
      <c r="BS19" s="1"/>
      <c r="BT19" s="1"/>
      <c r="BU19" s="1"/>
      <c r="BV19" s="1"/>
    </row>
    <row r="20" spans="1:96" s="296" customFormat="1" ht="11.4" customHeight="1">
      <c r="A20" s="31"/>
      <c r="B20" s="31"/>
      <c r="C20" s="1"/>
      <c r="D20" s="1"/>
      <c r="E20" s="1"/>
      <c r="F20" s="1"/>
      <c r="G20" s="1"/>
      <c r="H20" s="1"/>
      <c r="I20" s="677"/>
      <c r="J20" s="677"/>
      <c r="K20" s="677"/>
      <c r="L20" s="677"/>
      <c r="M20" s="677"/>
      <c r="N20" s="67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677"/>
      <c r="J21" s="677"/>
      <c r="K21" s="677"/>
      <c r="L21" s="677"/>
      <c r="M21" s="677"/>
      <c r="N21" s="677"/>
      <c r="R21" s="95"/>
      <c r="BP21" s="1"/>
      <c r="BQ21" s="344"/>
      <c r="BR21" s="344"/>
      <c r="BS21" s="344"/>
      <c r="BT21" s="344"/>
      <c r="BU21" s="344"/>
      <c r="BV21" s="344"/>
    </row>
    <row r="22" spans="1:96" ht="14.85" customHeight="1">
      <c r="R22" s="95"/>
      <c r="S22" s="712" t="str">
        <f>'Translate&amp;Prices&amp;Logo'!$B$225</f>
        <v>Dostarczyć łącznie z podanymi okuciami meblowymi</v>
      </c>
      <c r="T22" s="712"/>
      <c r="U22" s="712"/>
      <c r="V22" s="712"/>
      <c r="W22" s="712"/>
      <c r="X22" s="712"/>
      <c r="Y22" s="712"/>
      <c r="Z22" s="712"/>
      <c r="AA22" s="712"/>
      <c r="AB22" s="712"/>
      <c r="AC22" s="706" t="str">
        <f>'Translate&amp;Prices&amp;Logo'!$B$326</f>
        <v>Ilość (szt)</v>
      </c>
      <c r="AD22" s="706"/>
      <c r="AE22" s="706"/>
      <c r="AF22" s="31"/>
      <c r="AG22" s="706" t="str">
        <f>'Translate&amp;Prices&amp;Logo'!$B$325</f>
        <v>Inne wymagania (szt)</v>
      </c>
      <c r="AH22" s="706"/>
      <c r="AI22" s="706"/>
      <c r="AJ22" s="706"/>
      <c r="AL22" s="706" t="str">
        <f>'Translate&amp;Prices&amp;Logo'!$B$692</f>
        <v>Suma</v>
      </c>
      <c r="AM22" s="706"/>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687" t="str">
        <f>"1."&amp;" "&amp;'Translate&amp;Prices&amp;Logo'!$B$169</f>
        <v>1. Ramka</v>
      </c>
      <c r="F24" s="688"/>
      <c r="G24" s="689"/>
      <c r="H24" s="29"/>
      <c r="I24" s="687" t="str">
        <f>"2."&amp;" "&amp;'Translate&amp;Prices&amp;Logo'!$B$169</f>
        <v>2. Ramka</v>
      </c>
      <c r="J24" s="688"/>
      <c r="K24" s="689"/>
      <c r="L24" s="29"/>
      <c r="M24" s="687" t="str">
        <f>"3."&amp;" "&amp;'Translate&amp;Prices&amp;Logo'!$B$169</f>
        <v>3. Ramka</v>
      </c>
      <c r="N24" s="688"/>
      <c r="O24" s="689"/>
      <c r="R24" s="95"/>
      <c r="S24" s="690" t="str">
        <f>'Translate&amp;Prices&amp;Logo'!$B$317</f>
        <v>Komplet okuć do wąskiej ramki H27AL (88630)</v>
      </c>
      <c r="T24" s="690"/>
      <c r="U24" s="690"/>
      <c r="V24" s="690"/>
      <c r="W24" s="690"/>
      <c r="X24" s="690"/>
      <c r="Y24" s="690"/>
      <c r="Z24" s="690"/>
      <c r="AA24" s="690"/>
      <c r="AB24" s="36"/>
      <c r="AC24" s="691">
        <f>IFERROR(IF(O44&gt;=1,IF(R23=1,IF(AK25&gt;=1,AG24,O44),0),0),0)</f>
        <v>0</v>
      </c>
      <c r="AD24" s="691"/>
      <c r="AE24" s="691"/>
      <c r="AF24" s="240" t="s">
        <v>1218</v>
      </c>
      <c r="AG24" s="682"/>
      <c r="AH24" s="682"/>
      <c r="AI24" s="682"/>
      <c r="AJ24" s="682"/>
      <c r="AK24" s="36"/>
      <c r="AL24" s="264">
        <f>AC24*AP24*(1-$I$15/100)</f>
        <v>0</v>
      </c>
      <c r="AM24" s="260" t="str">
        <f>VLOOKUP('Translate&amp;Prices&amp;Logo'!$D$1,kombinace_1!$EV$1:$EW$6,2,0)</f>
        <v>zl</v>
      </c>
      <c r="AP24" s="299">
        <f>IF('Translate&amp;Prices&amp;Logo'!$D$1=1,AQ24,
IF(OR('Translate&amp;Prices&amp;Logo'!$D$1=2,'Translate&amp;Prices&amp;Logo'!$D$1=5,'Translate&amp;Prices&amp;Logo'!$D$1=6),AR24,
IF('Translate&amp;Prices&amp;Logo'!$D$1=3,AS24,AT24)))</f>
        <v>78.362129999999993</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694" t="str">
        <f>'Translate&amp;Prices&amp;Logo'!$B$176</f>
        <v>Wysokość</v>
      </c>
      <c r="C26" s="694"/>
      <c r="D26" s="293"/>
      <c r="E26" s="697"/>
      <c r="F26" s="682"/>
      <c r="G26" s="698"/>
      <c r="H26" s="291"/>
      <c r="I26" s="697"/>
      <c r="J26" s="682"/>
      <c r="K26" s="698"/>
      <c r="L26" s="291"/>
      <c r="M26" s="697"/>
      <c r="N26" s="682"/>
      <c r="O26" s="698"/>
      <c r="R26" s="95"/>
      <c r="S26" s="690" t="str">
        <f>'Translate&amp;Prices&amp;Logo'!$B$318</f>
        <v>Komplet okuć do szerokiej ramki H37AL (88631)</v>
      </c>
      <c r="T26" s="690"/>
      <c r="U26" s="690"/>
      <c r="V26" s="690"/>
      <c r="W26" s="690"/>
      <c r="X26" s="690"/>
      <c r="Y26" s="690"/>
      <c r="Z26" s="690"/>
      <c r="AA26" s="690"/>
      <c r="AB26" s="36"/>
      <c r="AC26" s="691">
        <f>IFERROR(IF(O43&gt;=1,IF(R23=1,IF(AK27&gt;=1,AG26,O43),0),0),0)</f>
        <v>0</v>
      </c>
      <c r="AD26" s="691"/>
      <c r="AE26" s="691"/>
      <c r="AF26" s="240" t="s">
        <v>1218</v>
      </c>
      <c r="AG26" s="682"/>
      <c r="AH26" s="682"/>
      <c r="AI26" s="682"/>
      <c r="AJ26" s="682"/>
      <c r="AK26" s="36"/>
      <c r="AL26" s="264">
        <f>AC26*AP26*(1-$I$15/100)</f>
        <v>0</v>
      </c>
      <c r="AM26" s="260" t="str">
        <f>VLOOKUP('Translate&amp;Prices&amp;Logo'!$D$1,kombinace_1!$EV$1:$EW$6,2,0)</f>
        <v>zl</v>
      </c>
      <c r="AP26" s="299">
        <f>IF('Translate&amp;Prices&amp;Logo'!$D$1=1,AQ26,
IF(OR('Translate&amp;Prices&amp;Logo'!$D$1=2,'Translate&amp;Prices&amp;Logo'!$D$1=5,'Translate&amp;Prices&amp;Logo'!$D$1=6),AR26,
IF('Translate&amp;Prices&amp;Logo'!$D$1=3,AS26,AT26)))</f>
        <v>82.132149999999996</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694" t="str">
        <f>'Translate&amp;Prices&amp;Logo'!$B$175</f>
        <v>Szerokość</v>
      </c>
      <c r="C28" s="694"/>
      <c r="D28" s="293"/>
      <c r="E28" s="697"/>
      <c r="F28" s="682"/>
      <c r="G28" s="698"/>
      <c r="H28" s="291"/>
      <c r="I28" s="697"/>
      <c r="J28" s="682"/>
      <c r="K28" s="698"/>
      <c r="L28" s="291"/>
      <c r="M28" s="697"/>
      <c r="N28" s="682"/>
      <c r="O28" s="698"/>
      <c r="S28" s="690" t="str">
        <f>'Translate&amp;Prices&amp;Logo'!$B$321</f>
        <v>Prowadzenie górne długość 2 m (87313)</v>
      </c>
      <c r="T28" s="690"/>
      <c r="U28" s="690"/>
      <c r="V28" s="690"/>
      <c r="W28" s="690"/>
      <c r="X28" s="690"/>
      <c r="Y28" s="690"/>
      <c r="Z28" s="690"/>
      <c r="AA28" s="690"/>
      <c r="AB28" s="36"/>
      <c r="AC28" s="691">
        <f>IF(AG28&gt;0,AG28,AK29)</f>
        <v>0</v>
      </c>
      <c r="AD28" s="691"/>
      <c r="AE28" s="691"/>
      <c r="AF28" s="240" t="s">
        <v>1218</v>
      </c>
      <c r="AG28" s="682"/>
      <c r="AH28" s="682"/>
      <c r="AI28" s="682"/>
      <c r="AJ28" s="682"/>
      <c r="AK28" s="36"/>
      <c r="AL28" s="264">
        <f>AC28*AP28*(1-$I$15/100)</f>
        <v>0</v>
      </c>
      <c r="AM28" s="260" t="str">
        <f>VLOOKUP('Translate&amp;Prices&amp;Logo'!$D$1,kombinace_1!$EV$1:$EW$6,2,0)</f>
        <v>zl</v>
      </c>
      <c r="AP28" s="299">
        <f>IF('Translate&amp;Prices&amp;Logo'!$D$1=1,AQ28,
IF(OR('Translate&amp;Prices&amp;Logo'!$D$1=2,'Translate&amp;Prices&amp;Logo'!$D$1=5,'Translate&amp;Prices&amp;Logo'!$D$1=6),AR28,
IF('Translate&amp;Prices&amp;Logo'!$D$1=3,AS28,AT28)))</f>
        <v>92.683340000000001</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4.4">
      <c r="B30" s="694" t="str">
        <f>'Translate&amp;Prices&amp;Logo'!$B$174</f>
        <v>Ilość sztuk</v>
      </c>
      <c r="C30" s="694"/>
      <c r="D30" s="293"/>
      <c r="E30" s="697"/>
      <c r="F30" s="682"/>
      <c r="G30" s="698"/>
      <c r="H30" s="291"/>
      <c r="I30" s="697"/>
      <c r="J30" s="682"/>
      <c r="K30" s="698"/>
      <c r="L30" s="291"/>
      <c r="M30" s="697"/>
      <c r="N30" s="682"/>
      <c r="O30" s="698"/>
      <c r="S30" s="690" t="str">
        <f>'Translate&amp;Prices&amp;Logo'!$B$322</f>
        <v>Prowadzenie dolne długość 2 m (87315)</v>
      </c>
      <c r="T30" s="690"/>
      <c r="U30" s="690"/>
      <c r="V30" s="690"/>
      <c r="W30" s="690"/>
      <c r="X30" s="690"/>
      <c r="Y30" s="690"/>
      <c r="Z30" s="690"/>
      <c r="AA30" s="690"/>
      <c r="AB30" s="36"/>
      <c r="AC30" s="691">
        <f>IF(AG30&gt;0,AG30,AK31)</f>
        <v>0</v>
      </c>
      <c r="AD30" s="691"/>
      <c r="AE30" s="691"/>
      <c r="AF30" s="240" t="s">
        <v>1218</v>
      </c>
      <c r="AG30" s="682"/>
      <c r="AH30" s="682"/>
      <c r="AI30" s="682"/>
      <c r="AJ30" s="682"/>
      <c r="AK30" s="36"/>
      <c r="AL30" s="264">
        <f>AC30*AP30*(1-$I$15/100)</f>
        <v>0</v>
      </c>
      <c r="AM30" s="260" t="str">
        <f>VLOOKUP('Translate&amp;Prices&amp;Logo'!$D$1,kombinace_1!$EV$1:$EW$6,2,0)</f>
        <v>zl</v>
      </c>
      <c r="AP30" s="299">
        <f>IF('Translate&amp;Prices&amp;Logo'!$D$1=1,AQ30,
IF(OR('Translate&amp;Prices&amp;Logo'!$D$1=2,'Translate&amp;Prices&amp;Logo'!$D$1=5,'Translate&amp;Prices&amp;Logo'!$D$1=6),AR30,
IF('Translate&amp;Prices&amp;Logo'!$D$1=3,AS30,AT30)))</f>
        <v>27.304449999999999</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694" t="str">
        <f>'Translate&amp;Prices&amp;Logo'!$B$177</f>
        <v>Uwagi (notatki)</v>
      </c>
      <c r="C32" s="694"/>
      <c r="D32" s="293"/>
      <c r="E32" s="695"/>
      <c r="F32" s="499"/>
      <c r="G32" s="696"/>
      <c r="H32" s="291"/>
      <c r="I32" s="695"/>
      <c r="J32" s="499"/>
      <c r="K32" s="696"/>
      <c r="L32" s="291"/>
      <c r="M32" s="695"/>
      <c r="N32" s="499"/>
      <c r="O32" s="696"/>
      <c r="S32" s="690" t="str">
        <f>'Translate&amp;Prices&amp;Logo'!$B$323</f>
        <v>Prowadzenie górne długość 3 m (87312)</v>
      </c>
      <c r="T32" s="690"/>
      <c r="U32" s="690"/>
      <c r="V32" s="690"/>
      <c r="W32" s="690"/>
      <c r="X32" s="690"/>
      <c r="Y32" s="690"/>
      <c r="Z32" s="690"/>
      <c r="AA32" s="690"/>
      <c r="AB32" s="36"/>
      <c r="AC32" s="691">
        <f>IF(AG32&gt;0,AG32,AK33)</f>
        <v>0</v>
      </c>
      <c r="AD32" s="691"/>
      <c r="AE32" s="691"/>
      <c r="AF32" s="240" t="s">
        <v>1218</v>
      </c>
      <c r="AG32" s="682"/>
      <c r="AH32" s="682"/>
      <c r="AI32" s="682"/>
      <c r="AJ32" s="682"/>
      <c r="AK32" s="36"/>
      <c r="AL32" s="264">
        <f>AC32*AP32*(1-$I$15/100)</f>
        <v>0</v>
      </c>
      <c r="AM32" s="260" t="str">
        <f>VLOOKUP('Translate&amp;Prices&amp;Logo'!$D$1,kombinace_1!$EV$1:$EW$6,2,0)</f>
        <v>zl</v>
      </c>
      <c r="AP32" s="299">
        <f>IF('Translate&amp;Prices&amp;Logo'!$D$1=1,AQ32,
IF(OR('Translate&amp;Prices&amp;Logo'!$D$1=2,'Translate&amp;Prices&amp;Logo'!$D$1=5,'Translate&amp;Prices&amp;Logo'!$D$1=6),AR32,
IF('Translate&amp;Prices&amp;Logo'!$D$1=3,AS32,AT32)))</f>
        <v>139.24695</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7"/>
      <c r="F33" s="682"/>
      <c r="G33" s="698"/>
      <c r="H33" s="29"/>
      <c r="I33" s="697"/>
      <c r="J33" s="682"/>
      <c r="K33" s="698"/>
      <c r="L33" s="29"/>
      <c r="M33" s="697"/>
      <c r="N33" s="682"/>
      <c r="O33" s="698"/>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90" t="str">
        <f>'Translate&amp;Prices&amp;Logo'!$B$324</f>
        <v>Prowadzenie dolne długość 3 m (87314)</v>
      </c>
      <c r="T34" s="690"/>
      <c r="U34" s="690"/>
      <c r="V34" s="690"/>
      <c r="W34" s="690"/>
      <c r="X34" s="690"/>
      <c r="Y34" s="690"/>
      <c r="Z34" s="690"/>
      <c r="AA34" s="690"/>
      <c r="AB34" s="36"/>
      <c r="AC34" s="691">
        <f>IF(AG34&gt;0,AG34,AK35)</f>
        <v>0</v>
      </c>
      <c r="AD34" s="691"/>
      <c r="AE34" s="691"/>
      <c r="AF34" s="240" t="s">
        <v>1218</v>
      </c>
      <c r="AG34" s="682"/>
      <c r="AH34" s="682"/>
      <c r="AI34" s="682"/>
      <c r="AJ34" s="682"/>
      <c r="AK34" s="36"/>
      <c r="AL34" s="264">
        <f>AC34*AP34*(1-$I$15/100)</f>
        <v>0</v>
      </c>
      <c r="AM34" s="260" t="str">
        <f>VLOOKUP('Translate&amp;Prices&amp;Logo'!$D$1,kombinace_1!$EV$1:$EW$6,2,0)</f>
        <v>zl</v>
      </c>
      <c r="AP34" s="299">
        <f>IF('Translate&amp;Prices&amp;Logo'!$D$1=1,AQ34,
IF(OR('Translate&amp;Prices&amp;Logo'!$D$1=2,'Translate&amp;Prices&amp;Logo'!$D$1=5,'Translate&amp;Prices&amp;Logo'!$D$1=6),AR34,
IF('Translate&amp;Prices&amp;Logo'!$D$1=3,AS34,AT34)))</f>
        <v>40.95628</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694" t="str">
        <f>'Translate&amp;Prices&amp;Logo'!$B$172</f>
        <v>Rodzaj profilu</v>
      </c>
      <c r="C35" s="694"/>
      <c r="D35" s="293"/>
      <c r="E35" s="700"/>
      <c r="F35" s="701"/>
      <c r="G35" s="702"/>
      <c r="H35" s="291"/>
      <c r="I35" s="700"/>
      <c r="J35" s="701"/>
      <c r="K35" s="702"/>
      <c r="L35" s="291"/>
      <c r="M35" s="700"/>
      <c r="N35" s="701"/>
      <c r="O35" s="702"/>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5" customHeight="1">
      <c r="B36" s="14"/>
      <c r="C36" s="14"/>
      <c r="D36" s="292"/>
      <c r="E36" s="700"/>
      <c r="F36" s="701"/>
      <c r="G36" s="702"/>
      <c r="H36" s="29"/>
      <c r="I36" s="700"/>
      <c r="J36" s="701"/>
      <c r="K36" s="702"/>
      <c r="L36" s="29"/>
      <c r="M36" s="700"/>
      <c r="N36" s="701"/>
      <c r="O36" s="702"/>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700"/>
      <c r="F37" s="701"/>
      <c r="G37" s="702"/>
      <c r="H37" s="29"/>
      <c r="I37" s="700"/>
      <c r="J37" s="701"/>
      <c r="K37" s="702"/>
      <c r="L37" s="29"/>
      <c r="M37" s="700"/>
      <c r="N37" s="701"/>
      <c r="O37" s="702"/>
      <c r="S37" s="683" t="str">
        <f>IF(AND(Hlavní!V39=3,I17="Dostawa na adres"),"Koszt transportu","")</f>
        <v/>
      </c>
      <c r="T37" s="683"/>
      <c r="U37" s="683"/>
      <c r="V37" s="30"/>
      <c r="W37" s="684" t="b">
        <f>IF(AND(Hlavní!V39=3,I17="Dostawa na adres"),IF('Doprava Posun'!AH29=1,'Doprava Posun'!Z62,IF('Doprava Posun'!AH29=2,'Doprava Posun'!W89,'kalkulace dopravy'!X2)))</f>
        <v>0</v>
      </c>
      <c r="X37" s="684"/>
      <c r="Y37" s="684"/>
      <c r="Z37" s="684"/>
      <c r="AA37" s="304" t="str">
        <f>VLOOKUP('Translate&amp;Prices&amp;Logo'!$D$1,kombinace_1!$EV$1:$EW$5,2,0)</f>
        <v>zl</v>
      </c>
      <c r="AC37" s="261" t="str">
        <f>'Translate&amp;Prices&amp;Logo'!$B$693</f>
        <v>Cena okuć</v>
      </c>
      <c r="AD37" s="261"/>
      <c r="AE37" s="261"/>
      <c r="AF37" s="261"/>
      <c r="AG37" s="261"/>
      <c r="AH37" s="261"/>
      <c r="AI37" s="261"/>
      <c r="AJ37" s="261"/>
      <c r="AK37" s="36"/>
      <c r="AL37" s="264">
        <f>SUM(AL24,AL26,AL28,AL30,AL32,AL34)</f>
        <v>0</v>
      </c>
      <c r="AM37" s="260" t="str">
        <f>VLOOKUP('Translate&amp;Prices&amp;Logo'!$D$1,kombinace_1!$EV$1:$EW$6,2,0)</f>
        <v>zl</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694" t="str">
        <f>'Translate&amp;Prices&amp;Logo'!$B$625</f>
        <v>Rodzaj szkła/siatka</v>
      </c>
      <c r="C39" s="694"/>
      <c r="D39" s="293"/>
      <c r="E39" s="700"/>
      <c r="F39" s="701"/>
      <c r="G39" s="702"/>
      <c r="H39" s="291"/>
      <c r="I39" s="700"/>
      <c r="J39" s="701"/>
      <c r="K39" s="702"/>
      <c r="L39" s="291"/>
      <c r="M39" s="700"/>
      <c r="N39" s="701"/>
      <c r="O39" s="702"/>
      <c r="S39" s="699">
        <f>IF(ISTEXT(W37)=TRUE,VLOOKUP(W37,'kalkulace dopravy'!X2:Y4,2,0),0)</f>
        <v>0</v>
      </c>
      <c r="T39" s="699"/>
      <c r="U39" s="699"/>
      <c r="V39" s="699"/>
      <c r="W39" s="699"/>
      <c r="X39" s="699"/>
      <c r="Y39" s="699"/>
      <c r="Z39" s="699"/>
      <c r="AA39" s="699"/>
      <c r="AC39" s="692" t="str">
        <f>'Translate&amp;Prices&amp;Logo'!$B$180</f>
        <v>Cena za kompletne zamówienie</v>
      </c>
      <c r="AD39" s="692"/>
      <c r="AE39" s="692"/>
      <c r="AF39" s="692"/>
      <c r="AG39" s="692"/>
      <c r="AH39" s="692"/>
      <c r="AI39" s="692"/>
      <c r="AJ39" s="693"/>
      <c r="AK39" s="36"/>
      <c r="AL39" s="264">
        <f>IF(AQ13=TRUE,SUM(E48,I48,M48,AL37,W37),SUM(E48,I48,M48,W37))</f>
        <v>0</v>
      </c>
      <c r="AM39" s="268" t="str">
        <f>VLOOKUP('Translate&amp;Prices&amp;Logo'!D1,kombinace_1!$EV$1:$EW$6,2,0)</f>
        <v>zl</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703"/>
      <c r="F40" s="704"/>
      <c r="G40" s="705"/>
      <c r="H40" s="29"/>
      <c r="I40" s="703"/>
      <c r="J40" s="704"/>
      <c r="K40" s="705"/>
      <c r="L40" s="29"/>
      <c r="M40" s="703"/>
      <c r="N40" s="704"/>
      <c r="O40" s="705"/>
      <c r="S40" s="699"/>
      <c r="T40" s="699"/>
      <c r="U40" s="699"/>
      <c r="V40" s="699"/>
      <c r="W40" s="699"/>
      <c r="X40" s="699"/>
      <c r="Y40" s="699"/>
      <c r="Z40" s="699"/>
      <c r="AA40" s="699"/>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699"/>
      <c r="T41" s="699"/>
      <c r="U41" s="699"/>
      <c r="V41" s="699"/>
      <c r="W41" s="699"/>
      <c r="X41" s="699"/>
      <c r="Y41" s="699"/>
      <c r="Z41" s="699"/>
      <c r="AA41" s="699"/>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699"/>
      <c r="T42" s="699"/>
      <c r="U42" s="699"/>
      <c r="V42" s="699"/>
      <c r="W42" s="699"/>
      <c r="X42" s="699"/>
      <c r="Y42" s="699"/>
      <c r="Z42" s="699"/>
      <c r="AA42" s="699"/>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699"/>
      <c r="T43" s="699"/>
      <c r="U43" s="699"/>
      <c r="V43" s="699"/>
      <c r="W43" s="699"/>
      <c r="X43" s="699"/>
      <c r="Y43" s="699"/>
      <c r="Z43" s="699"/>
      <c r="AA43" s="699"/>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699"/>
      <c r="T44" s="699"/>
      <c r="U44" s="699"/>
      <c r="V44" s="699"/>
      <c r="W44" s="699"/>
      <c r="X44" s="699"/>
      <c r="Y44" s="699"/>
      <c r="Z44" s="699"/>
      <c r="AA44" s="699"/>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699"/>
      <c r="T45" s="699"/>
      <c r="U45" s="699"/>
      <c r="V45" s="699"/>
      <c r="W45" s="699"/>
      <c r="X45" s="699"/>
      <c r="Y45" s="699"/>
      <c r="Z45" s="699"/>
      <c r="AA45" s="699"/>
      <c r="AB45" s="460"/>
      <c r="AC45" s="31">
        <f>SUM(AC42:AC44)</f>
        <v>0</v>
      </c>
      <c r="AD45" s="31">
        <f>SUM(AD42:AD44)</f>
        <v>0</v>
      </c>
      <c r="AE45" s="31">
        <f>SUM(AE42:AE44)</f>
        <v>0</v>
      </c>
      <c r="AF45" s="31">
        <f>SUM(AF42:AF44)</f>
        <v>0</v>
      </c>
      <c r="AG45" s="31"/>
      <c r="AH45" s="31"/>
      <c r="BO45" s="459"/>
    </row>
    <row r="46" spans="2:74" ht="15.75" customHeight="1">
      <c r="S46" s="699"/>
      <c r="T46" s="699"/>
      <c r="U46" s="699"/>
      <c r="V46" s="699"/>
      <c r="W46" s="699"/>
      <c r="X46" s="699"/>
      <c r="Y46" s="699"/>
      <c r="Z46" s="699"/>
      <c r="AA46" s="699"/>
      <c r="AB46" s="460"/>
      <c r="AC46" s="31"/>
      <c r="AD46" s="31"/>
      <c r="AE46" s="31"/>
      <c r="AF46" s="31"/>
      <c r="AG46" s="31"/>
      <c r="AH46" s="31"/>
      <c r="BO46" s="459"/>
      <c r="BU46" s="1"/>
      <c r="BV46" s="1"/>
    </row>
    <row r="47" spans="2:74" ht="14.85" customHeight="1" thickBot="1">
      <c r="S47" s="699"/>
      <c r="T47" s="699"/>
      <c r="U47" s="699"/>
      <c r="V47" s="699"/>
      <c r="W47" s="699"/>
      <c r="X47" s="699"/>
      <c r="Y47" s="699"/>
      <c r="Z47" s="699"/>
      <c r="AA47" s="699"/>
      <c r="AB47" s="12"/>
      <c r="BO47" s="459"/>
    </row>
    <row r="48" spans="2:74" ht="14.85" customHeight="1" thickBot="1">
      <c r="B48" s="692" t="str">
        <f>'Translate&amp;Prices&amp;Logo'!$B$178</f>
        <v>Cena ramek</v>
      </c>
      <c r="C48" s="692"/>
      <c r="D48" s="293"/>
      <c r="E48" s="707">
        <f>SUM(E55:E56)*(1-(I15/100))</f>
        <v>0</v>
      </c>
      <c r="F48" s="708"/>
      <c r="G48" s="267" t="str">
        <f>VLOOKUP('Translate&amp;Prices&amp;Logo'!D1,kombinace_1!$EV$1:$EW$6,2,0)</f>
        <v>zl</v>
      </c>
      <c r="H48" s="291"/>
      <c r="I48" s="707">
        <f>SUM(I55:I56)*(1-(I15/100))</f>
        <v>0</v>
      </c>
      <c r="J48" s="708"/>
      <c r="K48" s="267" t="str">
        <f>VLOOKUP('Translate&amp;Prices&amp;Logo'!D1,kombinace_1!$EV$1:$EW$6,2,0)</f>
        <v>zl</v>
      </c>
      <c r="L48" s="291"/>
      <c r="M48" s="707">
        <f>SUM(M55:M56)*(1-(I15/100))</f>
        <v>0</v>
      </c>
      <c r="N48" s="708"/>
      <c r="O48" s="267" t="str">
        <f>VLOOKUP('Translate&amp;Prices&amp;Logo'!D1,kombinace_1!$EV$1:$EW$6,2,0)</f>
        <v>zl</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Standardowo ościeżnice przygotowane są pod okucia przesuwne H27AL (nośność 25 kg na ościeżnicę) i H37AL (nośność 35 kg na ościeżnicę).</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Wysokość ramki = wysokość wewnętrzna szafki - 6 mm.</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Cena za ramy przesuwne jest taka sama jak cena za zwykłe ramy.</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maksymalna zalecana długość profilu 2500 mm</v>
      </c>
      <c r="AJ57" s="1">
        <v>20</v>
      </c>
      <c r="BO57" s="452"/>
    </row>
    <row r="58" spans="3:77" ht="14.85" hidden="1" customHeight="1">
      <c r="E58" s="34" t="e">
        <f ca="1"/>
        <v>#N/A</v>
      </c>
      <c r="I58" s="1" t="e">
        <f ca="1"/>
        <v>#N/A</v>
      </c>
      <c r="M58" s="1" t="e">
        <f ca="1"/>
        <v>#N/A</v>
      </c>
      <c r="U58" t="str">
        <f>'Translate&amp;Prices&amp;Logo'!$B$8</f>
        <v>BRW bialy matowy RAL 9003 - maksymalna zalecana długość profilu 2500 mm</v>
      </c>
      <c r="AJ58" s="1">
        <v>20</v>
      </c>
      <c r="BO58" s="452"/>
    </row>
    <row r="59" spans="3:77" ht="14.85" hidden="1" customHeight="1">
      <c r="E59" s="34" t="e">
        <f ca="1"/>
        <v>#N/A</v>
      </c>
      <c r="I59" s="1" t="e">
        <f ca="1"/>
        <v>#N/A</v>
      </c>
      <c r="M59" s="1" t="e">
        <f ca="1"/>
        <v>#N/A</v>
      </c>
      <c r="U59" t="str">
        <f>'Translate&amp;Prices&amp;Logo'!$B$9</f>
        <v>BRW bialy połysk RAL 9003 - maksymalna zalecana długość profilu 2500 mm</v>
      </c>
      <c r="AJ59" s="1">
        <v>20</v>
      </c>
      <c r="BO59" s="452"/>
    </row>
    <row r="60" spans="3:77" ht="14.85" hidden="1" customHeight="1">
      <c r="E60" s="34" t="e">
        <f ca="1"/>
        <v>#N/A</v>
      </c>
      <c r="I60" s="1" t="e">
        <f ca="1"/>
        <v>#N/A</v>
      </c>
      <c r="M60" s="1" t="e">
        <f ca="1"/>
        <v>#N/A</v>
      </c>
      <c r="U60" t="str">
        <f>'Translate&amp;Prices&amp;Logo'!$B$11</f>
        <v>BRW szczotkowany - maksymalna zalecana długość profilu 2500 mm</v>
      </c>
      <c r="AJ60" s="1">
        <v>20</v>
      </c>
      <c r="BO60" s="452"/>
    </row>
    <row r="61" spans="3:77" ht="14.85" hidden="1" customHeight="1">
      <c r="E61" s="34" t="e">
        <f ca="1"/>
        <v>#N/A</v>
      </c>
      <c r="I61" s="1" t="e">
        <f ca="1"/>
        <v>#N/A</v>
      </c>
      <c r="M61" s="1" t="e">
        <f ca="1"/>
        <v>#N/A</v>
      </c>
      <c r="U61" t="str">
        <f>'Translate&amp;Prices&amp;Logo'!$B$12</f>
        <v>BRW Czarny matowy - maksymalna zalecana długość profilu 2500 mm</v>
      </c>
      <c r="AJ61" s="1">
        <v>20</v>
      </c>
      <c r="BO61" s="452"/>
    </row>
    <row r="62" spans="3:77" ht="14.85" hidden="1" customHeight="1">
      <c r="E62" s="34" t="e">
        <f ca="1"/>
        <v>#N/A</v>
      </c>
      <c r="I62" s="1" t="e">
        <f ca="1"/>
        <v>#N/A</v>
      </c>
      <c r="M62" s="1" t="e">
        <f ca="1"/>
        <v>#N/A</v>
      </c>
      <c r="U62" t="str">
        <f>'Translate&amp;Prices&amp;Logo'!$B$14</f>
        <v>BRW czarna szczotka - maksymalna zalecana długość profilu 2500 mm</v>
      </c>
      <c r="AJ62" s="1">
        <v>20</v>
      </c>
      <c r="BO62" s="452"/>
    </row>
    <row r="63" spans="3:77" ht="14.85" hidden="1" customHeight="1">
      <c r="E63" s="34" t="e">
        <f ca="1"/>
        <v>#N/A</v>
      </c>
      <c r="I63" s="1" t="e">
        <f ca="1"/>
        <v>#N/A</v>
      </c>
      <c r="M63" s="1" t="e">
        <f ca="1"/>
        <v>#N/A</v>
      </c>
      <c r="U63" t="str">
        <f>'Translate&amp;Prices&amp;Logo'!$B$15</f>
        <v>BRW acier grata - maksymalna zalecana długość profilu 2500 mm</v>
      </c>
      <c r="AJ63" s="1">
        <v>20</v>
      </c>
      <c r="BO63" s="452"/>
    </row>
    <row r="64" spans="3:77" ht="14.85" hidden="1" customHeight="1">
      <c r="E64" s="34" t="e">
        <f ca="1"/>
        <v>#N/A</v>
      </c>
      <c r="I64" s="1" t="e">
        <f ca="1"/>
        <v>#N/A</v>
      </c>
      <c r="M64" s="1" t="e">
        <f ca="1"/>
        <v>#N/A</v>
      </c>
      <c r="U64" t="str">
        <f>'Translate&amp;Prices&amp;Logo'!$B$7</f>
        <v>BRW antracyt RAL 7021 - maksymalna zalecana długość profilu 2500 mm</v>
      </c>
      <c r="AJ64" s="1">
        <v>20</v>
      </c>
      <c r="BO64" s="452"/>
    </row>
    <row r="65" spans="5:71" ht="14.85" hidden="1" customHeight="1">
      <c r="E65" s="34" t="e">
        <f ca="1"/>
        <v>#N/A</v>
      </c>
      <c r="I65" s="1" t="e">
        <f ca="1"/>
        <v>#N/A</v>
      </c>
      <c r="M65" s="1" t="e">
        <f ca="1"/>
        <v>#N/A</v>
      </c>
      <c r="U65" t="str">
        <f>'Translate&amp;Prices&amp;Logo'!$B$69</f>
        <v>BRW champagne - maksymalna zalecana długość profilu 2500 mm</v>
      </c>
      <c r="AJ65" s="1">
        <v>20</v>
      </c>
      <c r="BO65" s="452"/>
    </row>
    <row r="66" spans="5:71" ht="14.85" hidden="1" customHeight="1">
      <c r="E66" s="34" t="e">
        <f ca="1"/>
        <v>#N/A</v>
      </c>
      <c r="I66" s="1" t="e">
        <f ca="1"/>
        <v>#N/A</v>
      </c>
      <c r="M66" s="1" t="e">
        <f ca="1"/>
        <v>#N/A</v>
      </c>
      <c r="U66" t="str">
        <f>'Translate&amp;Prices&amp;Logo'!$B$70</f>
        <v>BRW champagne light - maksymalna zalecana długość profilu 2500 mm</v>
      </c>
      <c r="AJ66" s="1">
        <v>20</v>
      </c>
    </row>
    <row r="67" spans="5:71" ht="14.85" hidden="1" customHeight="1">
      <c r="E67" s="34" t="e">
        <f ca="1"/>
        <v>#N/A</v>
      </c>
      <c r="I67" s="1" t="e">
        <f ca="1"/>
        <v>#N/A</v>
      </c>
      <c r="M67" s="1" t="e">
        <f ca="1"/>
        <v>#N/A</v>
      </c>
      <c r="U67" t="str">
        <f>'Translate&amp;Prices&amp;Logo'!$B$10</f>
        <v>BRW brąz - maksymalna zalecana długość profilu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INOX (stal nierdzewna) - maksymalna zalecana długość profilu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kaszmirowy - maksymalna zalecana długość profilu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złota- maksymalna zalecana długość profilu 2500 mm</v>
      </c>
      <c r="AJ70" s="1">
        <v>20</v>
      </c>
      <c r="BN70" s="10"/>
      <c r="BO70"/>
      <c r="BP70"/>
      <c r="BQ70"/>
      <c r="BR70"/>
      <c r="BS70" s="174"/>
    </row>
    <row r="71" spans="5:71" ht="14.85" hidden="1" customHeight="1">
      <c r="E71" s="34" t="e">
        <f ca="1"/>
        <v>#N/A</v>
      </c>
      <c r="I71" s="1" t="e">
        <f ca="1"/>
        <v>#N/A</v>
      </c>
      <c r="M71" s="1" t="e">
        <f ca="1"/>
        <v>#N/A</v>
      </c>
      <c r="U71" t="str">
        <f>'Translate&amp;Prices&amp;Logo'!$B$55</f>
        <v>BRW złota szczotkowany - maksymalna zalecana zalecana długość profilu 2500 mm</v>
      </c>
      <c r="AJ71" s="1">
        <v>40</v>
      </c>
    </row>
    <row r="72" spans="5:71" ht="14.85" hidden="1" customHeight="1">
      <c r="E72" s="34" t="e">
        <f ca="1"/>
        <v>#N/A</v>
      </c>
      <c r="I72" s="1" t="e">
        <f ca="1"/>
        <v>#N/A</v>
      </c>
      <c r="M72" s="1" t="e">
        <f ca="1"/>
        <v>#N/A</v>
      </c>
      <c r="U72" t="str">
        <f>'Translate&amp;Prices&amp;Logo'!$B$17</f>
        <v>Corleone (elox.)- maksymalna zalecana długość profilu 1500 mm</v>
      </c>
      <c r="AJ72" s="1">
        <v>40</v>
      </c>
    </row>
    <row r="73" spans="5:71" ht="14.85" hidden="1" customHeight="1">
      <c r="E73" s="34" t="e">
        <f ca="1"/>
        <v>#N/A</v>
      </c>
      <c r="I73" s="1" t="e">
        <f ca="1"/>
        <v>#N/A</v>
      </c>
      <c r="M73" s="1" t="e">
        <f ca="1"/>
        <v>#N/A</v>
      </c>
      <c r="U73" t="str">
        <f>'Translate&amp;Prices&amp;Logo'!$B$18</f>
        <v>Corleone czarny matowy - maksymalna zalecana długość profilu 1500 mm</v>
      </c>
      <c r="AJ73" s="1">
        <v>20</v>
      </c>
    </row>
    <row r="74" spans="5:71" ht="14.85" hidden="1" customHeight="1">
      <c r="E74" s="34" t="e">
        <f ca="1"/>
        <v>#N/A</v>
      </c>
      <c r="I74" s="1" t="e">
        <f ca="1"/>
        <v>#N/A</v>
      </c>
      <c r="M74" s="1" t="e">
        <f ca="1"/>
        <v>#N/A</v>
      </c>
      <c r="U74" t="str">
        <f>'Translate&amp;Prices&amp;Logo'!$B$59</f>
        <v>ASTI  czarne  - maksymalna zalecana długość profilu 2150</v>
      </c>
      <c r="AJ74" s="1">
        <v>20</v>
      </c>
      <c r="BO74" s="344"/>
      <c r="BP74" s="344"/>
      <c r="BQ74" s="344"/>
      <c r="BR74" s="344"/>
      <c r="BS74" s="344"/>
    </row>
    <row r="75" spans="5:71" ht="14.85" hidden="1" customHeight="1">
      <c r="E75" s="34" t="e">
        <f ca="1"/>
        <v>#N/A</v>
      </c>
      <c r="I75" s="1" t="e">
        <f ca="1"/>
        <v>#N/A</v>
      </c>
      <c r="M75" s="1" t="e">
        <f ca="1"/>
        <v>#N/A</v>
      </c>
      <c r="U75" t="str">
        <f>'Translate&amp;Prices&amp;Logo'!$B$60</f>
        <v>ASTI  antracyt mat RAL 7021 mat lakier - maksymalna zalecana długość profilu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maksymalna zalecana długość profilu 2500 mm</v>
      </c>
      <c r="AJ76" s="1">
        <v>40</v>
      </c>
      <c r="BO76" s="344"/>
      <c r="BP76" s="344"/>
      <c r="BQ76" s="344"/>
      <c r="BR76" s="344"/>
      <c r="BS76" s="344"/>
    </row>
    <row r="77" spans="5:71" ht="14.85" hidden="1" customHeight="1">
      <c r="E77" s="34" t="e">
        <f ca="1"/>
        <v>#N/A</v>
      </c>
      <c r="I77" s="1" t="e">
        <f ca="1"/>
        <v>#N/A</v>
      </c>
      <c r="M77" s="1" t="e">
        <f ca="1"/>
        <v>#N/A</v>
      </c>
      <c r="U77" t="str">
        <f>'Translate&amp;Prices&amp;Logo'!$B$20</f>
        <v>Imola Czarny matowy - maksymalna zalecana długość profilu 2500 mm</v>
      </c>
      <c r="AJ77" s="1">
        <v>40</v>
      </c>
      <c r="BO77" s="344"/>
      <c r="BP77" s="344"/>
      <c r="BQ77" s="344"/>
      <c r="BR77" s="344"/>
      <c r="BS77" s="344"/>
    </row>
    <row r="78" spans="5:71" ht="14.85" hidden="1" customHeight="1">
      <c r="E78" s="34" t="e">
        <f ca="1"/>
        <v>#N/A</v>
      </c>
      <c r="I78" s="1" t="e">
        <f ca="1"/>
        <v>#N/A</v>
      </c>
      <c r="M78" s="1" t="e">
        <f ca="1"/>
        <v>#N/A</v>
      </c>
      <c r="U78" t="str">
        <f>'Translate&amp;Prices&amp;Logo'!$B$21</f>
        <v>Imola bialy matowy RAL 9003 - maksymalna zalecana długość profilu 2500 mm</v>
      </c>
      <c r="AJ78" s="1">
        <v>40</v>
      </c>
    </row>
    <row r="79" spans="5:71" ht="14.85" hidden="1" customHeight="1">
      <c r="E79" s="34" t="e">
        <f ca="1"/>
        <v>#N/A</v>
      </c>
      <c r="I79" s="1" t="e">
        <f ca="1"/>
        <v>#N/A</v>
      </c>
      <c r="M79" s="1" t="e">
        <f ca="1"/>
        <v>#N/A</v>
      </c>
      <c r="U79" t="str">
        <f>'Translate&amp;Prices&amp;Logo'!$B$45</f>
        <v>Imola złota - maksymalna zalecana zalecana długość profilu 2150 mm</v>
      </c>
      <c r="AJ79" s="1">
        <v>40</v>
      </c>
    </row>
    <row r="80" spans="5:71" ht="14.85" hidden="1" customHeight="1">
      <c r="E80" s="34" t="e">
        <f ca="1"/>
        <v>#N/A</v>
      </c>
      <c r="I80" s="1" t="e">
        <f ca="1"/>
        <v>#N/A</v>
      </c>
      <c r="M80" s="1" t="e">
        <f ca="1"/>
        <v>#N/A</v>
      </c>
      <c r="U80" t="str">
        <f>'Translate&amp;Prices&amp;Logo'!$B$22</f>
        <v>Modena (elox.) - maksymalna zalecana długość profilu 2500 mm</v>
      </c>
      <c r="AJ80" s="1">
        <v>40</v>
      </c>
    </row>
    <row r="81" spans="5:72" ht="14.85" hidden="1" customHeight="1">
      <c r="E81" s="34" t="e">
        <f ca="1"/>
        <v>#N/A</v>
      </c>
      <c r="I81" s="1" t="e">
        <f ca="1"/>
        <v>#N/A</v>
      </c>
      <c r="M81" s="1" t="e">
        <f ca="1"/>
        <v>#N/A</v>
      </c>
      <c r="U81" t="str">
        <f>'Translate&amp;Prices&amp;Logo'!$B$23</f>
        <v>Modena Czarny matowy - maksymalna zalecana długość profilu 2500 mm</v>
      </c>
      <c r="AJ81" s="1">
        <v>40</v>
      </c>
    </row>
    <row r="82" spans="5:72" ht="14.85" hidden="1" customHeight="1">
      <c r="E82" s="34" t="e">
        <f ca="1"/>
        <v>#N/A</v>
      </c>
      <c r="I82" s="1" t="e">
        <f ca="1"/>
        <v>#N/A</v>
      </c>
      <c r="M82" s="1" t="e">
        <f ca="1"/>
        <v>#N/A</v>
      </c>
      <c r="U82" t="str">
        <f>'Translate&amp;Prices&amp;Logo'!$B$25</f>
        <v>Modena czarna szczotka - maksymalna zalecana długość profilu 2500 mm</v>
      </c>
      <c r="AJ82" s="1">
        <v>40</v>
      </c>
    </row>
    <row r="83" spans="5:72" ht="14.85" hidden="1" customHeight="1">
      <c r="E83" s="34" t="e">
        <f ca="1"/>
        <v>#N/A</v>
      </c>
      <c r="I83" s="1" t="e">
        <f ca="1"/>
        <v>#N/A</v>
      </c>
      <c r="M83" s="1" t="e">
        <f ca="1"/>
        <v>#N/A</v>
      </c>
      <c r="U83" t="str">
        <f>'Translate&amp;Prices&amp;Logo'!$B$26</f>
        <v>Modena INOX (stal nierdzewna) - maksymalna zalecana długość profilu 2500 mm</v>
      </c>
      <c r="AJ83" s="1">
        <v>40</v>
      </c>
      <c r="BT83" s="1"/>
    </row>
    <row r="84" spans="5:72" ht="14.85" hidden="1" customHeight="1">
      <c r="E84" s="34" t="e">
        <f ca="1"/>
        <v>#N/A</v>
      </c>
      <c r="I84" s="1" t="e">
        <f ca="1"/>
        <v>#N/A</v>
      </c>
      <c r="M84" s="1" t="e">
        <f ca="1"/>
        <v>#N/A</v>
      </c>
      <c r="U84" t="str">
        <f>'Translate&amp;Prices&amp;Logo'!$B$61</f>
        <v>Modena brąz - maksymalna zalecana długość profilu 2500 mm</v>
      </c>
      <c r="AJ84" s="1">
        <v>40</v>
      </c>
      <c r="BT84" s="1"/>
    </row>
    <row r="85" spans="5:72" ht="14.85" hidden="1" customHeight="1">
      <c r="E85" s="34" t="e">
        <f ca="1"/>
        <v>#N/A</v>
      </c>
      <c r="I85" s="1" t="e">
        <f ca="1"/>
        <v>#N/A</v>
      </c>
      <c r="M85" s="1" t="e">
        <f ca="1"/>
        <v>#N/A</v>
      </c>
      <c r="U85" t="str">
        <f>'Translate&amp;Prices&amp;Logo'!$B$29</f>
        <v>Pisa (elox.) - maksymalna zalecana długość profilu 2500 mm</v>
      </c>
      <c r="AJ85" s="1">
        <v>40</v>
      </c>
      <c r="BT85" s="1"/>
    </row>
    <row r="86" spans="5:72" ht="14.85" hidden="1" customHeight="1">
      <c r="E86" s="34" t="e">
        <f ca="1"/>
        <v>#N/A</v>
      </c>
      <c r="I86" s="1" t="e">
        <f ca="1"/>
        <v>#N/A</v>
      </c>
      <c r="M86" s="1" t="e">
        <f ca="1"/>
        <v>#N/A</v>
      </c>
      <c r="U86" t="str">
        <f>'Translate&amp;Prices&amp;Logo'!$B$52</f>
        <v>Pisa biały matowy RAL 9003 - maksymalna zalecana zalecana długość profilu 2500 mm</v>
      </c>
      <c r="AJ86" s="1">
        <v>40</v>
      </c>
      <c r="BT86" s="1"/>
    </row>
    <row r="87" spans="5:72" ht="14.85" hidden="1" customHeight="1">
      <c r="E87" s="34" t="e">
        <f ca="1"/>
        <v>#N/A</v>
      </c>
      <c r="I87" s="1" t="e">
        <f ca="1"/>
        <v>#N/A</v>
      </c>
      <c r="M87" s="1" t="e">
        <f ca="1"/>
        <v>#N/A</v>
      </c>
      <c r="U87" t="str">
        <f>'Translate&amp;Prices&amp;Logo'!$B$53</f>
        <v>Pisa biały połysk RAL 9003 - maksymalna zalecana zalecana długość profilu 2500 mm</v>
      </c>
      <c r="AJ87" s="1">
        <v>40</v>
      </c>
      <c r="BT87" s="1"/>
    </row>
    <row r="88" spans="5:72" ht="14.85" hidden="1" customHeight="1">
      <c r="E88" s="34" t="e">
        <f ca="1"/>
        <v>#N/A</v>
      </c>
      <c r="I88" s="1" t="e">
        <f ca="1"/>
        <v>#N/A</v>
      </c>
      <c r="M88" s="1" t="e">
        <f ca="1"/>
        <v>#N/A</v>
      </c>
      <c r="U88" t="str">
        <f>'Translate&amp;Prices&amp;Logo'!$B$30</f>
        <v>Pisa Czarny matowy - maksymalna zalecana długość profilu 2500 mm</v>
      </c>
      <c r="AJ88" s="1">
        <v>20</v>
      </c>
    </row>
    <row r="89" spans="5:72" ht="14.85" hidden="1" customHeight="1">
      <c r="E89" s="34" t="e">
        <f ca="1"/>
        <v>#N/A</v>
      </c>
      <c r="I89" s="1" t="e">
        <f ca="1"/>
        <v>#N/A</v>
      </c>
      <c r="M89" s="1" t="e">
        <f ca="1"/>
        <v>#N/A</v>
      </c>
      <c r="U89" t="str">
        <f>'Translate&amp;Prices&amp;Logo'!$B$58</f>
        <v>Pisa złota - maksymalna zalecana długość profilu 2150 mm</v>
      </c>
      <c r="AJ89" s="1">
        <v>20</v>
      </c>
    </row>
    <row r="90" spans="5:72" ht="14.85" hidden="1" customHeight="1">
      <c r="E90" s="34" t="e">
        <f ca="1"/>
        <v>#N/A</v>
      </c>
      <c r="I90" s="1" t="e">
        <f ca="1"/>
        <v>#N/A</v>
      </c>
      <c r="M90" s="1" t="e">
        <f ca="1"/>
        <v>#N/A</v>
      </c>
      <c r="U90" t="str">
        <f>'Translate&amp;Prices&amp;Logo'!$B$50</f>
        <v>Rocca (elox.) - maksymalna zalecana zalecana długość profilu 2150 mm</v>
      </c>
      <c r="AJ90" s="1">
        <v>20</v>
      </c>
    </row>
    <row r="91" spans="5:72" ht="14.85" hidden="1" customHeight="1">
      <c r="E91" s="34" t="e">
        <f ca="1"/>
        <v>#N/A</v>
      </c>
      <c r="I91" s="1" t="e">
        <f ca="1"/>
        <v>#N/A</v>
      </c>
      <c r="M91" s="1" t="e">
        <f ca="1"/>
        <v>#N/A</v>
      </c>
      <c r="U91" t="str">
        <f>'Translate&amp;Prices&amp;Logo'!$B$42</f>
        <v>Rocca czarny matowy - maksymalna zalecana zalecana długość profilu 2150 mm</v>
      </c>
      <c r="AJ91" s="1">
        <v>20</v>
      </c>
    </row>
    <row r="92" spans="5:72" ht="14.85" hidden="1" customHeight="1">
      <c r="E92" s="34" t="e">
        <f ca="1"/>
        <v>#N/A</v>
      </c>
      <c r="I92" s="1" t="e">
        <f ca="1"/>
        <v>#N/A</v>
      </c>
      <c r="M92" s="1" t="e">
        <f ca="1"/>
        <v>#N/A</v>
      </c>
      <c r="U92" t="str">
        <f>'Translate&amp;Prices&amp;Logo'!$B$63</f>
        <v>Treviso czarny matowy - maksymalna zalecana długość profilu 2750 mm</v>
      </c>
      <c r="AJ92" s="1">
        <v>20</v>
      </c>
    </row>
    <row r="93" spans="5:72" ht="14.85" hidden="1" customHeight="1">
      <c r="E93" s="34" t="e">
        <f ca="1"/>
        <v>#N/A</v>
      </c>
      <c r="I93" s="1" t="e">
        <f ca="1"/>
        <v>#N/A</v>
      </c>
      <c r="M93" s="1" t="e">
        <f ca="1"/>
        <v>#N/A</v>
      </c>
      <c r="U93" t="str">
        <f>'Translate&amp;Prices&amp;Logo'!$B$34</f>
        <v>Verona (elox.) - maksymalna zalecana zalecana długość profilu 2500 mm</v>
      </c>
      <c r="AJ93" s="1">
        <v>20</v>
      </c>
    </row>
    <row r="94" spans="5:72" ht="14.85" hidden="1" customHeight="1">
      <c r="E94" s="34" t="e">
        <f ca="1"/>
        <v>#N/A</v>
      </c>
      <c r="I94" s="1" t="e">
        <f ca="1"/>
        <v>#N/A</v>
      </c>
      <c r="M94" s="1" t="e">
        <f ca="1"/>
        <v>#N/A</v>
      </c>
      <c r="U94" t="str">
        <f>'Translate&amp;Prices&amp;Logo'!$B$35</f>
        <v>Verona szczotkowany - maksymalna zalecana zalecana długość profilu 2500 mm</v>
      </c>
      <c r="AJ94" s="1">
        <v>20</v>
      </c>
    </row>
    <row r="95" spans="5:72" ht="14.85" hidden="1" customHeight="1">
      <c r="E95" s="34" t="e">
        <f ca="1"/>
        <v>#N/A</v>
      </c>
      <c r="I95" s="1" t="e">
        <f ca="1"/>
        <v>#N/A</v>
      </c>
      <c r="M95" s="1" t="e">
        <f ca="1"/>
        <v>#N/A</v>
      </c>
      <c r="U95" t="str">
        <f>'Translate&amp;Prices&amp;Logo'!$B$37</f>
        <v>Verona czarny matowy - maksymalna zalecana zalecana długość profilu 2500 mm</v>
      </c>
      <c r="AJ95" s="1">
        <v>20</v>
      </c>
    </row>
    <row r="96" spans="5:72" ht="14.85" hidden="1" customHeight="1">
      <c r="E96" s="34" t="e">
        <f ca="1"/>
        <v>#N/A</v>
      </c>
      <c r="I96" s="1" t="e">
        <f ca="1"/>
        <v>#N/A</v>
      </c>
      <c r="M96" s="1" t="e">
        <f ca="1"/>
        <v>#N/A</v>
      </c>
      <c r="U96" t="str">
        <f>'Translate&amp;Prices&amp;Logo'!$B$36</f>
        <v>Verona czarny połysk - maksymalna zalecana zalecana długość profilu 2500 mm</v>
      </c>
      <c r="AJ96" s="1">
        <v>20</v>
      </c>
    </row>
    <row r="97" spans="5:36" ht="14.85" hidden="1" customHeight="1">
      <c r="E97" s="34" t="e">
        <f ca="1"/>
        <v>#N/A</v>
      </c>
      <c r="I97" s="1" t="e">
        <f ca="1"/>
        <v>#N/A</v>
      </c>
      <c r="M97" s="1" t="e">
        <f ca="1"/>
        <v>#N/A</v>
      </c>
      <c r="U97" t="str">
        <f>'Translate&amp;Prices&amp;Logo'!$B$38</f>
        <v>Verona braz - maksymalna zalecana zalecana długość profilu 2500 mm</v>
      </c>
      <c r="AJ97" s="1">
        <v>20</v>
      </c>
    </row>
    <row r="98" spans="5:36" ht="14.85" hidden="1" customHeight="1">
      <c r="E98" s="34" t="e">
        <f ca="1"/>
        <v>#N/A</v>
      </c>
      <c r="I98" s="1" t="e">
        <f ca="1"/>
        <v>#N/A</v>
      </c>
      <c r="M98" s="1" t="e">
        <f ca="1"/>
        <v>#N/A</v>
      </c>
      <c r="U98" t="str">
        <f>'Translate&amp;Prices&amp;Logo'!$B$39</f>
        <v>Verona szampański - maksymalna zalecana zalecana długość profilu 2500 mm</v>
      </c>
      <c r="AJ98" s="1">
        <v>20</v>
      </c>
    </row>
    <row r="99" spans="5:36" ht="14.85" hidden="1" customHeight="1">
      <c r="E99" s="34" t="e">
        <f ca="1"/>
        <v>#N/A</v>
      </c>
      <c r="I99" s="1" t="e">
        <f ca="1"/>
        <v>#N/A</v>
      </c>
      <c r="M99" s="1" t="e">
        <f ca="1"/>
        <v>#N/A</v>
      </c>
      <c r="U99" t="str">
        <f>'Translate&amp;Prices&amp;Logo'!$B$40</f>
        <v>Verona Inox szczotkowany - maksymalna zalecana zalecana długość profilu 2500 mm</v>
      </c>
      <c r="AJ99" s="1">
        <v>20</v>
      </c>
    </row>
    <row r="100" spans="5:36" ht="14.85" hidden="1" customHeight="1">
      <c r="E100" s="34" t="e">
        <f ca="1"/>
        <v>#N/A</v>
      </c>
      <c r="I100" s="1" t="e">
        <f ca="1"/>
        <v>#N/A</v>
      </c>
      <c r="M100" s="1" t="e">
        <f ca="1"/>
        <v>#N/A</v>
      </c>
      <c r="U100" t="str">
        <f>'Translate&amp;Prices&amp;Logo'!$B$41</f>
        <v>Verona Inox Acier szczotkowany - maksymalna zalecana zalecana długość profilu 2500 mm</v>
      </c>
      <c r="AJ100" s="1">
        <v>45</v>
      </c>
    </row>
    <row r="101" spans="5:36" ht="14.85" hidden="1" customHeight="1">
      <c r="E101" s="34"/>
      <c r="U101" t="str">
        <f>'Translate&amp;Prices&amp;Logo'!$B$62</f>
        <v>Verona Ivory mat - maksymalna zalecana zalecana długość profilu 2150 mm</v>
      </c>
      <c r="AJ101" s="1">
        <v>45</v>
      </c>
    </row>
    <row r="102" spans="5:36" ht="14.85" hidden="1" customHeight="1">
      <c r="E102" s="34"/>
      <c r="U102" t="str">
        <f>'Translate&amp;Prices&amp;Logo'!$B$65</f>
        <v>Verona kaszmirowy - maksymalna zalecana długość profilu 2150 mm</v>
      </c>
      <c r="AJ102" s="1">
        <v>45</v>
      </c>
    </row>
    <row r="103" spans="5:36" ht="14.85" hidden="1" customHeight="1">
      <c r="E103" s="34"/>
      <c r="U103" t="str">
        <f>'Translate&amp;Prices&amp;Logo'!$B$24</f>
        <v>Verona złota - maksymalna zalecana długość profilu 2150 mm</v>
      </c>
      <c r="AJ103" s="1">
        <v>45</v>
      </c>
    </row>
    <row r="104" spans="5:36" ht="14.85" hidden="1" customHeight="1">
      <c r="E104" s="34"/>
      <c r="U104" t="str">
        <f>'Translate&amp;Prices&amp;Logo'!$B$56</f>
        <v>Verona złota szczotkowany - maksymalna zalecana zalecana długość profilu 2150 mm</v>
      </c>
      <c r="AJ104" s="1">
        <v>45</v>
      </c>
    </row>
    <row r="105" spans="5:36" ht="14.85" hidden="1" customHeight="1">
      <c r="E105" s="34"/>
      <c r="U105" t="str">
        <f>'Translate&amp;Prices&amp;Logo'!$B$43</f>
        <v>Vivaro (elox.) - maksymalna zalecana zalecana długość profilu 2500 mm</v>
      </c>
      <c r="AJ105" s="1">
        <v>45</v>
      </c>
    </row>
    <row r="106" spans="5:36" ht="14.85" hidden="1" customHeight="1">
      <c r="U106" t="str">
        <f>'Translate&amp;Prices&amp;Logo'!$B$44</f>
        <v>Vivaro czarny matowy - maksymalna zalecana zalecana długość profilu 2500 mm</v>
      </c>
      <c r="AJ106" s="1">
        <v>45</v>
      </c>
    </row>
    <row r="107" spans="5:36" ht="14.85" hidden="1" customHeight="1">
      <c r="U107" t="str">
        <f>'Translate&amp;Prices&amp;Logo'!$B$46</f>
        <v>Vivaro INOX (stal nierdzewna) - maksymalna zalecana zalecana długość profilu 2500 mm</v>
      </c>
      <c r="AJ107" s="1">
        <v>20</v>
      </c>
    </row>
    <row r="108" spans="5:36" ht="14.85" hidden="1" customHeight="1">
      <c r="U108" t="str">
        <f>'Translate&amp;Prices&amp;Logo'!$B$47</f>
        <v>Vivaro biały matowy RAL 9003 - maksymalna zalecana zalecana długość profilu 2500 mm</v>
      </c>
      <c r="AJ108" s="1">
        <v>20</v>
      </c>
    </row>
    <row r="109" spans="5:36" ht="14.85" hidden="1" customHeight="1">
      <c r="U109" t="str">
        <f>'Translate&amp;Prices&amp;Logo'!$B$48</f>
        <v>Vivaro biały połysk RAL 9003 - maksymalna zalecana zalecana długość profilu 2500 mm</v>
      </c>
      <c r="AJ109" s="1">
        <v>27</v>
      </c>
    </row>
    <row r="110" spans="5:36" ht="14.85" hidden="1" customHeight="1">
      <c r="U110" t="str">
        <f>'Translate&amp;Prices&amp;Logo'!$B$31</f>
        <v>Vivaro złota - maksymalna zalecana zalecana długość profilu 2150 mm</v>
      </c>
      <c r="AJ110" s="1">
        <v>27</v>
      </c>
    </row>
    <row r="111" spans="5:36" ht="14.85" hidden="1" customHeight="1">
      <c r="U111" t="str">
        <f>'Translate&amp;Prices&amp;Logo'!$B$57</f>
        <v>Vivaro złota szczotkowany - maksymalna zalecana zalecana długość profilu 2150 mm</v>
      </c>
      <c r="AJ111" s="1">
        <v>27</v>
      </c>
    </row>
    <row r="112" spans="5:36" ht="14.85" hidden="1" customHeight="1">
      <c r="U112" t="str">
        <f>'Translate&amp;Prices&amp;Logo'!$B$80</f>
        <v>Rocca elox (lewa i prawa) + Varna elox (góra i dół)</v>
      </c>
      <c r="AJ112" s="1">
        <v>27</v>
      </c>
    </row>
    <row r="113" spans="21:21" ht="14.85" hidden="1" customHeight="1">
      <c r="U113" t="str">
        <f>'Translate&amp;Prices&amp;Logo'!$B$81</f>
        <v>Rocca czarny (lewa i prawa) + Varna czarny (góra i dół)</v>
      </c>
    </row>
    <row r="114" spans="21:21" ht="14.85" hidden="1" customHeight="1">
      <c r="U114" t="str">
        <f>'Translate&amp;Prices&amp;Logo'!$B$71</f>
        <v>ROMA czarna matowa -  maksymalna zalecana długość profilu 2696 mm</v>
      </c>
    </row>
    <row r="115" spans="21:21" ht="14.85" hidden="1" customHeight="1">
      <c r="U115" t="str">
        <f>'Translate&amp;Prices&amp;Logo'!$B$72</f>
        <v>ROMA champagne mat - maksymalna zalecana długość profilu 2696 mm</v>
      </c>
    </row>
    <row r="116" spans="21:21" ht="14.85" hidden="1" customHeight="1">
      <c r="U116" t="str">
        <f>'Translate&amp;Prices&amp;Logo'!$B$73</f>
        <v>ROMA GRIP czarna matowa - maksymalna zalecana długość profilu 2696 mm</v>
      </c>
    </row>
    <row r="117" spans="21:21" ht="14.85" hidden="1" customHeight="1">
      <c r="U117" t="str">
        <f>'Translate&amp;Prices&amp;Logo'!$B$74</f>
        <v>ROMA GRIP champagne mat - maksymalna zalecana długość profilu 2696 mm</v>
      </c>
    </row>
  </sheetData>
  <sheetProtection algorithmName="SHA-512" hashValue="vcNfsIIaWW8KnbzqnGW8OO31YXoahM6x4ZF54X1Byyv/+/mxaGwQMdSXTt44K1f1Kg7U7O+SUsTtrBoSmpW9PQ==" saltValue="ZLY212yk+Rb1UIedqLutbQ==" spinCount="100000" sheet="1" objects="1" scenarios="1" selectLockedCell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6640625" defaultRowHeight="14.85" customHeight="1"/>
  <cols>
    <col min="1" max="5" width="7.6640625" style="6" customWidth="1"/>
    <col min="6" max="6" width="14.44140625" style="6" customWidth="1"/>
    <col min="7" max="9" width="7.6640625" style="6" customWidth="1"/>
    <col min="10" max="10" width="10.5546875" style="6" customWidth="1"/>
    <col min="11" max="11" width="10.33203125" style="6" customWidth="1"/>
    <col min="12" max="12" width="7.6640625" style="6" customWidth="1"/>
    <col min="13" max="13" width="9.44140625" style="6" customWidth="1"/>
    <col min="14" max="14" width="8.5546875" style="6" bestFit="1" customWidth="1"/>
    <col min="15" max="15" width="7.6640625" style="6" customWidth="1"/>
    <col min="16" max="17" width="9.6640625" style="6" customWidth="1"/>
    <col min="18" max="18" width="18.33203125" style="6" customWidth="1"/>
    <col min="19" max="21" width="13.33203125" style="6" customWidth="1"/>
    <col min="22" max="22" width="19.6640625" style="6" customWidth="1"/>
    <col min="23" max="23" width="18.33203125" style="6" customWidth="1"/>
    <col min="24" max="24" width="17.109375" style="6" customWidth="1"/>
    <col min="25" max="26" width="10.33203125" style="6" bestFit="1" customWidth="1"/>
    <col min="27" max="27" width="13.33203125" style="6" customWidth="1"/>
    <col min="28" max="28" width="11.5546875" style="6" customWidth="1"/>
    <col min="29" max="16384" width="7.6640625" style="6"/>
  </cols>
  <sheetData>
    <row r="1" spans="20:26" ht="8.85" customHeight="1"/>
    <row r="2" spans="20:26" ht="11.85" customHeight="1"/>
    <row r="3" spans="20:26" ht="14.4"/>
    <row r="4" spans="20:26" ht="14.4"/>
    <row r="5" spans="20:26" ht="14.4"/>
    <row r="6" spans="20:26" ht="14.4"/>
    <row r="7" spans="20:26" ht="14.4"/>
    <row r="8" spans="20:26" ht="14.4"/>
    <row r="9" spans="20:26" ht="14.4"/>
    <row r="10" spans="20:26" ht="14.4"/>
    <row r="11" spans="20:26" ht="14.4">
      <c r="T11" s="416" t="s">
        <v>4389</v>
      </c>
      <c r="V11" s="417">
        <v>800</v>
      </c>
      <c r="W11" s="417">
        <v>1400</v>
      </c>
      <c r="Y11" s="417">
        <v>2300</v>
      </c>
      <c r="Z11" s="417">
        <v>2750</v>
      </c>
    </row>
    <row r="12" spans="20:26" ht="14.4"/>
    <row r="13" spans="20:26" ht="14.4">
      <c r="T13" s="416" t="s">
        <v>4389</v>
      </c>
      <c r="V13" s="417">
        <v>800</v>
      </c>
      <c r="W13" s="417">
        <v>800</v>
      </c>
      <c r="Y13" s="520">
        <v>750</v>
      </c>
      <c r="Z13" s="521"/>
    </row>
    <row r="14" spans="20:26" ht="16.5" customHeight="1"/>
    <row r="15" spans="20:26" ht="14.4"/>
    <row r="16" spans="20:26" ht="18.75" customHeight="1"/>
    <row r="17" spans="3:36" ht="1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522">
        <v>20</v>
      </c>
      <c r="Z22" s="715"/>
    </row>
    <row r="23" spans="3:36" ht="15.75" customHeight="1"/>
    <row r="24" spans="3:36" ht="14.85" customHeight="1">
      <c r="C24" s="1"/>
      <c r="D24" s="1"/>
      <c r="E24" s="1"/>
      <c r="F24" s="1"/>
      <c r="G24" s="1"/>
      <c r="H24" s="1"/>
      <c r="I24" s="12"/>
      <c r="J24" s="12"/>
      <c r="K24" s="1"/>
      <c r="L24" s="1"/>
      <c r="M24" s="1"/>
      <c r="N24" s="1"/>
      <c r="O24" s="1"/>
      <c r="P24" s="1"/>
      <c r="R24" s="494" t="s">
        <v>4447</v>
      </c>
      <c r="S24" s="1"/>
    </row>
    <row r="25" spans="3:36" ht="14.85" customHeight="1">
      <c r="I25" s="303" t="s">
        <v>4444</v>
      </c>
      <c r="J25" s="441" t="s">
        <v>4445</v>
      </c>
      <c r="K25" s="1" t="s">
        <v>4402</v>
      </c>
      <c r="L25" s="522" t="s">
        <v>4446</v>
      </c>
      <c r="M25" s="523"/>
      <c r="N25" s="523"/>
      <c r="O25" s="523"/>
      <c r="P25" s="524"/>
      <c r="Q25" s="8"/>
      <c r="R25" s="494"/>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4.4">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4485</v>
      </c>
    </row>
    <row r="36" spans="3:29" ht="28.95"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4.4">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4478</v>
      </c>
      <c r="W68" s="342" t="s">
        <v>4479</v>
      </c>
    </row>
    <row r="69" spans="6:26" ht="14.85" customHeight="1">
      <c r="R69" s="10"/>
      <c r="S69" s="427"/>
      <c r="T69" s="427"/>
      <c r="U69" s="339" t="s">
        <v>3648</v>
      </c>
      <c r="V69" s="336" t="s">
        <v>4477</v>
      </c>
      <c r="W69" s="343" t="s">
        <v>4483</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182880</xdr:rowOff>
                  </from>
                  <to>
                    <xdr:col>0</xdr:col>
                    <xdr:colOff>365760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4.4" zeroHeight="1"/>
  <cols>
    <col min="1" max="28" width="8.5546875" style="1" customWidth="1"/>
    <col min="29" max="32" width="9.109375" style="1" customWidth="1"/>
    <col min="33" max="16384" width="9.10937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399999999999999">
      <c r="A2" s="39"/>
      <c r="B2" s="39"/>
      <c r="C2" s="39"/>
      <c r="D2" s="39"/>
      <c r="E2" s="39"/>
      <c r="F2" s="39"/>
      <c r="G2" s="39"/>
      <c r="H2" s="39"/>
      <c r="I2" s="39"/>
      <c r="J2" s="39"/>
      <c r="K2" s="724" t="str">
        <f>'Translate&amp;Prices&amp;Logo'!$B$310</f>
        <v>Rysunki profili i okuć łączących</v>
      </c>
      <c r="L2" s="724"/>
      <c r="M2" s="724"/>
      <c r="N2" s="724"/>
      <c r="O2" s="724"/>
      <c r="P2" s="724"/>
      <c r="Q2" s="724"/>
      <c r="R2" s="206"/>
      <c r="S2" s="206"/>
      <c r="T2" s="206"/>
      <c r="U2" s="39"/>
      <c r="V2" s="39"/>
      <c r="W2" s="15"/>
      <c r="X2" s="15"/>
      <c r="Y2" s="15"/>
      <c r="Z2" s="15"/>
      <c r="AA2" s="15"/>
      <c r="AB2" s="15"/>
      <c r="AC2" s="722" t="str">
        <f>'Translate&amp;Prices&amp;Logo'!$B$540</f>
        <v>Wprowadzenie</v>
      </c>
      <c r="AD2" s="723"/>
      <c r="AE2" s="723"/>
      <c r="AF2" s="723"/>
    </row>
    <row r="3" spans="1:32" ht="20.399999999999999">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21" t="str">
        <f>'Translate&amp;Prices&amp;Logo'!$B$233</f>
        <v>Wąska ALU ramka</v>
      </c>
      <c r="C8" s="721"/>
      <c r="D8" s="721"/>
      <c r="E8" s="721"/>
      <c r="F8" s="721"/>
      <c r="G8" s="721"/>
      <c r="V8" s="727" t="str">
        <f>'Translate&amp;Prices&amp;Logo'!$B$316</f>
        <v>Rysunki profili</v>
      </c>
      <c r="W8" s="727"/>
      <c r="X8" s="727"/>
      <c r="Y8" s="727"/>
      <c r="Z8" s="727"/>
      <c r="AA8" s="727"/>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4526</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21" t="str">
        <f>'Translate&amp;Prices&amp;Logo'!$B$234</f>
        <v>Szeroka ALU ramka</v>
      </c>
      <c r="C37" s="721"/>
      <c r="D37" s="721"/>
      <c r="E37" s="721"/>
      <c r="F37" s="721"/>
      <c r="G37" s="721"/>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 customHeight="1">
      <c r="F51" s="335"/>
      <c r="G51" s="335"/>
      <c r="H51" s="335"/>
      <c r="K51" s="335"/>
      <c r="L51" s="335"/>
      <c r="N51" s="720"/>
      <c r="O51" s="720"/>
      <c r="P51" s="720"/>
    </row>
    <row r="52" spans="2:43" ht="14.4"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21" t="str">
        <f>'Translate&amp;Prices&amp;Logo'!$B$294</f>
        <v>Minimalna odległość umieszczenia zawiasu</v>
      </c>
      <c r="W53" s="721"/>
      <c r="X53" s="721"/>
      <c r="Y53" s="721"/>
      <c r="Z53" s="721"/>
      <c r="AA53" s="721"/>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 customHeight="1">
      <c r="B67" s="720" t="s">
        <v>1417</v>
      </c>
      <c r="C67" s="720"/>
      <c r="D67" s="720"/>
      <c r="F67" s="720" t="s">
        <v>1415</v>
      </c>
      <c r="G67" s="720"/>
      <c r="H67" s="720"/>
      <c r="K67" s="335"/>
      <c r="L67" s="335"/>
      <c r="N67" s="720"/>
      <c r="O67" s="720"/>
      <c r="P67" s="720"/>
    </row>
    <row r="68" spans="2:16" ht="14.4" customHeight="1">
      <c r="B68" s="720"/>
      <c r="C68" s="720"/>
      <c r="D68" s="720"/>
      <c r="F68" s="720"/>
      <c r="G68" s="720"/>
      <c r="H68" s="720"/>
      <c r="J68" s="335"/>
      <c r="K68" s="335"/>
      <c r="L68" s="335"/>
      <c r="N68" s="720"/>
      <c r="O68" s="720"/>
      <c r="P68" s="720"/>
    </row>
    <row r="69" spans="2:16"/>
    <row r="70" spans="2:16"/>
    <row r="71" spans="2:16"/>
    <row r="72" spans="2:16" ht="18">
      <c r="B72" s="719" t="str">
        <f>'Translate&amp;Prices&amp;Logo'!$B$542</f>
        <v>Połączenie 2 profili</v>
      </c>
      <c r="C72" s="719"/>
      <c r="D72" s="719"/>
      <c r="E72" s="719"/>
      <c r="F72" s="719"/>
      <c r="G72" s="719"/>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719" t="str">
        <f>'Translate&amp;Prices&amp;Logo'!$B$543</f>
        <v>Szprosy</v>
      </c>
      <c r="C92" s="719"/>
      <c r="D92" s="719"/>
      <c r="E92" s="719"/>
      <c r="F92" s="719"/>
      <c r="G92" s="719"/>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J33:L34"/>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13" customWidth="1"/>
    <col min="32" max="32" width="4.44140625" style="11"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12" hidden="1" customWidth="1"/>
    <col min="54" max="54" width="8.5546875" style="12"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38"/>
      <c r="B1" s="38"/>
      <c r="C1" s="38"/>
      <c r="D1" s="38"/>
      <c r="E1" s="38"/>
      <c r="F1" s="38"/>
      <c r="G1" s="38"/>
      <c r="H1" s="38"/>
      <c r="I1" s="38"/>
      <c r="J1" s="38"/>
      <c r="K1" s="38"/>
      <c r="L1" s="38"/>
      <c r="M1" s="38"/>
      <c r="N1" s="38"/>
      <c r="O1" s="38"/>
      <c r="P1" s="38"/>
      <c r="Q1" s="38"/>
      <c r="R1" s="38"/>
      <c r="S1" s="38"/>
      <c r="T1" s="38"/>
      <c r="U1" s="38"/>
      <c r="V1" s="38"/>
      <c r="AM1" s="733">
        <f ca="1">TODAY()</f>
        <v>46176</v>
      </c>
      <c r="AN1" s="553"/>
      <c r="AO1" s="553"/>
      <c r="AP1" s="553"/>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529" t="str">
        <f>'Translate&amp;Prices&amp;Logo'!$B$540</f>
        <v>Wprowadzenie</v>
      </c>
      <c r="AM2" s="530"/>
      <c r="AN2" s="530"/>
      <c r="AO2" s="530"/>
      <c r="AP2" s="530"/>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529"/>
      <c r="AM3" s="530"/>
      <c r="AN3" s="530"/>
      <c r="AO3" s="530"/>
      <c r="AP3" s="530"/>
    </row>
    <row r="4" spans="1:53" ht="14.85" customHeight="1"/>
    <row r="5" spans="1:53" ht="14.85" customHeight="1">
      <c r="B5" s="313" t="str">
        <f>'Translate&amp;Prices&amp;Logo'!$B$249</f>
        <v>Klient</v>
      </c>
      <c r="C5" s="313"/>
      <c r="D5" s="313"/>
      <c r="E5" s="313"/>
      <c r="F5" s="313"/>
      <c r="G5" s="290"/>
      <c r="H5" s="729">
        <f>Zakaznik!$K$13</f>
        <v>0</v>
      </c>
      <c r="I5" s="729"/>
      <c r="J5" s="729"/>
      <c r="K5" s="729"/>
      <c r="L5" s="729"/>
      <c r="M5" s="729"/>
      <c r="N5" s="729"/>
      <c r="Q5" s="730" t="s">
        <v>3611</v>
      </c>
      <c r="R5" s="730"/>
      <c r="S5" s="730"/>
      <c r="T5" s="36"/>
      <c r="U5" s="729">
        <f>Zakaznik!K23</f>
        <v>0</v>
      </c>
      <c r="V5" s="729"/>
      <c r="W5" s="729"/>
      <c r="X5" s="729"/>
      <c r="Y5" s="729"/>
      <c r="Z5" s="729"/>
      <c r="AB5" s="311" t="str">
        <f>'Translate&amp;Prices&amp;Logo'!$B$178</f>
        <v>Cena ramek</v>
      </c>
      <c r="AC5" s="311"/>
      <c r="AD5" s="311"/>
      <c r="AE5" s="311"/>
      <c r="AF5" s="311"/>
      <c r="AG5" s="36"/>
      <c r="AH5" s="736">
        <f>SUM(Ram_1!$L$30,Ram_2!$L$30,Ram_3!$L$30,Ram_4!$L$30,Ram_5!$L$30,Ram_6!$L$30)</f>
        <v>0</v>
      </c>
      <c r="AI5" s="736"/>
      <c r="AJ5" s="736"/>
      <c r="AK5" s="736"/>
      <c r="AL5" s="736"/>
      <c r="AM5" s="312" t="str">
        <f>VLOOKUP('Translate&amp;Prices&amp;Logo'!D1,kombinace_1!$EV$1:$EW$6,2,0)</f>
        <v>zl</v>
      </c>
      <c r="AN5" s="310"/>
      <c r="AO5" s="737" t="str">
        <f>IF(U5="Dostawa na adres","Cennik transportu - kliknij tutaj","")</f>
        <v/>
      </c>
      <c r="AP5" s="737"/>
      <c r="AQ5" s="424"/>
      <c r="AR5" s="424"/>
      <c r="AS5" s="424"/>
    </row>
    <row r="6" spans="1:53" ht="14.85" customHeight="1">
      <c r="B6" s="313" t="str">
        <f>'Translate&amp;Prices&amp;Logo'!$B$253</f>
        <v>NIP</v>
      </c>
      <c r="C6" s="313"/>
      <c r="D6" s="313"/>
      <c r="E6" s="313"/>
      <c r="F6" s="313"/>
      <c r="G6" s="290"/>
      <c r="H6" s="729">
        <f>Zakaznik!$K$15</f>
        <v>0</v>
      </c>
      <c r="I6" s="729"/>
      <c r="J6" s="729"/>
      <c r="K6" s="729"/>
      <c r="L6" s="729"/>
      <c r="M6" s="729"/>
      <c r="N6" s="729"/>
      <c r="Q6" s="730" t="s">
        <v>3612</v>
      </c>
      <c r="R6" s="730"/>
      <c r="S6" s="730"/>
      <c r="T6" s="36"/>
      <c r="U6" s="734">
        <f>Zakaznik!$K$25</f>
        <v>0</v>
      </c>
      <c r="V6" s="734"/>
      <c r="W6" s="734"/>
      <c r="X6" s="734"/>
      <c r="Y6" s="734"/>
      <c r="Z6" s="734"/>
      <c r="AB6" s="735" t="str">
        <f>IF(AND(Hlavní!V39=3,Zakaznik!K23="Dostawa na adres"),"Koszty transportu","")</f>
        <v/>
      </c>
      <c r="AC6" s="735"/>
      <c r="AD6" s="735"/>
      <c r="AE6" s="735"/>
      <c r="AF6" s="735"/>
      <c r="AG6" s="36"/>
      <c r="AH6" s="731">
        <f>IF(AND(Hlavní!V39=3,Zakaznik!K23="Dostawa na adres"),'kalkulace dopravy'!U2,0)</f>
        <v>0</v>
      </c>
      <c r="AI6" s="731"/>
      <c r="AJ6" s="731"/>
      <c r="AK6" s="731"/>
      <c r="AL6" s="731"/>
      <c r="AM6" s="312" t="s">
        <v>3610</v>
      </c>
      <c r="AO6" s="737"/>
      <c r="AP6" s="737"/>
      <c r="AQ6" s="424"/>
      <c r="AR6" s="424"/>
      <c r="AS6" s="424"/>
    </row>
    <row r="7" spans="1:53" ht="14.85" customHeight="1">
      <c r="B7" s="313" t="str">
        <f>'Translate&amp;Prices&amp;Logo'!$B$250</f>
        <v>Telefon kontaktowy</v>
      </c>
      <c r="C7" s="313"/>
      <c r="D7" s="313"/>
      <c r="E7" s="313"/>
      <c r="F7" s="313"/>
      <c r="G7" s="290"/>
      <c r="H7" s="729">
        <f>Zakaznik!$K$17</f>
        <v>0</v>
      </c>
      <c r="I7" s="729"/>
      <c r="J7" s="729"/>
      <c r="K7" s="729"/>
      <c r="L7" s="729"/>
      <c r="M7" s="729"/>
      <c r="N7" s="729"/>
      <c r="U7" s="734">
        <f>Zakaznik!$K$26</f>
        <v>0</v>
      </c>
      <c r="V7" s="734"/>
      <c r="W7" s="734"/>
      <c r="X7" s="734"/>
      <c r="Y7" s="734"/>
      <c r="Z7" s="734"/>
      <c r="AA7" s="30"/>
      <c r="AB7" s="730" t="str">
        <f>IF(AND(Hlavní!V39=3,Zakaznik!K23="Dostawa na adres"),"Cena razem","")</f>
        <v/>
      </c>
      <c r="AC7" s="730"/>
      <c r="AD7" s="730"/>
      <c r="AE7" s="730"/>
      <c r="AF7" s="730"/>
      <c r="AG7" s="36"/>
      <c r="AH7" s="731">
        <f>SUM(AH5:AL6)</f>
        <v>0</v>
      </c>
      <c r="AI7" s="731"/>
      <c r="AJ7" s="731"/>
      <c r="AK7" s="731"/>
      <c r="AL7" s="731"/>
      <c r="AM7" s="312" t="s">
        <v>3610</v>
      </c>
      <c r="AO7" s="737"/>
      <c r="AP7" s="737"/>
    </row>
    <row r="8" spans="1:53" ht="14.85" customHeight="1">
      <c r="K8" s="305"/>
      <c r="L8" s="305"/>
      <c r="M8" s="305"/>
      <c r="N8" s="305"/>
      <c r="O8" s="305"/>
      <c r="Q8" s="31"/>
      <c r="R8" s="306"/>
      <c r="S8" s="306"/>
      <c r="T8" s="306"/>
      <c r="U8" s="734">
        <f>Zakaznik!$K$27</f>
        <v>0</v>
      </c>
      <c r="V8" s="734"/>
      <c r="W8" s="734"/>
      <c r="X8" s="734"/>
      <c r="Y8" s="734"/>
      <c r="Z8" s="734"/>
      <c r="AA8" s="30"/>
      <c r="AB8" s="30"/>
      <c r="AC8" s="31"/>
      <c r="AE8" s="309"/>
      <c r="AF8" s="309"/>
      <c r="AG8" s="309"/>
      <c r="AH8" s="309"/>
      <c r="AI8" s="309"/>
      <c r="AJ8" s="309"/>
    </row>
    <row r="9" spans="1:53" ht="15" customHeight="1">
      <c r="B9" s="730" t="str">
        <f>'Translate&amp;Prices&amp;Logo'!$B$254</f>
        <v>Rabat na ramki</v>
      </c>
      <c r="C9" s="730"/>
      <c r="D9" s="730"/>
      <c r="E9" s="730"/>
      <c r="F9" s="730"/>
      <c r="G9" s="290"/>
      <c r="H9" s="732">
        <f>Zakaznik!$K$21</f>
        <v>0</v>
      </c>
      <c r="I9" s="732"/>
      <c r="J9" s="732"/>
      <c r="K9" s="732"/>
      <c r="L9" s="732"/>
      <c r="M9" s="732"/>
      <c r="N9" s="732"/>
      <c r="AB9" s="685" t="str">
        <f>IF(ISTEXT(AH6)=TRUE,VLOOKUP(AH6,'kalkulace dopravy'!X2:Y4,2,0),"")</f>
        <v/>
      </c>
      <c r="AC9" s="685"/>
      <c r="AD9" s="685"/>
      <c r="AE9" s="685"/>
      <c r="AF9" s="685"/>
      <c r="AG9" s="685"/>
      <c r="AH9" s="685"/>
      <c r="AI9" s="685"/>
      <c r="AJ9" s="685"/>
      <c r="AK9" s="685"/>
      <c r="AL9" s="685"/>
      <c r="AM9" s="685"/>
      <c r="AN9" s="685"/>
      <c r="AO9" s="685"/>
      <c r="AP9" s="323"/>
      <c r="AU9" s="1">
        <f>IF(Hlavní!$V$39=3,1,2)</f>
        <v>1</v>
      </c>
    </row>
    <row r="10" spans="1:53" ht="15" customHeight="1">
      <c r="B10" s="315">
        <f>Zakaznik!$K$21</f>
        <v>0</v>
      </c>
      <c r="C10" s="97"/>
      <c r="D10" s="97"/>
      <c r="E10" s="97"/>
      <c r="F10" s="97"/>
      <c r="AB10" s="685"/>
      <c r="AC10" s="685"/>
      <c r="AD10" s="685"/>
      <c r="AE10" s="685"/>
      <c r="AF10" s="685"/>
      <c r="AG10" s="685"/>
      <c r="AH10" s="685"/>
      <c r="AI10" s="685"/>
      <c r="AJ10" s="685"/>
      <c r="AK10" s="685"/>
      <c r="AL10" s="685"/>
      <c r="AM10" s="685"/>
      <c r="AN10" s="685"/>
      <c r="AO10" s="685"/>
      <c r="AP10" s="323"/>
      <c r="AU10" s="1">
        <f>IF(Zakaznik!K23="Dostawa na adres",1,2)</f>
        <v>2</v>
      </c>
    </row>
    <row r="11" spans="1:53" ht="14.85" customHeight="1" thickBot="1">
      <c r="AK11" s="728"/>
      <c r="AL11" s="728"/>
      <c r="AM11" s="728"/>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8" t="str">
        <f>"&lt; "&amp;'Translate&amp;Prices&amp;Logo'!$B$574&amp;" -- "&amp;Ram_1!$A$2</f>
        <v>&lt; Powrót -- Ramka  1</v>
      </c>
      <c r="E13" s="738"/>
      <c r="F13" s="738"/>
      <c r="G13" s="738"/>
      <c r="H13" s="738"/>
      <c r="BA13" s="1"/>
    </row>
    <row r="14" spans="1:53" ht="14.85" customHeight="1"/>
    <row r="15" spans="1:53" ht="14.85" customHeight="1"/>
    <row r="16" spans="1:53" ht="14.85" customHeight="1">
      <c r="AU16" s="573"/>
    </row>
    <row r="17" spans="47:53" ht="14.85" customHeight="1">
      <c r="AU17" s="573"/>
    </row>
    <row r="18" spans="47:53" ht="14.85" customHeight="1"/>
    <row r="19" spans="47:53" ht="14.85" customHeight="1">
      <c r="AU19" s="573"/>
      <c r="BA19" s="1"/>
    </row>
    <row r="20" spans="47:53" ht="14.85" customHeight="1">
      <c r="AU20" s="573"/>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4.4"/>
    <row r="40" spans="2:41" ht="14.4">
      <c r="D40" s="738" t="str">
        <f>"&lt; "&amp;'Translate&amp;Prices&amp;Logo'!$B$574&amp;" -- "&amp;Ram_2!$A$2</f>
        <v>&lt; Powrót -- Ramka  2</v>
      </c>
      <c r="E40" s="738"/>
      <c r="F40" s="738"/>
      <c r="G40" s="738"/>
      <c r="H40" s="738"/>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4.4"/>
    <row r="67" spans="2:41" ht="14.4">
      <c r="D67" s="738" t="str">
        <f>"&lt; "&amp;'Translate&amp;Prices&amp;Logo'!$B$574&amp;" -- "&amp;Ram_3!$A$2</f>
        <v>&lt; Powrót -- Ramka  3</v>
      </c>
      <c r="E67" s="738"/>
      <c r="F67" s="738"/>
      <c r="G67" s="738"/>
      <c r="H67" s="738"/>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8" t="str">
        <f>"&lt; "&amp;'Translate&amp;Prices&amp;Logo'!$B$574&amp;" -- "&amp;Ram_4!$A$2</f>
        <v>&lt; Powrót -- Ramka  4</v>
      </c>
      <c r="E94" s="738"/>
      <c r="F94" s="738"/>
      <c r="G94" s="738"/>
      <c r="H94" s="738"/>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8" t="str">
        <f>"&lt; "&amp;'Translate&amp;Prices&amp;Logo'!$B$574&amp;" -- "&amp;Ram_5!$A$2</f>
        <v>&lt; Powrót -- Ramka  5</v>
      </c>
      <c r="E121" s="738"/>
      <c r="F121" s="738"/>
      <c r="G121" s="738"/>
      <c r="H121" s="738"/>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8" t="str">
        <f>"&lt; "&amp;'Translate&amp;Prices&amp;Logo'!$B$574&amp;" -- "&amp;Ram_6!$A$2</f>
        <v>&lt; Powrót -- Ramka  6</v>
      </c>
      <c r="E148" s="738"/>
      <c r="F148" s="738"/>
      <c r="G148" s="738"/>
      <c r="H148" s="738"/>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4140625" style="1" customWidth="1"/>
    <col min="31" max="31" width="4.44140625" style="13" customWidth="1"/>
    <col min="32" max="32" width="4.44140625" style="11" customWidth="1"/>
    <col min="33" max="50" width="4.44140625" style="1" customWidth="1"/>
    <col min="51" max="16384" width="8.5546875" style="1" hidden="1"/>
  </cols>
  <sheetData>
    <row r="1" spans="1:50" ht="14.4">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2" t="str">
        <f>'Translate&amp;Prices&amp;Logo'!$B$540</f>
        <v>Wprowadzenie</v>
      </c>
      <c r="AU2" s="742"/>
      <c r="AV2" s="742"/>
      <c r="AW2" s="742"/>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2"/>
      <c r="AU3" s="742"/>
      <c r="AV3" s="742"/>
      <c r="AW3" s="742"/>
      <c r="AX3" s="39"/>
    </row>
    <row r="4" spans="1:50" ht="6.6" customHeight="1">
      <c r="A4" s="38"/>
      <c r="B4" s="38"/>
      <c r="C4" s="38"/>
      <c r="D4" s="38"/>
      <c r="E4" s="38"/>
      <c r="F4" s="38"/>
      <c r="G4" s="38"/>
      <c r="H4" s="38"/>
      <c r="I4" s="38"/>
      <c r="P4" s="743"/>
      <c r="Q4" s="743"/>
      <c r="R4" s="743"/>
      <c r="S4" s="743"/>
      <c r="T4" s="743"/>
      <c r="U4" s="743"/>
      <c r="V4" s="743"/>
      <c r="W4" s="743"/>
      <c r="X4" s="743"/>
      <c r="Y4" s="743"/>
      <c r="Z4" s="743"/>
      <c r="AA4" s="743"/>
      <c r="AB4" s="743"/>
      <c r="AC4" s="743"/>
      <c r="AD4" s="743"/>
      <c r="AP4" s="38"/>
      <c r="AQ4" s="38"/>
      <c r="AR4" s="38"/>
      <c r="AS4" s="38"/>
      <c r="AT4" s="38"/>
      <c r="AU4" s="38"/>
      <c r="AV4" s="38"/>
      <c r="AW4" s="38"/>
    </row>
    <row r="5" spans="1:50" ht="15" customHeight="1">
      <c r="A5" s="38"/>
      <c r="B5" s="38"/>
      <c r="C5" s="38"/>
      <c r="D5" s="38"/>
      <c r="E5" s="38"/>
      <c r="F5" s="38"/>
      <c r="G5" s="38"/>
      <c r="H5" s="38"/>
      <c r="I5" s="38"/>
      <c r="P5" s="743"/>
      <c r="Q5" s="743"/>
      <c r="R5" s="743"/>
      <c r="S5" s="743"/>
      <c r="T5" s="743"/>
      <c r="U5" s="743"/>
      <c r="V5" s="743"/>
      <c r="W5" s="743"/>
      <c r="X5" s="743"/>
      <c r="Y5" s="743"/>
      <c r="Z5" s="743"/>
      <c r="AA5" s="743"/>
      <c r="AB5" s="743"/>
      <c r="AC5" s="743"/>
      <c r="AD5" s="743"/>
      <c r="AP5" s="38"/>
      <c r="AQ5" s="38"/>
      <c r="AR5" s="38"/>
      <c r="AS5" s="38"/>
      <c r="AT5" s="38"/>
      <c r="AU5" s="38"/>
      <c r="AV5" s="38"/>
      <c r="AW5" s="38"/>
    </row>
    <row r="6" spans="1:50" ht="14.4">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4"/>
      <c r="AR29" s="744"/>
      <c r="AS29" s="744"/>
    </row>
    <row r="30" spans="2:50" ht="17.100000000000001" customHeight="1">
      <c r="B30" s="745" t="s">
        <v>150</v>
      </c>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row>
    <row r="31" spans="2:50" ht="14.4"/>
    <row r="32" spans="2:50" ht="14.4">
      <c r="B32" s="20"/>
      <c r="C32" s="739" t="s">
        <v>139</v>
      </c>
      <c r="D32" s="739"/>
      <c r="E32" s="739"/>
      <c r="F32" s="739"/>
      <c r="G32" s="739"/>
      <c r="H32" s="161"/>
      <c r="I32" s="739" t="s">
        <v>140</v>
      </c>
      <c r="J32" s="739"/>
      <c r="K32" s="739"/>
      <c r="L32" s="739"/>
      <c r="M32" s="739"/>
      <c r="N32" s="161"/>
      <c r="O32" s="739" t="s">
        <v>127</v>
      </c>
      <c r="P32" s="739"/>
      <c r="Q32" s="739"/>
      <c r="R32" s="739"/>
      <c r="S32" s="739"/>
      <c r="T32" s="161"/>
      <c r="U32" s="739" t="s">
        <v>129</v>
      </c>
      <c r="V32" s="739"/>
      <c r="W32" s="739"/>
      <c r="X32" s="739"/>
      <c r="Y32" s="739"/>
      <c r="Z32" s="161"/>
      <c r="AA32" s="739" t="s">
        <v>2190</v>
      </c>
      <c r="AB32" s="739"/>
      <c r="AC32" s="739"/>
      <c r="AD32" s="739"/>
      <c r="AE32" s="739"/>
      <c r="AF32" s="161"/>
      <c r="AG32" s="739" t="s">
        <v>137</v>
      </c>
      <c r="AH32" s="739"/>
      <c r="AI32" s="739"/>
      <c r="AJ32" s="739"/>
      <c r="AK32" s="739"/>
      <c r="AL32" s="161"/>
      <c r="AM32" s="739" t="s">
        <v>138</v>
      </c>
      <c r="AN32" s="739"/>
      <c r="AO32" s="739"/>
      <c r="AP32" s="739"/>
      <c r="AQ32" s="739"/>
      <c r="AR32" s="161"/>
      <c r="AS32" s="739" t="s">
        <v>142</v>
      </c>
      <c r="AT32" s="739"/>
      <c r="AU32" s="739"/>
      <c r="AV32" s="739"/>
      <c r="AW32" s="739"/>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4.4">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1" t="str">
        <f>'Translate&amp;Prices&amp;Logo'!$B$257</f>
        <v>Podgląd kolorów RAL i REF jest orientacyjny !!!</v>
      </c>
      <c r="BD37" s="741"/>
      <c r="BE37" s="741"/>
      <c r="BF37" s="741"/>
      <c r="BG37" s="741"/>
      <c r="BH37" s="741"/>
      <c r="BI37" s="741"/>
      <c r="BJ37" s="741"/>
      <c r="BK37" s="741"/>
      <c r="BL37" s="741"/>
      <c r="BM37" s="741"/>
      <c r="BN37" s="741"/>
      <c r="BO37" s="741"/>
      <c r="BP37" s="741"/>
      <c r="BQ37" s="741"/>
      <c r="BR37" s="741"/>
      <c r="BS37" s="741"/>
    </row>
    <row r="38" spans="2:71" ht="14.85" customHeight="1">
      <c r="B38" s="20"/>
      <c r="C38" s="739" t="s">
        <v>130</v>
      </c>
      <c r="D38" s="739"/>
      <c r="E38" s="739"/>
      <c r="F38" s="739"/>
      <c r="G38" s="739"/>
      <c r="H38" s="161"/>
      <c r="I38" s="739" t="s">
        <v>131</v>
      </c>
      <c r="J38" s="739"/>
      <c r="K38" s="739"/>
      <c r="L38" s="739"/>
      <c r="M38" s="739"/>
      <c r="N38" s="161"/>
      <c r="O38" s="739" t="s">
        <v>134</v>
      </c>
      <c r="P38" s="739"/>
      <c r="Q38" s="739"/>
      <c r="R38" s="739"/>
      <c r="S38" s="739"/>
      <c r="T38" s="161"/>
      <c r="U38" s="739" t="s">
        <v>136</v>
      </c>
      <c r="V38" s="739"/>
      <c r="W38" s="739"/>
      <c r="X38" s="739"/>
      <c r="Y38" s="739"/>
      <c r="Z38" s="161"/>
      <c r="AA38" s="739" t="s">
        <v>133</v>
      </c>
      <c r="AB38" s="739"/>
      <c r="AC38" s="739"/>
      <c r="AD38" s="739"/>
      <c r="AE38" s="739"/>
      <c r="AF38" s="161"/>
      <c r="AG38" s="739" t="s">
        <v>141</v>
      </c>
      <c r="AH38" s="739"/>
      <c r="AI38" s="739"/>
      <c r="AJ38" s="739"/>
      <c r="AK38" s="739"/>
      <c r="AL38" s="161"/>
      <c r="AM38" s="739" t="s">
        <v>2191</v>
      </c>
      <c r="AN38" s="739"/>
      <c r="AO38" s="739"/>
      <c r="AP38" s="739"/>
      <c r="AQ38" s="739"/>
      <c r="AR38" s="161"/>
      <c r="AS38" s="739" t="s">
        <v>2192</v>
      </c>
      <c r="AT38" s="739"/>
      <c r="AU38" s="739"/>
      <c r="AV38" s="739"/>
      <c r="AW38" s="739"/>
      <c r="AX38" s="20"/>
      <c r="BC38" s="740" t="str">
        <f>'Translate&amp;Prices&amp;Logo'!$B$329</f>
        <v>Wzornik szkieł można zamawiać pod kodami Lacebel VZK003P oraz Matelac VZK004P.</v>
      </c>
      <c r="BD38" s="740"/>
      <c r="BE38" s="740"/>
      <c r="BF38" s="740"/>
      <c r="BG38" s="740"/>
      <c r="BH38" s="740"/>
      <c r="BI38" s="740"/>
      <c r="BJ38" s="740"/>
      <c r="BK38" s="740"/>
      <c r="BL38" s="740"/>
      <c r="BM38" s="740"/>
      <c r="BN38" s="740"/>
      <c r="BO38" s="740"/>
      <c r="BP38" s="740"/>
      <c r="BQ38" s="740"/>
      <c r="BR38" s="740"/>
      <c r="BS38" s="740"/>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4.4">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1"/>
      <c r="BD43" s="741"/>
      <c r="BE43" s="741"/>
      <c r="BF43" s="741"/>
      <c r="BG43" s="741"/>
      <c r="BH43" s="741"/>
      <c r="BI43" s="741"/>
      <c r="BJ43" s="741"/>
      <c r="BK43" s="741"/>
      <c r="BL43" s="741"/>
      <c r="BM43" s="741"/>
      <c r="BN43" s="741"/>
      <c r="BO43" s="741"/>
      <c r="BP43" s="741"/>
      <c r="BQ43" s="741"/>
      <c r="BR43" s="741"/>
      <c r="BS43" s="741"/>
    </row>
    <row r="44" spans="2:71" ht="14.85" customHeight="1">
      <c r="B44" s="20"/>
      <c r="C44" s="739" t="s">
        <v>135</v>
      </c>
      <c r="D44" s="739"/>
      <c r="E44" s="739"/>
      <c r="F44" s="739"/>
      <c r="G44" s="739"/>
      <c r="H44" s="161"/>
      <c r="I44" s="739" t="s">
        <v>132</v>
      </c>
      <c r="J44" s="739"/>
      <c r="K44" s="739"/>
      <c r="L44" s="739"/>
      <c r="M44" s="739"/>
      <c r="N44" s="161"/>
      <c r="O44" s="739" t="s">
        <v>143</v>
      </c>
      <c r="P44" s="739"/>
      <c r="Q44" s="739"/>
      <c r="R44" s="739"/>
      <c r="S44" s="739"/>
      <c r="T44" s="161"/>
      <c r="U44" s="739" t="s">
        <v>2193</v>
      </c>
      <c r="V44" s="739"/>
      <c r="W44" s="739"/>
      <c r="X44" s="739"/>
      <c r="Y44" s="739"/>
      <c r="Z44" s="161"/>
      <c r="AA44" s="739" t="s">
        <v>128</v>
      </c>
      <c r="AB44" s="739"/>
      <c r="AC44" s="739"/>
      <c r="AD44" s="739"/>
      <c r="AE44" s="739"/>
      <c r="AF44" s="161"/>
      <c r="AG44" s="739" t="s">
        <v>2194</v>
      </c>
      <c r="AH44" s="739"/>
      <c r="AI44" s="739"/>
      <c r="AJ44" s="739"/>
      <c r="AK44" s="739"/>
      <c r="AL44" s="161"/>
      <c r="AM44" s="739" t="s">
        <v>2195</v>
      </c>
      <c r="AN44" s="739"/>
      <c r="AO44" s="739"/>
      <c r="AP44" s="739"/>
      <c r="AQ44" s="739"/>
      <c r="AR44" s="161"/>
      <c r="AS44" s="739" t="s">
        <v>2196</v>
      </c>
      <c r="AT44" s="739"/>
      <c r="AU44" s="739"/>
      <c r="AV44" s="739"/>
      <c r="AW44" s="739"/>
      <c r="AX44" s="20"/>
      <c r="BC44" s="740"/>
      <c r="BD44" s="740"/>
      <c r="BE44" s="740"/>
      <c r="BF44" s="740"/>
      <c r="BG44" s="740"/>
      <c r="BH44" s="740"/>
      <c r="BI44" s="740"/>
      <c r="BJ44" s="740"/>
      <c r="BK44" s="740"/>
      <c r="BL44" s="740"/>
      <c r="BM44" s="740"/>
      <c r="BN44" s="740"/>
      <c r="BO44" s="740"/>
      <c r="BP44" s="740"/>
      <c r="BQ44" s="740"/>
      <c r="BR44" s="740"/>
      <c r="BS44" s="740"/>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4.4">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1"/>
      <c r="BD49" s="741"/>
      <c r="BE49" s="741"/>
      <c r="BF49" s="741"/>
      <c r="BG49" s="741"/>
      <c r="BH49" s="741"/>
      <c r="BI49" s="741"/>
      <c r="BJ49" s="741"/>
      <c r="BK49" s="741"/>
      <c r="BL49" s="741"/>
      <c r="BM49" s="741"/>
      <c r="BN49" s="741"/>
      <c r="BO49" s="741"/>
      <c r="BP49" s="741"/>
      <c r="BQ49" s="741"/>
      <c r="BR49" s="741"/>
      <c r="BS49" s="741"/>
    </row>
    <row r="50" spans="2:71" ht="14.85" customHeight="1"/>
    <row r="51" spans="2:71" ht="14.85" customHeight="1"/>
    <row r="52" spans="2:71" ht="17.100000000000001" customHeight="1">
      <c r="B52" s="745" t="s">
        <v>151</v>
      </c>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39" t="s">
        <v>134</v>
      </c>
      <c r="J54" s="739"/>
      <c r="K54" s="739"/>
      <c r="L54" s="739"/>
      <c r="M54" s="739"/>
      <c r="N54" s="161"/>
      <c r="O54" s="739" t="s">
        <v>2197</v>
      </c>
      <c r="P54" s="739"/>
      <c r="Q54" s="739"/>
      <c r="R54" s="739"/>
      <c r="S54" s="739"/>
      <c r="T54" s="161"/>
      <c r="U54" s="739" t="s">
        <v>133</v>
      </c>
      <c r="V54" s="739"/>
      <c r="W54" s="739"/>
      <c r="X54" s="739"/>
      <c r="Y54" s="739"/>
      <c r="Z54" s="161"/>
      <c r="AA54" s="739" t="s">
        <v>2198</v>
      </c>
      <c r="AB54" s="739"/>
      <c r="AC54" s="739"/>
      <c r="AD54" s="739"/>
      <c r="AE54" s="739"/>
      <c r="AF54" s="161"/>
      <c r="AG54" s="739" t="s">
        <v>2199</v>
      </c>
      <c r="AH54" s="739"/>
      <c r="AI54" s="739"/>
      <c r="AJ54" s="739"/>
      <c r="AK54" s="739"/>
      <c r="AL54" s="161"/>
      <c r="AM54" s="739" t="s">
        <v>130</v>
      </c>
      <c r="AN54" s="739"/>
      <c r="AO54" s="739"/>
      <c r="AP54" s="739"/>
      <c r="AQ54" s="739"/>
      <c r="AR54" s="161"/>
      <c r="AS54" s="739"/>
      <c r="AT54" s="739"/>
      <c r="AU54" s="739"/>
      <c r="AV54" s="739"/>
      <c r="AW54" s="739"/>
      <c r="AX54" s="20"/>
      <c r="BC54" s="740"/>
      <c r="BD54" s="740"/>
      <c r="BE54" s="740"/>
      <c r="BF54" s="740"/>
      <c r="BG54" s="740"/>
      <c r="BH54" s="740"/>
      <c r="BI54" s="740"/>
      <c r="BJ54" s="740"/>
      <c r="BK54" s="740"/>
      <c r="BL54" s="740"/>
      <c r="BM54" s="740"/>
      <c r="BN54" s="740"/>
      <c r="BO54" s="740"/>
      <c r="BP54" s="740"/>
      <c r="BQ54" s="740"/>
      <c r="BR54" s="740"/>
      <c r="BS54" s="740"/>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4.4">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1"/>
      <c r="BD59" s="741"/>
      <c r="BE59" s="741"/>
      <c r="BF59" s="741"/>
      <c r="BG59" s="741"/>
      <c r="BH59" s="741"/>
      <c r="BI59" s="741"/>
      <c r="BJ59" s="741"/>
      <c r="BK59" s="741"/>
      <c r="BL59" s="741"/>
      <c r="BM59" s="741"/>
      <c r="BN59" s="741"/>
      <c r="BO59" s="741"/>
      <c r="BP59" s="741"/>
      <c r="BQ59" s="741"/>
      <c r="BR59" s="741"/>
      <c r="BS59" s="741"/>
    </row>
    <row r="60" spans="2:71" ht="14.85" customHeight="1">
      <c r="Q60" s="553"/>
      <c r="R60" s="553"/>
      <c r="S60" s="553"/>
    </row>
    <row r="62" spans="2:71" ht="16.5" customHeight="1">
      <c r="B62" s="745" t="str">
        <f>'Translate&amp;Prices&amp;Logo'!$B$653</f>
        <v>Wypełnienie z siatki</v>
      </c>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6" spans="2:2" ht="16.5" customHeight="1">
      <c r="B66" s="1" t="str">
        <f>CONCATENATE('Translate&amp;Prices&amp;Logo'!B164," - ",'Translate&amp;Prices&amp;Logo'!$B$670)</f>
        <v>siatka alu złota - oko 10x6x1 mm - przezroczystość 67%</v>
      </c>
    </row>
    <row r="67" spans="2:2" ht="16.5" customHeight="1">
      <c r="B67" s="1" t="str">
        <f>CONCATENATE('Translate&amp;Prices&amp;Logo'!B165," - ",'Translate&amp;Prices&amp;Logo'!$B$669)</f>
        <v>siatka stal czarny mat RAL 9005– oko 8x4x1 mm - przezroczystość 50%</v>
      </c>
    </row>
    <row r="68" spans="2:2" ht="16.5" customHeight="1">
      <c r="B68" s="1" t="str">
        <f>CONCATENATE('Translate&amp;Prices&amp;Logo'!B166," - ",'Translate&amp;Prices&amp;Logo'!$B$669)</f>
        <v>siatka stalowa biała - oko 8x4x1 mm - przezroczystość 50%</v>
      </c>
    </row>
    <row r="69" spans="2:2" ht="16.5" customHeight="1">
      <c r="B69" s="1" t="str">
        <f>CONCATENATE('Translate&amp;Prices&amp;Logo'!B167," - ",'Translate&amp;Prices&amp;Logo'!$B$670)</f>
        <v>siatka elox - oko 10x6x1 mm - przezroczystość 67%</v>
      </c>
    </row>
  </sheetData>
  <sheetProtection algorithmName="SHA-512" hashValue="o/CMLwgY/5qrpoMuLKiWDB4Rk/L7JzyZ9RtU02nI+4JCMSVxESQmhsQUTJlL9DoT4QbLgN6lOnL9Zd7Zv8E38w==" saltValue="jqjxO93LOc0RkJgd0u1kk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13" customWidth="1"/>
    <col min="32" max="32" width="7.6640625" style="11"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ol min="53" max="54" width="8.5546875" style="12" hidden="1"/>
    <col min="55" max="55" width="8.5546875" style="1" hidden="1"/>
    <col min="56" max="57" width="12.5546875" style="1" hidden="1"/>
    <col min="58" max="60" width="8.5546875" style="1" hidden="1"/>
    <col min="61" max="61" width="14.44140625" style="1" hidden="1"/>
    <col min="62" max="62" width="20.33203125" style="1" hidden="1"/>
    <col min="63" max="64" width="8.5546875" style="1" hidden="1"/>
    <col min="65" max="65" width="21.88671875" style="1" hidden="1"/>
    <col min="66" max="88" width="8.5546875" style="1" hidden="1"/>
    <col min="89" max="89" width="34.33203125" style="1" hidden="1"/>
    <col min="90" max="90" width="25" style="1" hidden="1"/>
    <col min="91" max="16384" width="8.5546875" style="1" hidden="1"/>
  </cols>
  <sheetData>
    <row r="1" spans="1:90" ht="14.4">
      <c r="A1" s="38"/>
      <c r="B1" s="38"/>
      <c r="C1" s="38"/>
      <c r="D1" s="38"/>
      <c r="E1" s="38"/>
      <c r="F1" s="38"/>
      <c r="G1" s="38"/>
      <c r="H1" s="38"/>
      <c r="I1" s="38"/>
      <c r="J1" s="38"/>
      <c r="K1" s="38"/>
      <c r="L1" s="38"/>
      <c r="M1" s="38"/>
      <c r="N1" s="38"/>
      <c r="O1" s="38"/>
      <c r="P1" s="38"/>
      <c r="Q1" s="38"/>
      <c r="R1" s="38"/>
      <c r="S1" s="38"/>
      <c r="T1" s="38"/>
      <c r="U1" s="38"/>
      <c r="V1" s="38"/>
      <c r="AO1" s="733">
        <f ca="1">_souhrn!AM1</f>
        <v>46176</v>
      </c>
      <c r="AP1" s="553"/>
      <c r="AQ1" s="553"/>
      <c r="AR1" s="553"/>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529"/>
      <c r="AO2" s="530"/>
      <c r="AP2" s="530"/>
      <c r="AQ2" s="530"/>
      <c r="AR2" s="530"/>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529"/>
      <c r="AO3" s="530"/>
      <c r="AP3" s="530"/>
      <c r="AQ3" s="530"/>
      <c r="AR3" s="530"/>
      <c r="CK3" t="s">
        <v>2574</v>
      </c>
      <c r="CL3" t="s">
        <v>2574</v>
      </c>
    </row>
    <row r="4" spans="1:90" ht="32.25" customHeight="1">
      <c r="X4" s="783">
        <f>IF(AND(Hlavní!V39=3,Zakaznik!K23="Dostawa na adres"),_souhrn!AH$7,_souhrn!AH$5)</f>
        <v>0</v>
      </c>
      <c r="Y4" s="784"/>
      <c r="Z4" s="784"/>
      <c r="AA4" s="784"/>
      <c r="AB4" s="784"/>
      <c r="AC4" s="784"/>
      <c r="AD4" s="784"/>
      <c r="AE4" s="784"/>
      <c r="AF4" s="785" t="str">
        <f>VLOOKUP('Translate&amp;Prices&amp;Logo'!D1,kombinace_1!$EV$1:$EW$6,2,0)</f>
        <v>zl</v>
      </c>
      <c r="AG4" s="136"/>
      <c r="AH4" s="136"/>
      <c r="AI4" s="136"/>
      <c r="AJ4" s="136"/>
      <c r="AK4" s="136"/>
      <c r="AL4" s="136"/>
      <c r="AM4" s="136"/>
      <c r="AN4" s="137"/>
      <c r="AO4" s="136"/>
      <c r="AP4" s="136"/>
      <c r="AQ4" s="136"/>
      <c r="CK4" t="s">
        <v>1334</v>
      </c>
      <c r="CL4" t="s">
        <v>4371</v>
      </c>
    </row>
    <row r="5" spans="1:90" ht="14.85" customHeight="1">
      <c r="B5" s="748" t="s">
        <v>3609</v>
      </c>
      <c r="C5" s="748"/>
      <c r="D5" s="782">
        <f>Zakaznik!K23</f>
        <v>0</v>
      </c>
      <c r="E5" s="782"/>
      <c r="F5" s="782"/>
      <c r="G5" s="782"/>
      <c r="H5" s="782"/>
      <c r="I5" s="782"/>
      <c r="J5" s="782"/>
      <c r="K5" s="782"/>
      <c r="L5" s="29"/>
      <c r="M5" s="49" t="str">
        <f>IF(D5="Dostawa na adres",Zakaznik!E13,"")</f>
        <v/>
      </c>
      <c r="N5" s="49"/>
      <c r="O5" s="307" t="str">
        <f>IF(D5="Dostawa na adres",Zakaznik!K13,"")</f>
        <v/>
      </c>
      <c r="P5" s="307"/>
      <c r="Q5" s="307"/>
      <c r="R5" s="307"/>
      <c r="S5" s="307"/>
      <c r="T5" s="307"/>
      <c r="U5" s="307"/>
      <c r="V5" s="20"/>
      <c r="W5" s="20"/>
      <c r="X5" s="784"/>
      <c r="Y5" s="784"/>
      <c r="Z5" s="784"/>
      <c r="AA5" s="784"/>
      <c r="AB5" s="784"/>
      <c r="AC5" s="784"/>
      <c r="AD5" s="784"/>
      <c r="AE5" s="784"/>
      <c r="AF5" s="785"/>
      <c r="AG5" s="136"/>
      <c r="AH5" s="136"/>
      <c r="AI5" s="20"/>
      <c r="AJ5" s="20"/>
      <c r="AL5" s="29"/>
      <c r="AM5" s="29"/>
      <c r="AN5" s="29"/>
      <c r="AO5" s="29"/>
      <c r="CK5" t="s">
        <v>1339</v>
      </c>
      <c r="CL5" t="s">
        <v>4372</v>
      </c>
    </row>
    <row r="6" spans="1:90" ht="14.85" customHeight="1">
      <c r="B6" s="30"/>
      <c r="C6" s="30"/>
      <c r="D6" s="781" t="str">
        <f>IF(Zakaznik!$K$23="Dostawa na adres",Zakaznik!K25,"")</f>
        <v/>
      </c>
      <c r="E6" s="781"/>
      <c r="F6" s="781"/>
      <c r="G6" s="781"/>
      <c r="H6" s="781"/>
      <c r="I6" s="781"/>
      <c r="J6" s="781"/>
      <c r="K6" s="781"/>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81" t="str">
        <f>IF(Zakaznik!$K$23="Dostawa na adres",Zakaznik!K26,"")</f>
        <v/>
      </c>
      <c r="E7" s="781"/>
      <c r="F7" s="781"/>
      <c r="G7" s="781"/>
      <c r="H7" s="781"/>
      <c r="I7" s="781"/>
      <c r="J7" s="781"/>
      <c r="K7" s="781"/>
      <c r="L7" s="49"/>
      <c r="M7" s="49" t="str">
        <f>IF(D5="Dostawa na adres",Zakaznik!E17,"")</f>
        <v/>
      </c>
      <c r="N7" s="49"/>
      <c r="O7" s="49"/>
      <c r="Q7" s="746" t="str">
        <f>IF(D5="Dostawa na adres",Zakaznik!K17,"")</f>
        <v/>
      </c>
      <c r="R7" s="746"/>
      <c r="S7" s="746"/>
      <c r="T7" s="746"/>
      <c r="U7" s="746"/>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81" t="str">
        <f>IF(Zakaznik!$K$23="Dostawa na adres",Zakaznik!K27,"")</f>
        <v/>
      </c>
      <c r="E8" s="781"/>
      <c r="F8" s="781"/>
      <c r="G8" s="781"/>
      <c r="H8" s="781"/>
      <c r="I8" s="781"/>
      <c r="J8" s="781"/>
      <c r="K8" s="781"/>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55" t="str">
        <f>'Translate&amp;Prices&amp;Logo'!$O$256</f>
        <v>Numer zamówienia</v>
      </c>
      <c r="X9" s="755"/>
      <c r="Y9" s="755"/>
      <c r="Z9" s="755"/>
      <c r="AA9" s="755"/>
      <c r="AB9" s="56"/>
      <c r="AC9" s="752">
        <f>Ram_1!AS5</f>
        <v>0</v>
      </c>
      <c r="AD9" s="753"/>
      <c r="AE9" s="753"/>
      <c r="AF9" s="753"/>
      <c r="AG9" s="753"/>
      <c r="AH9" s="753"/>
      <c r="AI9" s="753"/>
      <c r="AJ9" s="753"/>
      <c r="AK9" s="753"/>
      <c r="AL9" s="753"/>
      <c r="AM9" s="753"/>
      <c r="AN9" s="753"/>
      <c r="AO9" s="754"/>
      <c r="AR9" s="766" t="s">
        <v>1606</v>
      </c>
      <c r="CK9" t="s">
        <v>1084</v>
      </c>
      <c r="CL9" t="s">
        <v>2542</v>
      </c>
    </row>
    <row r="10" spans="1:90" ht="16.350000000000001" customHeight="1">
      <c r="A10" s="747" t="str">
        <f>CONCATENATE(AC9,"   ",(IF(X4&gt;0,ROUND(X4,2)&amp;" "&amp;AF4,"")))</f>
        <v xml:space="preserve">0   </v>
      </c>
      <c r="B10" s="747"/>
      <c r="W10" s="751" t="str">
        <f>'Translate&amp;Prices&amp;Logo'!$O$542</f>
        <v>Połączenie 2 profili</v>
      </c>
      <c r="X10" s="751"/>
      <c r="Y10" s="751"/>
      <c r="Z10" s="751"/>
      <c r="AA10" s="751"/>
      <c r="AB10" s="56"/>
      <c r="AC10" s="765" t="str">
        <f>IF(kombinace_1!$H$1=TRUE,"Tak","Nie")</f>
        <v>Nie</v>
      </c>
      <c r="AD10" s="765"/>
      <c r="AE10" s="765"/>
      <c r="AF10" s="765"/>
      <c r="AG10" s="765"/>
      <c r="AH10" s="765"/>
      <c r="AI10" s="765"/>
      <c r="AJ10" s="765"/>
      <c r="AK10" s="765"/>
      <c r="AL10" s="765"/>
      <c r="AM10" s="765"/>
      <c r="AN10" s="765"/>
      <c r="AO10" s="765"/>
      <c r="AR10" s="766"/>
      <c r="CK10" t="s">
        <v>1090</v>
      </c>
      <c r="CL10" t="s">
        <v>1090</v>
      </c>
    </row>
    <row r="11" spans="1:90" ht="16.350000000000001" customHeight="1">
      <c r="A11" s="747"/>
      <c r="B11" s="747"/>
      <c r="W11" s="751" t="str">
        <f>'Translate&amp;Prices&amp;Logo'!$O$172</f>
        <v>Rodzaj profilu</v>
      </c>
      <c r="X11" s="751"/>
      <c r="Y11" s="751"/>
      <c r="Z11" s="751"/>
      <c r="AA11" s="751"/>
      <c r="AB11" s="56"/>
      <c r="AC11" s="750">
        <f>IFERROR(VLOOKUP(Ram_1!$H$8,'Translate&amp;Prices&amp;Logo'!$AA$1:$AB$312,2,0),Ram_1!$H$8)</f>
        <v>0</v>
      </c>
      <c r="AD11" s="750"/>
      <c r="AE11" s="750"/>
      <c r="AF11" s="750"/>
      <c r="AG11" s="750"/>
      <c r="AH11" s="750"/>
      <c r="AI11" s="750"/>
      <c r="AJ11" s="750"/>
      <c r="AK11" s="750"/>
      <c r="AL11" s="750"/>
      <c r="AM11" s="750"/>
      <c r="AN11" s="750"/>
      <c r="AO11" s="750"/>
      <c r="AR11" s="766"/>
      <c r="CK11" t="s">
        <v>1333</v>
      </c>
      <c r="CL11" t="s">
        <v>3080</v>
      </c>
    </row>
    <row r="12" spans="1:90" ht="16.350000000000001" customHeight="1">
      <c r="A12" s="747"/>
      <c r="B12" s="747"/>
      <c r="W12" s="751" t="str">
        <f>'Translate&amp;Prices&amp;Logo'!$O$543</f>
        <v>Szprosy</v>
      </c>
      <c r="X12" s="751"/>
      <c r="Y12" s="751"/>
      <c r="Z12" s="751"/>
      <c r="AA12" s="751"/>
      <c r="AB12" s="56"/>
      <c r="AC12" s="750" t="str" cm="1">
        <f t="array" ref="AC12">IFERROR(VLOOKUP(Ram_1!$AU$10,AU12:AV15,2,0),Nie)</f>
        <v>Nie</v>
      </c>
      <c r="AD12" s="750"/>
      <c r="AE12" s="750"/>
      <c r="AF12" s="750"/>
      <c r="AG12" s="750"/>
      <c r="AH12" s="750"/>
      <c r="AI12" s="750"/>
      <c r="AJ12" s="750"/>
      <c r="AK12" s="750"/>
      <c r="AL12" s="750"/>
      <c r="AM12" s="750"/>
      <c r="AN12" s="750"/>
      <c r="AO12" s="750"/>
      <c r="AR12" s="766"/>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47"/>
      <c r="B13" s="747"/>
      <c r="W13" s="126"/>
      <c r="X13" s="126"/>
      <c r="Y13" s="126"/>
      <c r="Z13" s="126"/>
      <c r="AA13" s="126"/>
      <c r="AB13" s="56"/>
      <c r="AC13" s="767" t="str">
        <f>IF(OR(Ram_1!$AU$10=1,Ram_1!$AU$10=3),'Translate&amp;Prices&amp;Logo'!O558,"")</f>
        <v/>
      </c>
      <c r="AD13" s="767"/>
      <c r="AE13" s="767"/>
      <c r="AF13" s="767"/>
      <c r="AG13" s="767"/>
      <c r="AH13" s="767"/>
      <c r="AI13" s="767"/>
      <c r="AJ13" s="767" t="str">
        <f>IF(OR(Ram_1!$AU$10=2,Ram_1!$AU$10=3),'Translate&amp;Prices&amp;Logo'!O559,"")</f>
        <v/>
      </c>
      <c r="AK13" s="767"/>
      <c r="AL13" s="767"/>
      <c r="AM13" s="767"/>
      <c r="AN13" s="767"/>
      <c r="AO13" s="767"/>
      <c r="AR13" s="766"/>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47"/>
      <c r="B14" s="747"/>
      <c r="W14" s="751" t="str">
        <f>('Translate&amp;Prices&amp;Logo'!$O$543)&amp;" "&amp;"("&amp;'Translate&amp;Prices&amp;Logo'!$O$174&amp;")"</f>
        <v>Szprosy (Ilość sztuk)</v>
      </c>
      <c r="X14" s="751"/>
      <c r="Y14" s="751"/>
      <c r="Z14" s="751"/>
      <c r="AA14" s="751"/>
      <c r="AB14" s="56"/>
      <c r="AC14" s="750">
        <f>Ram_1!$H$11</f>
        <v>0</v>
      </c>
      <c r="AD14" s="750"/>
      <c r="AE14" s="750"/>
      <c r="AF14" s="750"/>
      <c r="AG14" s="750"/>
      <c r="AH14" s="750"/>
      <c r="AI14" s="750"/>
      <c r="AJ14" s="750">
        <f>Ram_1!$M$11</f>
        <v>0</v>
      </c>
      <c r="AK14" s="750"/>
      <c r="AL14" s="750"/>
      <c r="AM14" s="750"/>
      <c r="AN14" s="750"/>
      <c r="AO14" s="750"/>
      <c r="AR14" s="766"/>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47"/>
      <c r="B15" s="747"/>
      <c r="W15" s="751" t="str">
        <f>'Translate&amp;Prices&amp;Logo'!$O$258</f>
        <v>Typ okucia</v>
      </c>
      <c r="X15" s="751"/>
      <c r="Y15" s="751"/>
      <c r="Z15" s="751"/>
      <c r="AA15" s="751"/>
      <c r="AB15" s="56"/>
      <c r="AC15" s="750" t="str">
        <f>IFERROR(VLOOKUP(Ram_1!$AU$9,AZ12:BA13,2,0),Ram_1!$AU$9)</f>
        <v/>
      </c>
      <c r="AD15" s="750"/>
      <c r="AE15" s="750"/>
      <c r="AF15" s="750"/>
      <c r="AG15" s="750"/>
      <c r="AH15" s="750"/>
      <c r="AI15" s="750"/>
      <c r="AJ15" s="750"/>
      <c r="AK15" s="750"/>
      <c r="AL15" s="750"/>
      <c r="AM15" s="750"/>
      <c r="AN15" s="750"/>
      <c r="AO15" s="750"/>
      <c r="AR15" s="766"/>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47"/>
      <c r="B16" s="747"/>
      <c r="W16" s="751" t="str">
        <f>'Translate&amp;Prices&amp;Logo'!$O$544</f>
        <v>Marka okucia</v>
      </c>
      <c r="X16" s="751"/>
      <c r="Y16" s="751"/>
      <c r="Z16" s="751"/>
      <c r="AA16" s="751"/>
      <c r="AB16" s="56"/>
      <c r="AC16" s="750">
        <f>Ram_1!$H$13</f>
        <v>0</v>
      </c>
      <c r="AD16" s="750"/>
      <c r="AE16" s="750"/>
      <c r="AF16" s="750"/>
      <c r="AG16" s="750"/>
      <c r="AH16" s="750"/>
      <c r="AI16" s="750"/>
      <c r="AJ16" s="750"/>
      <c r="AK16" s="750"/>
      <c r="AL16" s="750"/>
      <c r="AM16" s="750"/>
      <c r="AN16" s="750"/>
      <c r="AO16" s="750"/>
      <c r="AR16" s="766"/>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47"/>
      <c r="B17" s="747"/>
      <c r="W17" s="751" t="str">
        <f>'Translate&amp;Prices&amp;Logo'!$O$546</f>
        <v>Nałożenie</v>
      </c>
      <c r="X17" s="751"/>
      <c r="Y17" s="751"/>
      <c r="Z17" s="751"/>
      <c r="AA17" s="751"/>
      <c r="AB17" s="56"/>
      <c r="AC17" s="750">
        <f>IFERROR(VLOOKUP(Ram_1!$H$14,$BD$12:$BE$29,2,0),0)</f>
        <v>0</v>
      </c>
      <c r="AD17" s="750"/>
      <c r="AE17" s="750"/>
      <c r="AF17" s="750"/>
      <c r="AG17" s="750"/>
      <c r="AH17" s="750"/>
      <c r="AI17" s="750"/>
      <c r="AJ17" s="750"/>
      <c r="AK17" s="750"/>
      <c r="AL17" s="750"/>
      <c r="AM17" s="750"/>
      <c r="AN17" s="750"/>
      <c r="AO17" s="750"/>
      <c r="AR17" s="766"/>
      <c r="BD17" s="1" t="s">
        <v>70</v>
      </c>
      <c r="BE17" s="1" t="s">
        <v>1145</v>
      </c>
      <c r="BI17" s="1" t="s">
        <v>281</v>
      </c>
      <c r="BJ17" s="1" t="s">
        <v>215</v>
      </c>
      <c r="BM17" s="1" t="s">
        <v>191</v>
      </c>
      <c r="BN17" s="1" t="s">
        <v>251</v>
      </c>
      <c r="CA17" t="s">
        <v>1212</v>
      </c>
      <c r="CB17" t="s">
        <v>1322</v>
      </c>
      <c r="CK17" t="s">
        <v>1067</v>
      </c>
      <c r="CL17" t="s">
        <v>1067</v>
      </c>
    </row>
    <row r="18" spans="1:90" ht="16.350000000000001" customHeight="1">
      <c r="A18" s="747"/>
      <c r="B18" s="747"/>
      <c r="S18" s="761">
        <f>Ram_1!AR14</f>
        <v>0</v>
      </c>
      <c r="W18" s="751" t="str">
        <f>'Translate&amp;Prices&amp;Logo'!$O$545</f>
        <v>Wariant okucia</v>
      </c>
      <c r="X18" s="751"/>
      <c r="Y18" s="751"/>
      <c r="Z18" s="751"/>
      <c r="AA18" s="751"/>
      <c r="AB18" s="56"/>
      <c r="AC18" s="777">
        <f>IFERROR(VLOOKUP(Ram_1!$H$15,kombinace_1!$ED$2:$EE$758,2,0),Ram_1!$H$15)</f>
        <v>0</v>
      </c>
      <c r="AD18" s="777"/>
      <c r="AE18" s="777"/>
      <c r="AF18" s="777"/>
      <c r="AG18" s="777"/>
      <c r="AH18" s="777"/>
      <c r="AI18" s="777"/>
      <c r="AJ18" s="750" t="str">
        <f>IF(AC18='Translate&amp;Prices&amp;Logo'!C698,VLOOKUP(Ram_1!H17,'Translate&amp;Prices&amp;Logo'!C699:D746,2,0),"")</f>
        <v/>
      </c>
      <c r="AK18" s="750"/>
      <c r="AL18" s="750"/>
      <c r="AM18" s="750"/>
      <c r="AN18" s="750"/>
      <c r="AO18" s="750"/>
      <c r="AR18" s="766"/>
      <c r="BD18" s="1" t="s">
        <v>220</v>
      </c>
      <c r="BE18" s="1" t="s">
        <v>220</v>
      </c>
      <c r="BI18" s="1" t="s">
        <v>1348</v>
      </c>
      <c r="BJ18" s="1" t="s">
        <v>214</v>
      </c>
      <c r="BM18" s="1" t="s">
        <v>192</v>
      </c>
      <c r="BN18" s="1" t="s">
        <v>252</v>
      </c>
      <c r="CA18" t="s">
        <v>1320</v>
      </c>
      <c r="CB18" t="s">
        <v>1320</v>
      </c>
      <c r="CK18" t="s">
        <v>1086</v>
      </c>
      <c r="CL18" t="s">
        <v>3281</v>
      </c>
    </row>
    <row r="19" spans="1:90" ht="16.350000000000001" customHeight="1">
      <c r="A19" s="747"/>
      <c r="B19" s="747"/>
      <c r="S19" s="762">
        <f>Ram_1!AR15</f>
        <v>0</v>
      </c>
      <c r="W19" s="751" t="str">
        <f>'Translate&amp;Prices&amp;Logo'!$O$218</f>
        <v>Wybierz pozycję ramki</v>
      </c>
      <c r="X19" s="751"/>
      <c r="Y19" s="751"/>
      <c r="Z19" s="751"/>
      <c r="AA19" s="751"/>
      <c r="AB19" s="750">
        <f>IFERROR(VLOOKUP(Ram_1!$F$16,BI12:BJ23,2,0),0)</f>
        <v>0</v>
      </c>
      <c r="AC19" s="750"/>
      <c r="AD19" s="750"/>
      <c r="AE19" s="750"/>
      <c r="AF19" s="750"/>
      <c r="AG19" s="778" t="str">
        <f>'Translate&amp;Prices&amp;Logo'!$O$232</f>
        <v>Rodzaj drugiej ramki</v>
      </c>
      <c r="AH19" s="778"/>
      <c r="AI19" s="778"/>
      <c r="AJ19" s="750">
        <f>IFERROR(VLOOKUP(Ram_1!$N$16,BM12:BN41,2,0),0)</f>
        <v>0</v>
      </c>
      <c r="AK19" s="750"/>
      <c r="AL19" s="750"/>
      <c r="AM19" s="750"/>
      <c r="AN19" s="750"/>
      <c r="AO19" s="750"/>
      <c r="AR19" s="766"/>
      <c r="BD19" s="1" t="s">
        <v>221</v>
      </c>
      <c r="BE19" s="1" t="s">
        <v>221</v>
      </c>
      <c r="BI19" s="1" t="s">
        <v>1349</v>
      </c>
      <c r="BJ19" s="1" t="s">
        <v>215</v>
      </c>
      <c r="BM19" s="1" t="s">
        <v>193</v>
      </c>
      <c r="BN19" s="1" t="s">
        <v>253</v>
      </c>
      <c r="CA19" t="s">
        <v>1321</v>
      </c>
      <c r="CB19" t="s">
        <v>1321</v>
      </c>
      <c r="CK19" t="s">
        <v>1081</v>
      </c>
      <c r="CL19" t="s">
        <v>2541</v>
      </c>
    </row>
    <row r="20" spans="1:90" ht="16.350000000000001" customHeight="1">
      <c r="A20" s="747"/>
      <c r="B20" s="747"/>
      <c r="S20" s="762">
        <f>Ram_1!AR16</f>
        <v>0</v>
      </c>
      <c r="W20" s="751" t="str">
        <f>IF(AC15='Translate&amp;Prices&amp;Logo'!O551,'Translate&amp;Prices&amp;Logo'!O238,'Translate&amp;Prices&amp;Logo'!$O$226)</f>
        <v>Umieszczenie</v>
      </c>
      <c r="X20" s="751"/>
      <c r="Y20" s="751"/>
      <c r="Z20" s="751"/>
      <c r="AA20" s="751"/>
      <c r="AB20" s="56"/>
      <c r="AC20" s="779" t="str">
        <f>IFERROR((IF(Ram_1!H12='Translate&amp;Prices&amp;Logo'!B552,VLOOKUP(Ram_1!$N$16,BM42:BN71,2,0),VLOOKUP(Ram_1!$H$17,BM42:BN65,2,0))),"")</f>
        <v/>
      </c>
      <c r="AD20" s="779"/>
      <c r="AE20" s="779"/>
      <c r="AF20" s="779"/>
      <c r="AG20" s="779"/>
      <c r="AH20" s="779"/>
      <c r="AI20" s="779"/>
      <c r="AJ20" s="779"/>
      <c r="AK20" s="779"/>
      <c r="AL20" s="779"/>
      <c r="AM20" s="779"/>
      <c r="AN20" s="779"/>
      <c r="AO20" s="779"/>
      <c r="AR20" s="766"/>
      <c r="BD20" s="1" t="s">
        <v>1145</v>
      </c>
      <c r="BE20" s="1" t="s">
        <v>1145</v>
      </c>
      <c r="BI20" s="1" t="s">
        <v>214</v>
      </c>
      <c r="BJ20" s="1" t="s">
        <v>214</v>
      </c>
      <c r="BM20" s="1" t="s">
        <v>194</v>
      </c>
      <c r="BN20" s="1" t="s">
        <v>254</v>
      </c>
      <c r="CA20" t="s">
        <v>1322</v>
      </c>
      <c r="CB20" t="s">
        <v>1322</v>
      </c>
      <c r="CK20" t="s">
        <v>1061</v>
      </c>
      <c r="CL20" t="s">
        <v>1061</v>
      </c>
    </row>
    <row r="21" spans="1:90" ht="16.350000000000001" customHeight="1">
      <c r="A21" s="747"/>
      <c r="B21" s="747"/>
      <c r="S21" s="762">
        <f>Ram_1!AR17</f>
        <v>0</v>
      </c>
      <c r="W21" s="751" t="str">
        <f>'Translate&amp;Prices&amp;Logo'!$O$547</f>
        <v>Zawiasy do podnośników</v>
      </c>
      <c r="X21" s="751"/>
      <c r="Y21" s="751"/>
      <c r="Z21" s="751"/>
      <c r="AA21" s="751"/>
      <c r="AB21" s="56"/>
      <c r="AC21" s="750">
        <f>IFERROR((VLOOKUP(Ram_1!$H$18,$CK$2:$CL$90,2,0)),Ram_1!$H$18)</f>
        <v>0</v>
      </c>
      <c r="AD21" s="750"/>
      <c r="AE21" s="750"/>
      <c r="AF21" s="750"/>
      <c r="AG21" s="750"/>
      <c r="AH21" s="750"/>
      <c r="AI21" s="750"/>
      <c r="AJ21" s="750"/>
      <c r="AK21" s="750"/>
      <c r="AL21" s="750"/>
      <c r="AM21" s="750"/>
      <c r="AN21" s="750"/>
      <c r="AO21" s="750"/>
      <c r="AR21" s="766"/>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47"/>
      <c r="B22" s="747"/>
      <c r="S22" s="762">
        <f>Ram_1!AR18</f>
        <v>0</v>
      </c>
      <c r="W22" s="751" t="str">
        <f>'Translate&amp;Prices&amp;Logo'!$O$223</f>
        <v>Ilość zawiasów na 1 ramkę</v>
      </c>
      <c r="X22" s="751"/>
      <c r="Y22" s="751"/>
      <c r="Z22" s="751"/>
      <c r="AA22" s="751"/>
      <c r="AB22" s="56"/>
      <c r="AC22" s="750">
        <f>Ram_1!$H$19</f>
        <v>0</v>
      </c>
      <c r="AD22" s="750"/>
      <c r="AE22" s="750"/>
      <c r="AF22" s="750"/>
      <c r="AG22" s="750"/>
      <c r="AH22" s="750"/>
      <c r="AI22" s="750"/>
      <c r="AJ22" s="750"/>
      <c r="AK22" s="750"/>
      <c r="AL22" s="750"/>
      <c r="AM22" s="750"/>
      <c r="AN22" s="750"/>
      <c r="AO22" s="750"/>
      <c r="AR22" s="766"/>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47"/>
      <c r="B23" s="747"/>
      <c r="S23" s="763" t="str">
        <f>'Translate&amp;Prices&amp;Logo'!$O$176</f>
        <v>Wysokość</v>
      </c>
      <c r="W23" s="751" t="str">
        <f>IFERROR(('Translate&amp;Prices&amp;Logo'!$O$242&amp;" "&amp;VLOOKUP(Ram_1!H17,kombinace_1!BY32:CD35,5,0)),"")</f>
        <v/>
      </c>
      <c r="X23" s="751"/>
      <c r="Y23" s="751"/>
      <c r="Z23" s="751"/>
      <c r="AA23" s="751"/>
      <c r="AB23" s="750">
        <f>Ram_1!$F$20</f>
        <v>100</v>
      </c>
      <c r="AC23" s="750"/>
      <c r="AD23" s="750"/>
      <c r="AE23" s="750"/>
      <c r="AF23" s="750"/>
      <c r="AG23" s="751" t="str">
        <f>IFERROR(('Translate&amp;Prices&amp;Logo'!$O$242&amp;" "&amp;VLOOKUP(Ram_1!H17,kombinace_1!$BY$32:$CD$35,6,0)),"")</f>
        <v/>
      </c>
      <c r="AH23" s="751"/>
      <c r="AI23" s="751"/>
      <c r="AJ23" s="751"/>
      <c r="AK23" s="751"/>
      <c r="AL23" s="750">
        <f>Ram_1!$N$20</f>
        <v>100</v>
      </c>
      <c r="AM23" s="750"/>
      <c r="AN23" s="750"/>
      <c r="AO23" s="750"/>
      <c r="AR23" s="766"/>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47"/>
      <c r="B24" s="747"/>
      <c r="S24" s="763">
        <f>Ram_1!AR20</f>
        <v>0</v>
      </c>
      <c r="W24" s="751" t="str">
        <f>'Translate&amp;Prices&amp;Logo'!$O$653</f>
        <v>Wypełnienie z siatki</v>
      </c>
      <c r="X24" s="751"/>
      <c r="Y24" s="751"/>
      <c r="Z24" s="751"/>
      <c r="AA24" s="751"/>
      <c r="AB24" s="56"/>
      <c r="AC24" s="749" t="str">
        <f>IF(kombinace_1!FC2=TRUE,"Tak","Nie")</f>
        <v>Nie</v>
      </c>
      <c r="AD24" s="749"/>
      <c r="AE24" s="749"/>
      <c r="AF24" s="749"/>
      <c r="AG24" s="749"/>
      <c r="AH24" s="749"/>
      <c r="AI24" s="749"/>
      <c r="AJ24" s="749"/>
      <c r="AK24" s="749"/>
      <c r="AL24" s="749"/>
      <c r="AM24" s="749"/>
      <c r="AN24" s="749"/>
      <c r="AO24" s="749"/>
      <c r="AR24" s="766"/>
      <c r="BD24" s="1" t="s">
        <v>1595</v>
      </c>
      <c r="BE24" s="1" t="s">
        <v>220</v>
      </c>
      <c r="BM24" s="1" t="s">
        <v>253</v>
      </c>
      <c r="BN24" s="1" t="s">
        <v>253</v>
      </c>
      <c r="CA24" t="s">
        <v>1399</v>
      </c>
      <c r="CB24" t="s">
        <v>1320</v>
      </c>
      <c r="CK24" t="s">
        <v>1069</v>
      </c>
      <c r="CL24" t="s">
        <v>1069</v>
      </c>
    </row>
    <row r="25" spans="1:90" ht="16.350000000000001" customHeight="1">
      <c r="A25" s="747"/>
      <c r="B25" s="747"/>
      <c r="S25" s="763">
        <f>Ram_1!AR21</f>
        <v>0</v>
      </c>
      <c r="W25" s="751" t="str">
        <f>'Translate&amp;Prices&amp;Logo'!$O$173</f>
        <v>Rodzaj szkła</v>
      </c>
      <c r="X25" s="751"/>
      <c r="Y25" s="751"/>
      <c r="Z25" s="751"/>
      <c r="AA25" s="751"/>
      <c r="AB25" s="56"/>
      <c r="AC25" s="750" t="str">
        <f>IFERROR(VLOOKUP(kombinace_1!$V$1,BX12:BY14,2,0),0)</f>
        <v>Bez modyfikacji</v>
      </c>
      <c r="AD25" s="750"/>
      <c r="AE25" s="750"/>
      <c r="AF25" s="750"/>
      <c r="AG25" s="750"/>
      <c r="AH25" s="750"/>
      <c r="AI25" s="750"/>
      <c r="AJ25" s="750"/>
      <c r="AK25" s="750"/>
      <c r="AL25" s="750"/>
      <c r="AM25" s="750"/>
      <c r="AN25" s="750"/>
      <c r="AO25" s="750"/>
      <c r="AR25" s="766"/>
      <c r="BD25" s="1" t="s">
        <v>1452</v>
      </c>
      <c r="BE25" s="1" t="s">
        <v>221</v>
      </c>
      <c r="BM25" s="1" t="s">
        <v>254</v>
      </c>
      <c r="BN25" s="1" t="s">
        <v>254</v>
      </c>
      <c r="CA25" t="s">
        <v>1400</v>
      </c>
      <c r="CB25" t="s">
        <v>1321</v>
      </c>
      <c r="CK25" t="s">
        <v>1082</v>
      </c>
      <c r="CL25" t="s">
        <v>2982</v>
      </c>
    </row>
    <row r="26" spans="1:90" ht="16.350000000000001" customHeight="1">
      <c r="A26" s="747"/>
      <c r="B26" s="747"/>
      <c r="S26" s="763">
        <f>Ram_1!AR22</f>
        <v>0</v>
      </c>
      <c r="W26" s="751" t="str">
        <f>'Translate&amp;Prices&amp;Logo'!$O$562</f>
        <v>Rodzaj folii</v>
      </c>
      <c r="X26" s="751"/>
      <c r="Y26" s="751"/>
      <c r="Z26" s="751"/>
      <c r="AA26" s="751"/>
      <c r="AB26" s="56"/>
      <c r="AC26" s="750">
        <f>IFERROR(VLOOKUP(Ram_1!$H$24,CA12:CB29,2,0),0)</f>
        <v>0</v>
      </c>
      <c r="AD26" s="750"/>
      <c r="AE26" s="750"/>
      <c r="AF26" s="750"/>
      <c r="AG26" s="750"/>
      <c r="AH26" s="750"/>
      <c r="AI26" s="750"/>
      <c r="AJ26" s="750"/>
      <c r="AK26" s="750"/>
      <c r="AL26" s="750"/>
      <c r="AM26" s="750"/>
      <c r="AN26" s="750"/>
      <c r="AO26" s="750"/>
      <c r="AR26" s="766"/>
      <c r="BD26" s="1" t="s">
        <v>905</v>
      </c>
      <c r="BE26" s="1" t="s">
        <v>1145</v>
      </c>
      <c r="BM26" s="1" t="s">
        <v>1306</v>
      </c>
      <c r="BN26" s="1" t="s">
        <v>1306</v>
      </c>
      <c r="CA26" t="s">
        <v>1401</v>
      </c>
      <c r="CB26" t="s">
        <v>1322</v>
      </c>
      <c r="CK26" t="s">
        <v>1337</v>
      </c>
      <c r="CL26" t="s">
        <v>3083</v>
      </c>
    </row>
    <row r="27" spans="1:90" ht="16.350000000000001" customHeight="1" thickBot="1">
      <c r="A27" s="747"/>
      <c r="B27" s="747"/>
      <c r="S27" s="764">
        <f>Ram_1!AR23</f>
        <v>0</v>
      </c>
      <c r="W27" s="751" t="str">
        <f>'Translate&amp;Prices&amp;Logo'!$O$173</f>
        <v>Rodzaj szkła</v>
      </c>
      <c r="X27" s="751"/>
      <c r="Y27" s="751"/>
      <c r="Z27" s="751"/>
      <c r="AA27" s="751"/>
      <c r="AB27" s="56"/>
      <c r="AC27" s="750">
        <f>IFERROR(VLOOKUP(Ram_1!$H$25,'Translate&amp;Prices&amp;Logo'!$AH$1:$AI$165,2,0),Ram_1!$H$25)</f>
        <v>0</v>
      </c>
      <c r="AD27" s="750"/>
      <c r="AE27" s="750"/>
      <c r="AF27" s="750"/>
      <c r="AG27" s="750"/>
      <c r="AH27" s="750"/>
      <c r="AI27" s="750"/>
      <c r="AJ27" s="750"/>
      <c r="AK27" s="750"/>
      <c r="AL27" s="750"/>
      <c r="AM27" s="750"/>
      <c r="AN27" s="750"/>
      <c r="AO27" s="750"/>
      <c r="AR27" s="766"/>
      <c r="BD27" s="325" t="s">
        <v>3871</v>
      </c>
      <c r="BE27" s="1" t="s">
        <v>220</v>
      </c>
      <c r="BM27" s="1" t="s">
        <v>313</v>
      </c>
      <c r="BN27" s="1" t="s">
        <v>251</v>
      </c>
      <c r="CA27" s="325" t="s">
        <v>1399</v>
      </c>
      <c r="CB27" t="s">
        <v>1320</v>
      </c>
      <c r="CK27" t="s">
        <v>1340</v>
      </c>
      <c r="CL27" t="s">
        <v>3084</v>
      </c>
    </row>
    <row r="28" spans="1:90" ht="16.350000000000001" customHeight="1">
      <c r="A28" s="747"/>
      <c r="B28" s="747"/>
      <c r="W28" s="751" t="str">
        <f>'Translate&amp;Prices&amp;Logo'!$O$549</f>
        <v>Rozstaw uchwytu (mm)</v>
      </c>
      <c r="X28" s="751"/>
      <c r="Y28" s="751"/>
      <c r="Z28" s="751"/>
      <c r="AA28" s="751"/>
      <c r="AB28" s="56"/>
      <c r="AC28" s="750">
        <f>Ram_1!$H$26</f>
        <v>0</v>
      </c>
      <c r="AD28" s="750"/>
      <c r="AE28" s="750"/>
      <c r="AF28" s="750"/>
      <c r="AG28" s="750"/>
      <c r="AH28" s="750"/>
      <c r="AI28" s="750"/>
      <c r="AJ28" s="750"/>
      <c r="AK28" s="750"/>
      <c r="AL28" s="750"/>
      <c r="AM28" s="750"/>
      <c r="AN28" s="750"/>
      <c r="AO28" s="750"/>
      <c r="AR28" s="766"/>
      <c r="BD28" s="325" t="s">
        <v>3872</v>
      </c>
      <c r="BE28" s="1" t="s">
        <v>221</v>
      </c>
      <c r="BM28" s="1" t="s">
        <v>314</v>
      </c>
      <c r="BN28" s="1" t="s">
        <v>252</v>
      </c>
      <c r="CA28" s="325" t="s">
        <v>4073</v>
      </c>
      <c r="CB28" t="s">
        <v>1321</v>
      </c>
      <c r="CK28" t="s">
        <v>1083</v>
      </c>
      <c r="CL28" t="s">
        <v>2983</v>
      </c>
    </row>
    <row r="29" spans="1:90" ht="16.350000000000001" customHeight="1">
      <c r="A29" s="747"/>
      <c r="B29" s="747"/>
      <c r="W29" s="751" t="str">
        <f>'Translate&amp;Prices&amp;Logo'!$O$550</f>
        <v>Umieszczenie uchwytu</v>
      </c>
      <c r="X29" s="751"/>
      <c r="Y29" s="751"/>
      <c r="Z29" s="751"/>
      <c r="AA29" s="751"/>
      <c r="AB29" s="56"/>
      <c r="AC29" s="750">
        <f>IFERROR(VLOOKUP(Ram_1!$H$27,BM42:BN65,2,0),0)</f>
        <v>0</v>
      </c>
      <c r="AD29" s="750"/>
      <c r="AE29" s="750"/>
      <c r="AF29" s="750"/>
      <c r="AG29" s="750"/>
      <c r="AH29" s="750"/>
      <c r="AI29" s="750"/>
      <c r="AJ29" s="750"/>
      <c r="AK29" s="750"/>
      <c r="AL29" s="750"/>
      <c r="AM29" s="750"/>
      <c r="AN29" s="750"/>
      <c r="AO29" s="750"/>
      <c r="AR29" s="766"/>
      <c r="BD29" s="325" t="s">
        <v>3873</v>
      </c>
      <c r="BE29" s="1" t="s">
        <v>1145</v>
      </c>
      <c r="BM29" s="1" t="s">
        <v>315</v>
      </c>
      <c r="BN29" s="1" t="s">
        <v>253</v>
      </c>
      <c r="CA29" s="325" t="s">
        <v>4074</v>
      </c>
      <c r="CB29" t="s">
        <v>1322</v>
      </c>
      <c r="CK29" t="s">
        <v>1089</v>
      </c>
      <c r="CL29" t="s">
        <v>2984</v>
      </c>
    </row>
    <row r="30" spans="1:90" ht="16.350000000000001" customHeight="1">
      <c r="A30" s="747"/>
      <c r="B30" s="747"/>
      <c r="W30" s="751" t="str">
        <f>('Translate&amp;Prices&amp;Logo'!$O$174)&amp;" "&amp;"-"&amp;" "&amp;('Translate&amp;Prices&amp;Logo'!$O$169)&amp;" "&amp;" "&amp;1</f>
        <v>Ilość sztuk - Ramka  1</v>
      </c>
      <c r="X30" s="751"/>
      <c r="Y30" s="751"/>
      <c r="Z30" s="751"/>
      <c r="AA30" s="751"/>
      <c r="AB30" s="56"/>
      <c r="AC30" s="750">
        <f>Ram_1!$H$28</f>
        <v>0</v>
      </c>
      <c r="AD30" s="750"/>
      <c r="AE30" s="750"/>
      <c r="AF30" s="750"/>
      <c r="AG30" s="750"/>
      <c r="AH30" s="750"/>
      <c r="AI30" s="750"/>
      <c r="AJ30" s="750"/>
      <c r="AK30" s="750"/>
      <c r="AL30" s="750"/>
      <c r="AM30" s="750"/>
      <c r="AN30" s="750"/>
      <c r="AO30" s="750"/>
      <c r="AR30" s="766"/>
      <c r="BM30" s="1" t="s">
        <v>316</v>
      </c>
      <c r="BN30" s="1" t="s">
        <v>254</v>
      </c>
      <c r="CK30" s="247" t="s">
        <v>2985</v>
      </c>
      <c r="CL30" t="s">
        <v>4371</v>
      </c>
    </row>
    <row r="31" spans="1:90" ht="16.350000000000001" customHeight="1">
      <c r="A31" s="747"/>
      <c r="B31" s="747"/>
      <c r="AE31" s="1"/>
      <c r="AF31" s="1"/>
      <c r="AR31" s="766"/>
      <c r="BM31" s="1" t="s">
        <v>1254</v>
      </c>
      <c r="BN31" s="1" t="s">
        <v>1306</v>
      </c>
      <c r="CK31" s="247" t="s">
        <v>2986</v>
      </c>
      <c r="CL31" t="s">
        <v>4372</v>
      </c>
    </row>
    <row r="32" spans="1:90" ht="14.85" customHeight="1">
      <c r="A32" s="747"/>
      <c r="B32" s="747"/>
      <c r="AR32" s="766"/>
      <c r="BM32" s="1" t="s">
        <v>1356</v>
      </c>
      <c r="BN32" s="1" t="s">
        <v>251</v>
      </c>
      <c r="BS32" s="325"/>
      <c r="CK32" s="247" t="s">
        <v>2987</v>
      </c>
      <c r="CL32" t="s">
        <v>3080</v>
      </c>
    </row>
    <row r="33" spans="1:90" ht="14.85" customHeight="1">
      <c r="W33" s="756" t="s">
        <v>1604</v>
      </c>
      <c r="X33" s="756"/>
      <c r="Y33" s="756"/>
      <c r="Z33" s="756"/>
      <c r="AE33" s="756" t="s">
        <v>1605</v>
      </c>
      <c r="AF33" s="756"/>
      <c r="AG33" s="756"/>
      <c r="AH33" s="756"/>
      <c r="AR33" s="766"/>
      <c r="BM33" s="1" t="s">
        <v>1357</v>
      </c>
      <c r="BN33" s="1" t="s">
        <v>252</v>
      </c>
      <c r="BS33" s="325"/>
      <c r="CK33" s="247" t="s">
        <v>2988</v>
      </c>
      <c r="CL33" t="s">
        <v>3081</v>
      </c>
    </row>
    <row r="34" spans="1:90" ht="14.85" customHeight="1">
      <c r="AE34" s="768"/>
      <c r="AF34" s="769"/>
      <c r="AG34" s="769"/>
      <c r="AH34" s="769"/>
      <c r="AI34" s="769"/>
      <c r="AJ34" s="769"/>
      <c r="AK34" s="769"/>
      <c r="AL34" s="769"/>
      <c r="AM34" s="769"/>
      <c r="AN34" s="770"/>
      <c r="AR34" s="766"/>
      <c r="BM34" s="1" t="s">
        <v>1480</v>
      </c>
      <c r="BN34" s="1" t="s">
        <v>253</v>
      </c>
      <c r="BS34" s="325"/>
      <c r="CK34" s="247" t="s">
        <v>2989</v>
      </c>
      <c r="CL34" t="s">
        <v>3082</v>
      </c>
    </row>
    <row r="35" spans="1:90" ht="14.85" customHeight="1">
      <c r="AE35" s="771"/>
      <c r="AF35" s="772"/>
      <c r="AG35" s="772"/>
      <c r="AH35" s="772"/>
      <c r="AI35" s="772"/>
      <c r="AJ35" s="772"/>
      <c r="AK35" s="772"/>
      <c r="AL35" s="772"/>
      <c r="AM35" s="772"/>
      <c r="AN35" s="773"/>
      <c r="AR35" s="766"/>
      <c r="BM35" s="1" t="s">
        <v>1481</v>
      </c>
      <c r="BN35" s="1" t="s">
        <v>254</v>
      </c>
      <c r="BS35" s="325"/>
      <c r="CK35" s="247" t="s">
        <v>2990</v>
      </c>
      <c r="CL35" t="s">
        <v>3083</v>
      </c>
    </row>
    <row r="36" spans="1:90" ht="14.85" customHeight="1">
      <c r="AE36" s="771"/>
      <c r="AF36" s="772"/>
      <c r="AG36" s="772"/>
      <c r="AH36" s="772"/>
      <c r="AI36" s="772"/>
      <c r="AJ36" s="772"/>
      <c r="AK36" s="772"/>
      <c r="AL36" s="772"/>
      <c r="AM36" s="772"/>
      <c r="AN36" s="773"/>
      <c r="AR36" s="766"/>
      <c r="BM36" s="1" t="s">
        <v>965</v>
      </c>
      <c r="BN36" s="1" t="s">
        <v>1306</v>
      </c>
      <c r="BS36" s="175"/>
      <c r="BT36" s="133"/>
      <c r="CK36" s="247" t="s">
        <v>2991</v>
      </c>
      <c r="CL36" t="s">
        <v>3084</v>
      </c>
    </row>
    <row r="37" spans="1:90" ht="14.85" customHeight="1">
      <c r="D37" s="780">
        <f>IF(OR(Ram_1!$AC$25="x",Ram_1!$AJ$26="x",Ram_1!$AC$9="x",Ram_1!$AJ$7="x",Ram_1!$AB$16="x",Ram_1!$AM$23="x",Ram_1!$AN$19="x",Ram_1!$AD$10="x"),'Translate&amp;Prices&amp;Logo'!$B$588,0)</f>
        <v>0</v>
      </c>
      <c r="E37" s="780"/>
      <c r="F37" s="780"/>
      <c r="G37" s="780"/>
      <c r="H37" s="780"/>
      <c r="I37" s="780"/>
      <c r="J37" s="780"/>
      <c r="K37" s="780"/>
      <c r="L37" s="780"/>
      <c r="M37" s="780"/>
      <c r="N37" s="780"/>
      <c r="O37" s="780"/>
      <c r="P37" s="780"/>
      <c r="AE37" s="771"/>
      <c r="AF37" s="772"/>
      <c r="AG37" s="772"/>
      <c r="AH37" s="772"/>
      <c r="AI37" s="772"/>
      <c r="AJ37" s="772"/>
      <c r="AK37" s="772"/>
      <c r="AL37" s="772"/>
      <c r="AM37" s="772"/>
      <c r="AN37" s="773"/>
      <c r="AR37" s="766"/>
      <c r="BM37" s="325" t="s">
        <v>3911</v>
      </c>
      <c r="BN37" s="1" t="s">
        <v>251</v>
      </c>
      <c r="BS37" s="133"/>
      <c r="BT37" s="133"/>
      <c r="CK37" s="248" t="s">
        <v>2992</v>
      </c>
      <c r="CL37" t="s">
        <v>4371</v>
      </c>
    </row>
    <row r="38" spans="1:90" ht="14.85" customHeight="1">
      <c r="AE38" s="771"/>
      <c r="AF38" s="772"/>
      <c r="AG38" s="772"/>
      <c r="AH38" s="772"/>
      <c r="AI38" s="772"/>
      <c r="AJ38" s="772"/>
      <c r="AK38" s="772"/>
      <c r="AL38" s="772"/>
      <c r="AM38" s="772"/>
      <c r="AN38" s="773"/>
      <c r="AR38" s="766"/>
      <c r="BM38" s="325" t="s">
        <v>3912</v>
      </c>
      <c r="BN38" s="1" t="s">
        <v>252</v>
      </c>
      <c r="BS38" s="133"/>
      <c r="BT38" s="133"/>
      <c r="CK38" s="248" t="s">
        <v>2549</v>
      </c>
      <c r="CL38" t="s">
        <v>4372</v>
      </c>
    </row>
    <row r="39" spans="1:90" ht="14.85" customHeight="1" thickBot="1">
      <c r="AE39" s="771"/>
      <c r="AF39" s="772"/>
      <c r="AG39" s="772"/>
      <c r="AH39" s="772"/>
      <c r="AI39" s="772"/>
      <c r="AJ39" s="772"/>
      <c r="AK39" s="772"/>
      <c r="AL39" s="772"/>
      <c r="AM39" s="772"/>
      <c r="AN39" s="773"/>
      <c r="AR39" s="766"/>
      <c r="BM39" s="325" t="s">
        <v>3913</v>
      </c>
      <c r="BN39" s="1" t="s">
        <v>253</v>
      </c>
      <c r="BS39" s="133"/>
      <c r="BT39" s="133"/>
      <c r="CK39" s="248" t="s">
        <v>2545</v>
      </c>
      <c r="CL39" t="s">
        <v>3080</v>
      </c>
    </row>
    <row r="40" spans="1:90" ht="14.85" customHeight="1" thickBot="1">
      <c r="G40" s="757" t="str">
        <f>'Translate&amp;Prices&amp;Logo'!$O$175</f>
        <v>Szerokość</v>
      </c>
      <c r="H40" s="758">
        <f>Ram_1!AG30</f>
        <v>0</v>
      </c>
      <c r="I40" s="758">
        <f>Ram_1!AH30</f>
        <v>0</v>
      </c>
      <c r="J40" s="759">
        <f>Ram_1!AI30</f>
        <v>0</v>
      </c>
      <c r="K40" s="759">
        <f>Ram_1!AJ30</f>
        <v>0</v>
      </c>
      <c r="L40" s="760">
        <f>Ram_1!AK30</f>
        <v>0</v>
      </c>
      <c r="AE40" s="771"/>
      <c r="AF40" s="772"/>
      <c r="AG40" s="772"/>
      <c r="AH40" s="772"/>
      <c r="AI40" s="772"/>
      <c r="AJ40" s="772"/>
      <c r="AK40" s="772"/>
      <c r="AL40" s="772"/>
      <c r="AM40" s="772"/>
      <c r="AN40" s="773"/>
      <c r="AR40" s="766"/>
      <c r="BM40" s="325" t="s">
        <v>3914</v>
      </c>
      <c r="BN40" s="1" t="s">
        <v>254</v>
      </c>
      <c r="CK40" s="248" t="s">
        <v>2548</v>
      </c>
      <c r="CL40" t="s">
        <v>3081</v>
      </c>
    </row>
    <row r="41" spans="1:90" ht="21" customHeight="1">
      <c r="AE41" s="774"/>
      <c r="AF41" s="775"/>
      <c r="AG41" s="775"/>
      <c r="AH41" s="775"/>
      <c r="AI41" s="775"/>
      <c r="AJ41" s="775"/>
      <c r="AK41" s="775"/>
      <c r="AL41" s="775"/>
      <c r="AM41" s="775"/>
      <c r="AN41" s="776"/>
      <c r="AR41" s="766"/>
      <c r="BM41" s="325" t="s">
        <v>3915</v>
      </c>
      <c r="BN41" s="1" t="s">
        <v>1306</v>
      </c>
      <c r="CK41" s="248" t="s">
        <v>2546</v>
      </c>
      <c r="CL41" t="s">
        <v>3082</v>
      </c>
    </row>
    <row r="42" spans="1:90" ht="14.85" customHeight="1">
      <c r="AR42" s="766"/>
      <c r="BM42" s="1" t="s">
        <v>111</v>
      </c>
      <c r="BN42" s="1" t="s">
        <v>1132</v>
      </c>
      <c r="CK42" s="248" t="s">
        <v>2547</v>
      </c>
      <c r="CL42" t="s">
        <v>3083</v>
      </c>
    </row>
    <row r="43" spans="1:90" ht="14.85" customHeight="1">
      <c r="AR43" s="766"/>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55" t="str">
        <f>'Translate&amp;Prices&amp;Logo'!$O$256</f>
        <v>Numer zamówienia</v>
      </c>
      <c r="X45" s="755"/>
      <c r="Y45" s="755"/>
      <c r="Z45" s="755"/>
      <c r="AA45" s="755"/>
      <c r="AB45" s="56"/>
      <c r="AC45" s="752">
        <f>Ram_2!AS5</f>
        <v>0</v>
      </c>
      <c r="AD45" s="753"/>
      <c r="AE45" s="753"/>
      <c r="AF45" s="753"/>
      <c r="AG45" s="753"/>
      <c r="AH45" s="753"/>
      <c r="AI45" s="753"/>
      <c r="AJ45" s="753"/>
      <c r="AK45" s="753"/>
      <c r="AL45" s="753"/>
      <c r="AM45" s="753"/>
      <c r="AN45" s="753"/>
      <c r="AO45" s="754"/>
      <c r="AR45" s="766" t="s">
        <v>1607</v>
      </c>
      <c r="BM45" s="1" t="s">
        <v>101</v>
      </c>
      <c r="BN45" s="1" t="s">
        <v>249</v>
      </c>
      <c r="CK45" s="249" t="s">
        <v>2994</v>
      </c>
      <c r="CL45" t="s">
        <v>4372</v>
      </c>
    </row>
    <row r="46" spans="1:90" ht="16.350000000000001" customHeight="1">
      <c r="W46" s="751" t="str">
        <f>'Translate&amp;Prices&amp;Logo'!$O$542</f>
        <v>Połączenie 2 profili</v>
      </c>
      <c r="X46" s="751"/>
      <c r="Y46" s="751"/>
      <c r="Z46" s="751"/>
      <c r="AA46" s="751"/>
      <c r="AB46" s="56"/>
      <c r="AC46" s="765" t="str">
        <f>IF(kombinace_2!$H$1=TRUE,"Tak","Nie")</f>
        <v>Nie</v>
      </c>
      <c r="AD46" s="765"/>
      <c r="AE46" s="765"/>
      <c r="AF46" s="765"/>
      <c r="AG46" s="765"/>
      <c r="AH46" s="765"/>
      <c r="AI46" s="765"/>
      <c r="AJ46" s="765"/>
      <c r="AK46" s="765"/>
      <c r="AL46" s="765"/>
      <c r="AM46" s="765"/>
      <c r="AN46" s="765"/>
      <c r="AO46" s="765"/>
      <c r="AR46" s="766"/>
      <c r="BM46" s="1" t="s">
        <v>1134</v>
      </c>
      <c r="BN46" s="1" t="s">
        <v>1132</v>
      </c>
      <c r="CK46" s="249" t="s">
        <v>2995</v>
      </c>
      <c r="CL46" t="s">
        <v>2539</v>
      </c>
    </row>
    <row r="47" spans="1:90" ht="16.350000000000001" customHeight="1">
      <c r="W47" s="751" t="str">
        <f>'Translate&amp;Prices&amp;Logo'!$O$172</f>
        <v>Rodzaj profilu</v>
      </c>
      <c r="X47" s="751"/>
      <c r="Y47" s="751"/>
      <c r="Z47" s="751"/>
      <c r="AA47" s="751"/>
      <c r="AB47" s="56"/>
      <c r="AC47" s="750">
        <f>IFERROR(VLOOKUP(Ram_2!$H$8,'Translate&amp;Prices&amp;Logo'!AA1:AB312,2,0),Ram_2!$H$8)</f>
        <v>0</v>
      </c>
      <c r="AD47" s="750"/>
      <c r="AE47" s="750"/>
      <c r="AF47" s="750"/>
      <c r="AG47" s="750"/>
      <c r="AH47" s="750"/>
      <c r="AI47" s="750"/>
      <c r="AJ47" s="750"/>
      <c r="AK47" s="750"/>
      <c r="AL47" s="750"/>
      <c r="AM47" s="750"/>
      <c r="AN47" s="750"/>
      <c r="AO47" s="750"/>
      <c r="AR47" s="766"/>
      <c r="BM47" s="1" t="s">
        <v>112</v>
      </c>
      <c r="BN47" s="1" t="s">
        <v>1305</v>
      </c>
      <c r="CK47" s="249" t="s">
        <v>2996</v>
      </c>
      <c r="CL47" t="s">
        <v>2542</v>
      </c>
    </row>
    <row r="48" spans="1:90" ht="16.350000000000001" customHeight="1">
      <c r="W48" s="751" t="str">
        <f>'Translate&amp;Prices&amp;Logo'!$O$543</f>
        <v>Szprosy</v>
      </c>
      <c r="X48" s="751"/>
      <c r="Y48" s="751"/>
      <c r="Z48" s="751"/>
      <c r="AA48" s="751"/>
      <c r="AB48" s="56"/>
      <c r="AC48" s="750" t="str">
        <f>IFERROR(VLOOKUP(Ram_2!$AU$10,AU48:AV51,2,0),0)</f>
        <v>Nie</v>
      </c>
      <c r="AD48" s="750"/>
      <c r="AE48" s="750"/>
      <c r="AF48" s="750"/>
      <c r="AG48" s="750"/>
      <c r="AH48" s="750"/>
      <c r="AI48" s="750"/>
      <c r="AJ48" s="750"/>
      <c r="AK48" s="750"/>
      <c r="AL48" s="750"/>
      <c r="AM48" s="750"/>
      <c r="AN48" s="750"/>
      <c r="AO48" s="750"/>
      <c r="AR48" s="766"/>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67" t="str">
        <f>'Translate&amp;Prices&amp;Logo'!$O$558</f>
        <v>Poziomo (termin dostawy 4 tygodnie)</v>
      </c>
      <c r="AD49" s="767"/>
      <c r="AE49" s="767"/>
      <c r="AF49" s="767"/>
      <c r="AG49" s="767"/>
      <c r="AH49" s="767"/>
      <c r="AI49" s="767"/>
      <c r="AJ49" s="767" t="str">
        <f>'Translate&amp;Prices&amp;Logo'!$O$559</f>
        <v>Pionowo (termin dostawy 4 tygodnie)</v>
      </c>
      <c r="AK49" s="767"/>
      <c r="AL49" s="767"/>
      <c r="AM49" s="767"/>
      <c r="AN49" s="767"/>
      <c r="AO49" s="767"/>
      <c r="AR49" s="766"/>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1" t="str">
        <f>('Translate&amp;Prices&amp;Logo'!$O$543)&amp;" "&amp;"("&amp;'Translate&amp;Prices&amp;Logo'!$O$174&amp;")"</f>
        <v>Szprosy (Ilość sztuk)</v>
      </c>
      <c r="X50" s="751"/>
      <c r="Y50" s="751"/>
      <c r="Z50" s="751"/>
      <c r="AA50" s="751"/>
      <c r="AB50" s="56"/>
      <c r="AC50" s="750">
        <f>Ram_2!$H$11</f>
        <v>0</v>
      </c>
      <c r="AD50" s="750"/>
      <c r="AE50" s="750"/>
      <c r="AF50" s="750"/>
      <c r="AG50" s="750"/>
      <c r="AH50" s="750"/>
      <c r="AI50" s="750"/>
      <c r="AJ50" s="750">
        <f>Ram_2!$M$11</f>
        <v>0</v>
      </c>
      <c r="AK50" s="750"/>
      <c r="AL50" s="750"/>
      <c r="AM50" s="750"/>
      <c r="AN50" s="750"/>
      <c r="AO50" s="750"/>
      <c r="AR50" s="766"/>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1" t="str">
        <f>'Translate&amp;Prices&amp;Logo'!$O$258</f>
        <v>Typ okucia</v>
      </c>
      <c r="X51" s="751"/>
      <c r="Y51" s="751"/>
      <c r="Z51" s="751"/>
      <c r="AA51" s="751"/>
      <c r="AB51" s="56"/>
      <c r="AC51" s="750">
        <f>IFERROR(VLOOKUP(Ram_2!$AU$9,AZ48:BA49,2,0),0)</f>
        <v>0</v>
      </c>
      <c r="AD51" s="750"/>
      <c r="AE51" s="750"/>
      <c r="AF51" s="750"/>
      <c r="AG51" s="750"/>
      <c r="AH51" s="750"/>
      <c r="AI51" s="750"/>
      <c r="AJ51" s="750"/>
      <c r="AK51" s="750"/>
      <c r="AL51" s="750"/>
      <c r="AM51" s="750"/>
      <c r="AN51" s="750"/>
      <c r="AO51" s="750"/>
      <c r="AR51" s="766"/>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1" t="str">
        <f>'Translate&amp;Prices&amp;Logo'!$O$544</f>
        <v>Marka okucia</v>
      </c>
      <c r="X52" s="751"/>
      <c r="Y52" s="751"/>
      <c r="Z52" s="751"/>
      <c r="AA52" s="751"/>
      <c r="AB52" s="56"/>
      <c r="AC52" s="750">
        <f>Ram_2!$H$13</f>
        <v>0</v>
      </c>
      <c r="AD52" s="750"/>
      <c r="AE52" s="750"/>
      <c r="AF52" s="750"/>
      <c r="AG52" s="750"/>
      <c r="AH52" s="750"/>
      <c r="AI52" s="750"/>
      <c r="AJ52" s="750"/>
      <c r="AK52" s="750"/>
      <c r="AL52" s="750"/>
      <c r="AM52" s="750"/>
      <c r="AN52" s="750"/>
      <c r="AO52" s="750"/>
      <c r="AR52" s="766"/>
      <c r="BM52" s="1" t="s">
        <v>248</v>
      </c>
      <c r="BN52" s="1" t="s">
        <v>248</v>
      </c>
      <c r="CA52"/>
      <c r="CB52"/>
      <c r="CK52" s="249" t="s">
        <v>3001</v>
      </c>
      <c r="CL52" t="s">
        <v>3282</v>
      </c>
    </row>
    <row r="53" spans="19:90" ht="16.350000000000001" customHeight="1" thickBot="1">
      <c r="W53" s="751" t="str">
        <f>'Translate&amp;Prices&amp;Logo'!$O$546</f>
        <v>Nałożenie</v>
      </c>
      <c r="X53" s="751"/>
      <c r="Y53" s="751"/>
      <c r="Z53" s="751"/>
      <c r="AA53" s="751"/>
      <c r="AB53" s="56"/>
      <c r="AC53" s="750">
        <f>IFERROR(VLOOKUP(Ram_2!$H$14,$BD$12:$BE$29,2,0),0)</f>
        <v>0</v>
      </c>
      <c r="AD53" s="750"/>
      <c r="AE53" s="750"/>
      <c r="AF53" s="750"/>
      <c r="AG53" s="750"/>
      <c r="AH53" s="750"/>
      <c r="AI53" s="750"/>
      <c r="AJ53" s="750"/>
      <c r="AK53" s="750"/>
      <c r="AL53" s="750"/>
      <c r="AM53" s="750"/>
      <c r="AN53" s="750"/>
      <c r="AO53" s="750"/>
      <c r="AR53" s="766"/>
      <c r="BM53" s="1" t="s">
        <v>249</v>
      </c>
      <c r="BN53" s="1" t="s">
        <v>249</v>
      </c>
      <c r="CA53"/>
      <c r="CB53"/>
      <c r="CK53" s="249" t="s">
        <v>3002</v>
      </c>
      <c r="CL53" t="s">
        <v>3281</v>
      </c>
    </row>
    <row r="54" spans="19:90" ht="16.350000000000001" customHeight="1">
      <c r="S54" s="761">
        <f>Ram_2!AR14</f>
        <v>0</v>
      </c>
      <c r="W54" s="751" t="str">
        <f>'Translate&amp;Prices&amp;Logo'!$O$545</f>
        <v>Wariant okucia</v>
      </c>
      <c r="X54" s="751"/>
      <c r="Y54" s="751"/>
      <c r="Z54" s="751"/>
      <c r="AA54" s="751"/>
      <c r="AB54" s="56"/>
      <c r="AC54" s="246">
        <f>IFERROR(VLOOKUP(Ram_2!$H$15,kombinace_1!$ED$2:$EE$758,2,0),Ram_2!$H$15)</f>
        <v>0</v>
      </c>
      <c r="AD54" s="246"/>
      <c r="AE54" s="246"/>
      <c r="AF54" s="246"/>
      <c r="AG54" s="246"/>
      <c r="AH54" s="246"/>
      <c r="AI54" s="246"/>
      <c r="AJ54" s="777" t="str">
        <f>IF(AC54='Translate&amp;Prices&amp;Logo'!C698,VLOOKUP(Ram_2!H17,'Translate&amp;Prices&amp;Logo'!C699:D746,2,0),"")</f>
        <v/>
      </c>
      <c r="AK54" s="777"/>
      <c r="AL54" s="777"/>
      <c r="AM54" s="777"/>
      <c r="AN54" s="777"/>
      <c r="AO54" s="777"/>
      <c r="AR54" s="766"/>
      <c r="BM54" s="1" t="s">
        <v>1133</v>
      </c>
      <c r="BN54" s="1" t="s">
        <v>1132</v>
      </c>
      <c r="CA54"/>
      <c r="CB54"/>
      <c r="CK54" s="249" t="s">
        <v>3003</v>
      </c>
      <c r="CL54" t="s">
        <v>2541</v>
      </c>
    </row>
    <row r="55" spans="19:90" ht="16.350000000000001" customHeight="1">
      <c r="S55" s="762">
        <f>Ram_1!AR51</f>
        <v>0</v>
      </c>
      <c r="W55" s="751" t="str">
        <f>'Translate&amp;Prices&amp;Logo'!$O$218</f>
        <v>Wybierz pozycję ramki</v>
      </c>
      <c r="X55" s="751"/>
      <c r="Y55" s="751"/>
      <c r="Z55" s="751"/>
      <c r="AA55" s="751"/>
      <c r="AB55" s="750">
        <f>IFERROR(VLOOKUP(Ram_2!$F$16,BI12:BJ23,2,0),0)</f>
        <v>0</v>
      </c>
      <c r="AC55" s="750"/>
      <c r="AD55" s="750"/>
      <c r="AE55" s="750"/>
      <c r="AF55" s="750"/>
      <c r="AG55" s="778" t="str">
        <f>'Translate&amp;Prices&amp;Logo'!$O$232</f>
        <v>Rodzaj drugiej ramki</v>
      </c>
      <c r="AH55" s="778"/>
      <c r="AI55" s="778"/>
      <c r="AJ55" s="750">
        <f>IFERROR(VLOOKUP(Ram_2!$N$16,BM12:BN41,2,0),0)</f>
        <v>0</v>
      </c>
      <c r="AK55" s="750"/>
      <c r="AL55" s="750"/>
      <c r="AM55" s="750"/>
      <c r="AN55" s="750"/>
      <c r="AO55" s="750"/>
      <c r="AR55" s="766"/>
      <c r="BM55" s="1" t="s">
        <v>1135</v>
      </c>
      <c r="BN55" s="1" t="s">
        <v>1305</v>
      </c>
      <c r="CA55"/>
      <c r="CB55"/>
      <c r="CK55" s="249" t="s">
        <v>3004</v>
      </c>
      <c r="CL55" t="s">
        <v>3284</v>
      </c>
    </row>
    <row r="56" spans="19:90" ht="16.350000000000001" customHeight="1">
      <c r="S56" s="762">
        <f>Ram_1!AR52</f>
        <v>0</v>
      </c>
      <c r="W56" s="751" t="str">
        <f>IF(AC51='Translate&amp;Prices&amp;Logo'!O551,'Translate&amp;Prices&amp;Logo'!O238,'Translate&amp;Prices&amp;Logo'!$O$226)</f>
        <v>Umieszczenie</v>
      </c>
      <c r="X56" s="751"/>
      <c r="Y56" s="751"/>
      <c r="Z56" s="751"/>
      <c r="AA56" s="751"/>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66"/>
      <c r="BM56" s="1" t="s">
        <v>310</v>
      </c>
      <c r="BN56" s="1" t="s">
        <v>248</v>
      </c>
      <c r="CA56"/>
      <c r="CB56"/>
      <c r="CK56" s="249" t="s">
        <v>3005</v>
      </c>
      <c r="CL56" t="s">
        <v>2544</v>
      </c>
    </row>
    <row r="57" spans="19:90" ht="16.350000000000001" customHeight="1">
      <c r="S57" s="762">
        <f>Ram_1!AR53</f>
        <v>0</v>
      </c>
      <c r="W57" s="751" t="str">
        <f>'Translate&amp;Prices&amp;Logo'!$O$547</f>
        <v>Zawiasy do podnośników</v>
      </c>
      <c r="X57" s="751"/>
      <c r="Y57" s="751"/>
      <c r="Z57" s="751"/>
      <c r="AA57" s="751"/>
      <c r="AB57" s="56"/>
      <c r="AC57" s="750">
        <f>IFERROR((VLOOKUP(Ram_2!$H$18,$CK$2:$CL$90,2,0)),Ram_2!$H$18)</f>
        <v>0</v>
      </c>
      <c r="AD57" s="750"/>
      <c r="AE57" s="750"/>
      <c r="AF57" s="750"/>
      <c r="AG57" s="750"/>
      <c r="AH57" s="750"/>
      <c r="AI57" s="750"/>
      <c r="AJ57" s="750"/>
      <c r="AK57" s="750"/>
      <c r="AL57" s="750"/>
      <c r="AM57" s="750"/>
      <c r="AN57" s="750"/>
      <c r="AO57" s="750"/>
      <c r="AR57" s="766"/>
      <c r="BM57" s="1" t="s">
        <v>311</v>
      </c>
      <c r="BN57" s="1" t="s">
        <v>249</v>
      </c>
      <c r="CA57"/>
      <c r="CB57"/>
      <c r="CK57" s="249" t="s">
        <v>3006</v>
      </c>
      <c r="CL57" t="s">
        <v>3082</v>
      </c>
    </row>
    <row r="58" spans="19:90" ht="16.350000000000001" customHeight="1">
      <c r="S58" s="762">
        <f>Ram_1!AR54</f>
        <v>0</v>
      </c>
      <c r="W58" s="751" t="str">
        <f>'Translate&amp;Prices&amp;Logo'!$O$223</f>
        <v>Ilość zawiasów na 1 ramkę</v>
      </c>
      <c r="X58" s="751"/>
      <c r="Y58" s="751"/>
      <c r="Z58" s="751"/>
      <c r="AA58" s="751"/>
      <c r="AB58" s="56"/>
      <c r="AC58" s="750">
        <f>Ram_2!$H$19</f>
        <v>0</v>
      </c>
      <c r="AD58" s="750"/>
      <c r="AE58" s="750"/>
      <c r="AF58" s="750"/>
      <c r="AG58" s="750"/>
      <c r="AH58" s="750"/>
      <c r="AI58" s="750"/>
      <c r="AJ58" s="750"/>
      <c r="AK58" s="750"/>
      <c r="AL58" s="750"/>
      <c r="AM58" s="750"/>
      <c r="AN58" s="750"/>
      <c r="AO58" s="750"/>
      <c r="AR58" s="766"/>
      <c r="BM58" s="1" t="s">
        <v>1355</v>
      </c>
      <c r="BN58" s="1" t="s">
        <v>1132</v>
      </c>
      <c r="CA58"/>
      <c r="CB58"/>
      <c r="CK58" s="249" t="s">
        <v>3007</v>
      </c>
      <c r="CL58" t="s">
        <v>2982</v>
      </c>
    </row>
    <row r="59" spans="19:90" ht="16.350000000000001" customHeight="1">
      <c r="S59" s="763" t="str">
        <f>'Translate&amp;Prices&amp;Logo'!$O$176</f>
        <v>Wysokość</v>
      </c>
      <c r="W59" s="751" t="e">
        <f>'Translate&amp;Prices&amp;Logo'!$O$242&amp;" "&amp;VLOOKUP(Ram_2!H17,kombinace_1!$BY$32:$CC$35,5,0)</f>
        <v>#N/A</v>
      </c>
      <c r="X59" s="751"/>
      <c r="Y59" s="751"/>
      <c r="Z59" s="751"/>
      <c r="AA59" s="751"/>
      <c r="AB59" s="246"/>
      <c r="AC59" s="750">
        <f>Ram_2!$F$20</f>
        <v>100</v>
      </c>
      <c r="AD59" s="750"/>
      <c r="AE59" s="750"/>
      <c r="AF59" s="750"/>
      <c r="AG59" s="751" t="e">
        <f>'Translate&amp;Prices&amp;Logo'!$O$242&amp;" "&amp;VLOOKUP(Ram_2!H17,kombinace_1!$BY$32:$CD$35,6,0)</f>
        <v>#N/A</v>
      </c>
      <c r="AH59" s="751"/>
      <c r="AI59" s="751"/>
      <c r="AJ59" s="751"/>
      <c r="AK59" s="751"/>
      <c r="AL59" s="750">
        <f>Ram_2!$N$20</f>
        <v>100</v>
      </c>
      <c r="AM59" s="750"/>
      <c r="AN59" s="750"/>
      <c r="AO59" s="750"/>
      <c r="AR59" s="766"/>
      <c r="BM59" s="1" t="s">
        <v>916</v>
      </c>
      <c r="BN59" s="1" t="s">
        <v>1305</v>
      </c>
      <c r="CA59"/>
      <c r="CB59"/>
      <c r="CK59" s="249" t="s">
        <v>3008</v>
      </c>
      <c r="CL59" t="s">
        <v>3083</v>
      </c>
    </row>
    <row r="60" spans="19:90" ht="16.350000000000001" customHeight="1">
      <c r="S60" s="763">
        <f>Ram_1!AR56</f>
        <v>0</v>
      </c>
      <c r="W60" s="250" t="str">
        <f>'Translate&amp;Prices&amp;Logo'!$O$653</f>
        <v>Wypełnienie z siatki</v>
      </c>
      <c r="X60" s="126"/>
      <c r="Y60" s="126"/>
      <c r="Z60" s="126"/>
      <c r="AA60" s="126"/>
      <c r="AB60" s="56"/>
      <c r="AC60" s="749" t="str">
        <f>IF(kombinace_2!FC2=TRUE,"Tak","Nie")</f>
        <v>Nie</v>
      </c>
      <c r="AD60" s="749"/>
      <c r="AE60" s="749"/>
      <c r="AF60" s="749"/>
      <c r="AG60" s="749"/>
      <c r="AH60" s="749"/>
      <c r="AI60" s="749"/>
      <c r="AJ60" s="749"/>
      <c r="AK60" s="749"/>
      <c r="AL60" s="749"/>
      <c r="AM60" s="749"/>
      <c r="AN60" s="749"/>
      <c r="AO60" s="749"/>
      <c r="AR60" s="766"/>
      <c r="BM60" s="1" t="s">
        <v>907</v>
      </c>
      <c r="BN60" s="1" t="s">
        <v>248</v>
      </c>
      <c r="CA60"/>
      <c r="CB60"/>
      <c r="CK60" s="249" t="s">
        <v>3009</v>
      </c>
      <c r="CL60" t="s">
        <v>3084</v>
      </c>
    </row>
    <row r="61" spans="19:90" ht="16.350000000000001" customHeight="1">
      <c r="S61" s="763">
        <f>Ram_1!AR57</f>
        <v>0</v>
      </c>
      <c r="W61" s="751" t="str">
        <f>'Translate&amp;Prices&amp;Logo'!$O$173</f>
        <v>Rodzaj szkła</v>
      </c>
      <c r="X61" s="751"/>
      <c r="Y61" s="751"/>
      <c r="Z61" s="751"/>
      <c r="AA61" s="751"/>
      <c r="AB61" s="56"/>
      <c r="AC61" s="750" t="str">
        <f>IFERROR(VLOOKUP(kombinace_2!$V$1,BX48:BY50,2,0),0)</f>
        <v>Bez modyfikacji</v>
      </c>
      <c r="AD61" s="750"/>
      <c r="AE61" s="750"/>
      <c r="AF61" s="750"/>
      <c r="AG61" s="750"/>
      <c r="AH61" s="750"/>
      <c r="AI61" s="750"/>
      <c r="AJ61" s="750"/>
      <c r="AK61" s="750"/>
      <c r="AL61" s="750"/>
      <c r="AM61" s="750"/>
      <c r="AN61" s="750"/>
      <c r="AO61" s="750"/>
      <c r="AR61" s="766"/>
      <c r="BM61" s="1" t="s">
        <v>908</v>
      </c>
      <c r="BN61" s="1" t="s">
        <v>249</v>
      </c>
      <c r="CA61"/>
      <c r="CB61"/>
      <c r="CK61" s="249" t="s">
        <v>3010</v>
      </c>
      <c r="CL61" t="s">
        <v>2983</v>
      </c>
    </row>
    <row r="62" spans="19:90" ht="16.350000000000001" customHeight="1">
      <c r="S62" s="763">
        <f>Ram_1!AR58</f>
        <v>0</v>
      </c>
      <c r="W62" s="751" t="str">
        <f>'Translate&amp;Prices&amp;Logo'!$O$562</f>
        <v>Rodzaj folii</v>
      </c>
      <c r="X62" s="751"/>
      <c r="Y62" s="751"/>
      <c r="Z62" s="751"/>
      <c r="AA62" s="751"/>
      <c r="AB62" s="56"/>
      <c r="AC62" s="750">
        <f>IFERROR(VLOOKUP(Ram_2!$H$24,CA12:CB29,2,0),0)</f>
        <v>0</v>
      </c>
      <c r="AD62" s="750"/>
      <c r="AE62" s="750"/>
      <c r="AF62" s="750"/>
      <c r="AG62" s="750"/>
      <c r="AH62" s="750"/>
      <c r="AI62" s="750"/>
      <c r="AJ62" s="750"/>
      <c r="AK62" s="750"/>
      <c r="AL62" s="750"/>
      <c r="AM62" s="750"/>
      <c r="AN62" s="750"/>
      <c r="AO62" s="750"/>
      <c r="AR62" s="766"/>
      <c r="BM62" s="325" t="s">
        <v>3905</v>
      </c>
      <c r="BN62" s="1" t="s">
        <v>1132</v>
      </c>
      <c r="CA62"/>
      <c r="CB62"/>
      <c r="CK62" s="249" t="s">
        <v>3011</v>
      </c>
      <c r="CL62" t="s">
        <v>2984</v>
      </c>
    </row>
    <row r="63" spans="19:90" ht="16.350000000000001" customHeight="1" thickBot="1">
      <c r="S63" s="764">
        <f>Ram_1!AR59</f>
        <v>0</v>
      </c>
      <c r="W63" s="751" t="str">
        <f>'Translate&amp;Prices&amp;Logo'!$O$173</f>
        <v>Rodzaj szkła</v>
      </c>
      <c r="X63" s="751"/>
      <c r="Y63" s="751"/>
      <c r="Z63" s="751"/>
      <c r="AA63" s="751"/>
      <c r="AB63" s="56"/>
      <c r="AC63" s="750">
        <f>IFERROR(VLOOKUP(Ram_2!$H$25,'Translate&amp;Prices&amp;Logo'!$AH$1:$AI$165,2,0),Ram_2!$H$25)</f>
        <v>0</v>
      </c>
      <c r="AD63" s="750"/>
      <c r="AE63" s="750"/>
      <c r="AF63" s="750"/>
      <c r="AG63" s="750"/>
      <c r="AH63" s="750"/>
      <c r="AI63" s="750"/>
      <c r="AJ63" s="750"/>
      <c r="AK63" s="750"/>
      <c r="AL63" s="750"/>
      <c r="AM63" s="750"/>
      <c r="AN63" s="750"/>
      <c r="AO63" s="750"/>
      <c r="AR63" s="766"/>
      <c r="BM63" s="325" t="s">
        <v>3906</v>
      </c>
      <c r="BN63" s="1" t="s">
        <v>1305</v>
      </c>
      <c r="CK63" s="31" t="s">
        <v>4373</v>
      </c>
      <c r="CL63" t="s">
        <v>4371</v>
      </c>
    </row>
    <row r="64" spans="19:90" ht="16.350000000000001" customHeight="1">
      <c r="W64" s="751" t="str">
        <f>'Translate&amp;Prices&amp;Logo'!$O$549</f>
        <v>Rozstaw uchwytu (mm)</v>
      </c>
      <c r="X64" s="751"/>
      <c r="Y64" s="751"/>
      <c r="Z64" s="751"/>
      <c r="AA64" s="751"/>
      <c r="AB64" s="56"/>
      <c r="AC64" s="750">
        <f>Ram_2!$H$26</f>
        <v>0</v>
      </c>
      <c r="AD64" s="750"/>
      <c r="AE64" s="750"/>
      <c r="AF64" s="750"/>
      <c r="AG64" s="750"/>
      <c r="AH64" s="750"/>
      <c r="AI64" s="750"/>
      <c r="AJ64" s="750"/>
      <c r="AK64" s="750"/>
      <c r="AL64" s="750"/>
      <c r="AM64" s="750"/>
      <c r="AN64" s="750"/>
      <c r="AO64" s="750"/>
      <c r="AR64" s="766"/>
      <c r="BM64" s="325" t="s">
        <v>3907</v>
      </c>
      <c r="BN64" s="1" t="s">
        <v>248</v>
      </c>
      <c r="CK64" s="1" t="s">
        <v>2540</v>
      </c>
      <c r="CL64" t="s">
        <v>3282</v>
      </c>
    </row>
    <row r="65" spans="1:94" ht="16.350000000000001" customHeight="1">
      <c r="W65" s="751" t="str">
        <f>'Translate&amp;Prices&amp;Logo'!$O$550</f>
        <v>Umieszczenie uchwytu</v>
      </c>
      <c r="X65" s="751"/>
      <c r="Y65" s="751"/>
      <c r="Z65" s="751"/>
      <c r="AA65" s="751"/>
      <c r="AB65" s="56"/>
      <c r="AC65" s="750">
        <f>IFERROR(VLOOKUP(Ram_2!$H$27,BM42:BN65,2,0),0)</f>
        <v>0</v>
      </c>
      <c r="AD65" s="750"/>
      <c r="AE65" s="750"/>
      <c r="AF65" s="750"/>
      <c r="AG65" s="750"/>
      <c r="AH65" s="750"/>
      <c r="AI65" s="750"/>
      <c r="AJ65" s="750"/>
      <c r="AK65" s="750"/>
      <c r="AL65" s="750"/>
      <c r="AM65" s="750"/>
      <c r="AN65" s="750"/>
      <c r="AO65" s="750"/>
      <c r="AR65" s="766"/>
      <c r="BM65" s="325" t="s">
        <v>3908</v>
      </c>
      <c r="BN65" s="1" t="s">
        <v>249</v>
      </c>
      <c r="CK65" t="s">
        <v>2543</v>
      </c>
      <c r="CL65" t="s">
        <v>3281</v>
      </c>
    </row>
    <row r="66" spans="1:94" ht="16.350000000000001" customHeight="1">
      <c r="W66" s="751" t="str">
        <f>('Translate&amp;Prices&amp;Logo'!$O$174)&amp;" "&amp;"-"&amp;" "&amp;('Translate&amp;Prices&amp;Logo'!$O$169)&amp;" "&amp;" "&amp;2</f>
        <v>Ilość sztuk - Ramka  2</v>
      </c>
      <c r="X66" s="751"/>
      <c r="Y66" s="751"/>
      <c r="Z66" s="751"/>
      <c r="AA66" s="751"/>
      <c r="AB66" s="56"/>
      <c r="AC66" s="750">
        <f>Ram_2!$H$28</f>
        <v>0</v>
      </c>
      <c r="AD66" s="750"/>
      <c r="AE66" s="750"/>
      <c r="AF66" s="750"/>
      <c r="AG66" s="750"/>
      <c r="AH66" s="750"/>
      <c r="AI66" s="750"/>
      <c r="AJ66" s="750"/>
      <c r="AK66" s="750"/>
      <c r="AL66" s="750"/>
      <c r="AM66" s="750"/>
      <c r="AN66" s="750"/>
      <c r="AO66" s="750"/>
      <c r="AR66" s="766"/>
      <c r="BM66" s="175" t="s">
        <v>103</v>
      </c>
      <c r="BN66" s="133" t="s">
        <v>250</v>
      </c>
      <c r="CK66" t="s">
        <v>4353</v>
      </c>
      <c r="CL66" t="s">
        <v>4371</v>
      </c>
    </row>
    <row r="67" spans="1:94" ht="16.350000000000001" customHeight="1">
      <c r="AE67" s="1"/>
      <c r="AF67" s="1"/>
      <c r="AR67" s="766"/>
      <c r="BM67" s="133" t="s">
        <v>189</v>
      </c>
      <c r="BN67" s="133" t="s">
        <v>250</v>
      </c>
      <c r="CK67" t="s">
        <v>4354</v>
      </c>
      <c r="CL67" t="s">
        <v>4372</v>
      </c>
    </row>
    <row r="68" spans="1:94" ht="14.85" customHeight="1">
      <c r="AR68" s="766"/>
      <c r="BM68" s="133" t="s">
        <v>312</v>
      </c>
      <c r="BN68" s="133" t="s">
        <v>250</v>
      </c>
      <c r="BS68" s="133" t="s">
        <v>2301</v>
      </c>
      <c r="BT68" s="133" t="s">
        <v>2305</v>
      </c>
      <c r="CK68" t="s">
        <v>4355</v>
      </c>
      <c r="CL68" t="s">
        <v>4375</v>
      </c>
    </row>
    <row r="69" spans="1:94" ht="14.85" customHeight="1">
      <c r="W69" s="756" t="s">
        <v>1604</v>
      </c>
      <c r="X69" s="756"/>
      <c r="Y69" s="756"/>
      <c r="Z69" s="756"/>
      <c r="AE69" s="756" t="s">
        <v>1605</v>
      </c>
      <c r="AF69" s="756"/>
      <c r="AG69" s="756"/>
      <c r="AH69" s="756"/>
      <c r="AR69" s="766"/>
      <c r="BM69" s="133" t="s">
        <v>909</v>
      </c>
      <c r="BN69" s="133" t="s">
        <v>250</v>
      </c>
      <c r="BS69" s="133" t="s">
        <v>2302</v>
      </c>
      <c r="BT69" s="133" t="s">
        <v>2306</v>
      </c>
      <c r="CK69" t="s">
        <v>4356</v>
      </c>
      <c r="CL69" t="s">
        <v>4376</v>
      </c>
    </row>
    <row r="70" spans="1:94" ht="14.85" customHeight="1">
      <c r="AE70" s="768"/>
      <c r="AF70" s="769"/>
      <c r="AG70" s="769"/>
      <c r="AH70" s="769"/>
      <c r="AI70" s="769"/>
      <c r="AJ70" s="769"/>
      <c r="AK70" s="769"/>
      <c r="AL70" s="769"/>
      <c r="AM70" s="769"/>
      <c r="AN70" s="770"/>
      <c r="AR70" s="766"/>
      <c r="BM70" s="1" t="s">
        <v>3909</v>
      </c>
      <c r="BN70" s="133" t="s">
        <v>250</v>
      </c>
      <c r="BS70" s="133" t="s">
        <v>2303</v>
      </c>
      <c r="BT70" s="133" t="s">
        <v>2307</v>
      </c>
      <c r="CK70" t="s">
        <v>4357</v>
      </c>
      <c r="CL70" t="s">
        <v>4377</v>
      </c>
    </row>
    <row r="71" spans="1:94" ht="14.85" customHeight="1">
      <c r="AE71" s="771"/>
      <c r="AF71" s="772"/>
      <c r="AG71" s="772"/>
      <c r="AH71" s="772"/>
      <c r="AI71" s="772"/>
      <c r="AJ71" s="772"/>
      <c r="AK71" s="772"/>
      <c r="AL71" s="772"/>
      <c r="AM71" s="772"/>
      <c r="AN71" s="773"/>
      <c r="AR71" s="766"/>
      <c r="BM71" s="1" t="s">
        <v>250</v>
      </c>
      <c r="BN71" s="1" t="s">
        <v>250</v>
      </c>
      <c r="BS71" s="133" t="s">
        <v>2304</v>
      </c>
      <c r="BT71" s="133" t="s">
        <v>2308</v>
      </c>
      <c r="CK71" t="s">
        <v>4358</v>
      </c>
      <c r="CL71" t="s">
        <v>4378</v>
      </c>
    </row>
    <row r="72" spans="1:94" ht="14.85" customHeight="1">
      <c r="AE72" s="771"/>
      <c r="AF72" s="772"/>
      <c r="AG72" s="772"/>
      <c r="AH72" s="772"/>
      <c r="AI72" s="772"/>
      <c r="AJ72" s="772"/>
      <c r="AK72" s="772"/>
      <c r="AL72" s="772"/>
      <c r="AM72" s="772"/>
      <c r="AN72" s="773"/>
      <c r="AR72" s="766"/>
      <c r="BS72" s="175" t="s">
        <v>103</v>
      </c>
      <c r="BT72" s="133" t="s">
        <v>250</v>
      </c>
      <c r="CK72" t="s">
        <v>4359</v>
      </c>
      <c r="CL72" t="s">
        <v>4379</v>
      </c>
    </row>
    <row r="73" spans="1:94" ht="14.85" customHeight="1">
      <c r="D73" s="780">
        <f>IF(OR(Ram_2!$AC$25="x",Ram_2!$AJ$26="x",Ram_2!$AC$9="x",Ram_2!$AJ$7="x",Ram_2!$AB$16="x",Ram_2!$AM$23="x",Ram_2!$AN$19="x",Ram_2!$AD$10="x"),'Translate&amp;Prices&amp;Logo'!$B$588,0)</f>
        <v>0</v>
      </c>
      <c r="E73" s="780"/>
      <c r="F73" s="780"/>
      <c r="G73" s="780"/>
      <c r="H73" s="780"/>
      <c r="I73" s="780"/>
      <c r="J73" s="780"/>
      <c r="K73" s="780"/>
      <c r="L73" s="780"/>
      <c r="M73" s="780"/>
      <c r="N73" s="780"/>
      <c r="O73" s="780"/>
      <c r="P73" s="780"/>
      <c r="AE73" s="771"/>
      <c r="AF73" s="772"/>
      <c r="AG73" s="772"/>
      <c r="AH73" s="772"/>
      <c r="AI73" s="772"/>
      <c r="AJ73" s="772"/>
      <c r="AK73" s="772"/>
      <c r="AL73" s="772"/>
      <c r="AM73" s="772"/>
      <c r="AN73" s="773"/>
      <c r="AR73" s="766"/>
      <c r="BS73" s="133" t="s">
        <v>189</v>
      </c>
      <c r="BT73" s="133" t="s">
        <v>250</v>
      </c>
      <c r="CK73" t="s">
        <v>4192</v>
      </c>
      <c r="CL73" t="s">
        <v>2539</v>
      </c>
      <c r="CP73"/>
    </row>
    <row r="74" spans="1:94" ht="14.85" customHeight="1">
      <c r="AE74" s="771"/>
      <c r="AF74" s="772"/>
      <c r="AG74" s="772"/>
      <c r="AH74" s="772"/>
      <c r="AI74" s="772"/>
      <c r="AJ74" s="772"/>
      <c r="AK74" s="772"/>
      <c r="AL74" s="772"/>
      <c r="AM74" s="772"/>
      <c r="AN74" s="773"/>
      <c r="AR74" s="766"/>
      <c r="BS74" s="133" t="s">
        <v>312</v>
      </c>
      <c r="BT74" s="133" t="s">
        <v>250</v>
      </c>
      <c r="CK74" t="s">
        <v>4360</v>
      </c>
      <c r="CL74" t="s">
        <v>2979</v>
      </c>
    </row>
    <row r="75" spans="1:94" ht="14.85" customHeight="1" thickBot="1">
      <c r="AE75" s="771"/>
      <c r="AF75" s="772"/>
      <c r="AG75" s="772"/>
      <c r="AH75" s="772"/>
      <c r="AI75" s="772"/>
      <c r="AJ75" s="772"/>
      <c r="AK75" s="772"/>
      <c r="AL75" s="772"/>
      <c r="AM75" s="772"/>
      <c r="AN75" s="773"/>
      <c r="AR75" s="766"/>
      <c r="BS75" s="133" t="s">
        <v>909</v>
      </c>
      <c r="BT75" s="133" t="s">
        <v>250</v>
      </c>
      <c r="CK75" t="s">
        <v>4195</v>
      </c>
      <c r="CL75" t="s">
        <v>2540</v>
      </c>
    </row>
    <row r="76" spans="1:94" ht="14.85" customHeight="1" thickBot="1">
      <c r="G76" s="757" t="str">
        <f>'Translate&amp;Prices&amp;Logo'!$O$175</f>
        <v>Szerokość</v>
      </c>
      <c r="H76" s="758">
        <f>Ram_1!AG66</f>
        <v>0</v>
      </c>
      <c r="I76" s="758">
        <f>Ram_1!AH66</f>
        <v>0</v>
      </c>
      <c r="J76" s="759">
        <f>Ram_2!AI30</f>
        <v>0</v>
      </c>
      <c r="K76" s="759">
        <f>Ram_1!AJ66</f>
        <v>0</v>
      </c>
      <c r="L76" s="760">
        <f>Ram_1!AK66</f>
        <v>0</v>
      </c>
      <c r="AE76" s="771"/>
      <c r="AF76" s="772"/>
      <c r="AG76" s="772"/>
      <c r="AH76" s="772"/>
      <c r="AI76" s="772"/>
      <c r="AJ76" s="772"/>
      <c r="AK76" s="772"/>
      <c r="AL76" s="772"/>
      <c r="AM76" s="772"/>
      <c r="AN76" s="773"/>
      <c r="AR76" s="766"/>
      <c r="CK76" t="s">
        <v>4197</v>
      </c>
      <c r="CL76" t="s">
        <v>2541</v>
      </c>
    </row>
    <row r="77" spans="1:94" ht="21" customHeight="1">
      <c r="AE77" s="774"/>
      <c r="AF77" s="775"/>
      <c r="AG77" s="775"/>
      <c r="AH77" s="775"/>
      <c r="AI77" s="775"/>
      <c r="AJ77" s="775"/>
      <c r="AK77" s="775"/>
      <c r="AL77" s="775"/>
      <c r="AM77" s="775"/>
      <c r="AN77" s="776"/>
      <c r="AR77" s="766"/>
      <c r="CK77" t="s">
        <v>4361</v>
      </c>
      <c r="CL77" t="s">
        <v>2982</v>
      </c>
    </row>
    <row r="78" spans="1:94" ht="14.85" customHeight="1">
      <c r="AR78" s="766"/>
      <c r="CK78" t="s">
        <v>4362</v>
      </c>
      <c r="CL78" t="s">
        <v>2983</v>
      </c>
    </row>
    <row r="79" spans="1:94" ht="14.85" customHeight="1">
      <c r="AR79" s="766"/>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55" t="str">
        <f>'Translate&amp;Prices&amp;Logo'!$O$256</f>
        <v>Numer zamówienia</v>
      </c>
      <c r="X81" s="755"/>
      <c r="Y81" s="755"/>
      <c r="Z81" s="755"/>
      <c r="AA81" s="755"/>
      <c r="AB81" s="56"/>
      <c r="AC81" s="752">
        <f>Ram_3!AS5</f>
        <v>0</v>
      </c>
      <c r="AD81" s="753"/>
      <c r="AE81" s="753"/>
      <c r="AF81" s="753"/>
      <c r="AG81" s="753"/>
      <c r="AH81" s="753"/>
      <c r="AI81" s="753"/>
      <c r="AJ81" s="753"/>
      <c r="AK81" s="753"/>
      <c r="AL81" s="753"/>
      <c r="AM81" s="753"/>
      <c r="AN81" s="753"/>
      <c r="AO81" s="754"/>
      <c r="AR81" s="766" t="s">
        <v>1608</v>
      </c>
      <c r="CK81" t="s">
        <v>4198</v>
      </c>
      <c r="CL81" t="s">
        <v>2543</v>
      </c>
    </row>
    <row r="82" spans="10:90" ht="16.350000000000001" customHeight="1">
      <c r="W82" s="751" t="str">
        <f>'Translate&amp;Prices&amp;Logo'!$O$542</f>
        <v>Połączenie 2 profili</v>
      </c>
      <c r="X82" s="751"/>
      <c r="Y82" s="751"/>
      <c r="Z82" s="751"/>
      <c r="AA82" s="751"/>
      <c r="AB82" s="56"/>
      <c r="AC82" s="765" t="str">
        <f>IF(kombinace_3!$H$1=TRUE,"Tak","Nie")</f>
        <v>Nie</v>
      </c>
      <c r="AD82" s="765"/>
      <c r="AE82" s="765"/>
      <c r="AF82" s="765"/>
      <c r="AG82" s="765"/>
      <c r="AH82" s="765"/>
      <c r="AI82" s="765"/>
      <c r="AJ82" s="765"/>
      <c r="AK82" s="765"/>
      <c r="AL82" s="765"/>
      <c r="AM82" s="765"/>
      <c r="AN82" s="765"/>
      <c r="AO82" s="765"/>
      <c r="AR82" s="766"/>
      <c r="CK82" t="s">
        <v>4364</v>
      </c>
      <c r="CL82" t="s">
        <v>2981</v>
      </c>
    </row>
    <row r="83" spans="10:90" ht="16.350000000000001" customHeight="1">
      <c r="W83" s="751" t="str">
        <f>'Translate&amp;Prices&amp;Logo'!$O$172</f>
        <v>Rodzaj profilu</v>
      </c>
      <c r="X83" s="751"/>
      <c r="Y83" s="751"/>
      <c r="Z83" s="751"/>
      <c r="AA83" s="751"/>
      <c r="AB83" s="56"/>
      <c r="AC83" s="750">
        <f>IFERROR(VLOOKUP(Ram_3!$H$8,'Translate&amp;Prices&amp;Logo'!AA1:AB312,2,0),Ram_3!$H$8)</f>
        <v>0</v>
      </c>
      <c r="AD83" s="750"/>
      <c r="AE83" s="750"/>
      <c r="AF83" s="750"/>
      <c r="AG83" s="750"/>
      <c r="AH83" s="750"/>
      <c r="AI83" s="750"/>
      <c r="AJ83" s="750"/>
      <c r="AK83" s="750"/>
      <c r="AL83" s="750"/>
      <c r="AM83" s="750"/>
      <c r="AN83" s="750"/>
      <c r="AO83" s="750"/>
      <c r="AR83" s="766"/>
      <c r="CK83" t="s">
        <v>4200</v>
      </c>
      <c r="CL83" t="s">
        <v>2544</v>
      </c>
    </row>
    <row r="84" spans="10:90" ht="16.350000000000001" customHeight="1">
      <c r="W84" s="751" t="str">
        <f>'Translate&amp;Prices&amp;Logo'!$O$543</f>
        <v>Szprosy</v>
      </c>
      <c r="X84" s="751"/>
      <c r="Y84" s="751"/>
      <c r="Z84" s="751"/>
      <c r="AA84" s="751"/>
      <c r="AB84" s="56"/>
      <c r="AC84" s="750" t="str">
        <f>IFERROR(VLOOKUP(Ram_3!$AU$10,AU84:AV87,2,0),0)</f>
        <v>Nie</v>
      </c>
      <c r="AD84" s="750"/>
      <c r="AE84" s="750"/>
      <c r="AF84" s="750"/>
      <c r="AG84" s="750"/>
      <c r="AH84" s="750"/>
      <c r="AI84" s="750"/>
      <c r="AJ84" s="750"/>
      <c r="AK84" s="750"/>
      <c r="AL84" s="750"/>
      <c r="AM84" s="750"/>
      <c r="AN84" s="750"/>
      <c r="AO84" s="750"/>
      <c r="AR84" s="766"/>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67" t="str">
        <f>'Translate&amp;Prices&amp;Logo'!$O$558</f>
        <v>Poziomo (termin dostawy 4 tygodnie)</v>
      </c>
      <c r="AD85" s="767"/>
      <c r="AE85" s="767"/>
      <c r="AF85" s="767"/>
      <c r="AG85" s="767"/>
      <c r="AH85" s="767"/>
      <c r="AI85" s="767"/>
      <c r="AJ85" s="767" t="str">
        <f>'Translate&amp;Prices&amp;Logo'!$O$559</f>
        <v>Pionowo (termin dostawy 4 tygodnie)</v>
      </c>
      <c r="AK85" s="767"/>
      <c r="AL85" s="767"/>
      <c r="AM85" s="767"/>
      <c r="AN85" s="767"/>
      <c r="AO85" s="767"/>
      <c r="AR85" s="766"/>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1" t="str">
        <f>('Translate&amp;Prices&amp;Logo'!$O$543)&amp;" "&amp;"("&amp;'Translate&amp;Prices&amp;Logo'!$O$174&amp;")"</f>
        <v>Szprosy (Ilość sztuk)</v>
      </c>
      <c r="X86" s="751"/>
      <c r="Y86" s="751"/>
      <c r="Z86" s="751"/>
      <c r="AA86" s="751"/>
      <c r="AB86" s="56"/>
      <c r="AC86" s="750">
        <f>Ram_3!$H$11</f>
        <v>0</v>
      </c>
      <c r="AD86" s="750"/>
      <c r="AE86" s="750"/>
      <c r="AF86" s="750"/>
      <c r="AG86" s="750"/>
      <c r="AH86" s="750"/>
      <c r="AI86" s="750"/>
      <c r="AJ86" s="750">
        <f>Ram_3!$M$11</f>
        <v>0</v>
      </c>
      <c r="AK86" s="750"/>
      <c r="AL86" s="750"/>
      <c r="AM86" s="750"/>
      <c r="AN86" s="750"/>
      <c r="AO86" s="750"/>
      <c r="AR86" s="766"/>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1" t="str">
        <f>'Translate&amp;Prices&amp;Logo'!$O$258</f>
        <v>Typ okucia</v>
      </c>
      <c r="X87" s="751"/>
      <c r="Y87" s="751"/>
      <c r="Z87" s="751"/>
      <c r="AA87" s="751"/>
      <c r="AB87" s="56"/>
      <c r="AC87" s="750">
        <f>IFERROR(VLOOKUP(Ram_3!$AU$9,AZ84:BA85,2,0),0)</f>
        <v>0</v>
      </c>
      <c r="AD87" s="750"/>
      <c r="AE87" s="750"/>
      <c r="AF87" s="750"/>
      <c r="AG87" s="750"/>
      <c r="AH87" s="750"/>
      <c r="AI87" s="750"/>
      <c r="AJ87" s="750"/>
      <c r="AK87" s="750"/>
      <c r="AL87" s="750"/>
      <c r="AM87" s="750"/>
      <c r="AN87" s="750"/>
      <c r="AO87" s="750"/>
      <c r="AR87" s="766"/>
      <c r="AU87">
        <v>3</v>
      </c>
      <c r="AV87" t="str">
        <f>'Translate&amp;Prices&amp;Logo'!$O$560</f>
        <v>Poziomo i pionowo (termin dostawy 4 tygodnie)</v>
      </c>
      <c r="CA87"/>
      <c r="CB87"/>
      <c r="CK87" t="s">
        <v>4202</v>
      </c>
      <c r="CL87" t="s">
        <v>4381</v>
      </c>
    </row>
    <row r="88" spans="10:90" ht="16.350000000000001" customHeight="1">
      <c r="W88" s="751" t="str">
        <f>'Translate&amp;Prices&amp;Logo'!$O$544</f>
        <v>Marka okucia</v>
      </c>
      <c r="X88" s="751"/>
      <c r="Y88" s="751"/>
      <c r="Z88" s="751"/>
      <c r="AA88" s="751"/>
      <c r="AB88" s="56"/>
      <c r="AC88" s="750">
        <f>Ram_3!$H$13</f>
        <v>0</v>
      </c>
      <c r="AD88" s="750"/>
      <c r="AE88" s="750"/>
      <c r="AF88" s="750"/>
      <c r="AG88" s="750"/>
      <c r="AH88" s="750"/>
      <c r="AI88" s="750"/>
      <c r="AJ88" s="750"/>
      <c r="AK88" s="750"/>
      <c r="AL88" s="750"/>
      <c r="AM88" s="750"/>
      <c r="AN88" s="750"/>
      <c r="AO88" s="750"/>
      <c r="AR88" s="766"/>
      <c r="CA88"/>
      <c r="CB88"/>
      <c r="CK88" t="s">
        <v>4194</v>
      </c>
      <c r="CL88" t="s">
        <v>4374</v>
      </c>
    </row>
    <row r="89" spans="10:90" ht="16.350000000000001" customHeight="1" thickBot="1">
      <c r="W89" s="751" t="str">
        <f>'Translate&amp;Prices&amp;Logo'!$O$546</f>
        <v>Nałożenie</v>
      </c>
      <c r="X89" s="751"/>
      <c r="Y89" s="751"/>
      <c r="Z89" s="751"/>
      <c r="AA89" s="751"/>
      <c r="AB89" s="56"/>
      <c r="AC89" s="750">
        <f>IFERROR(VLOOKUP(Ram_3!$H$14,$BD$12:$BE$29,2,0),0)</f>
        <v>0</v>
      </c>
      <c r="AD89" s="750"/>
      <c r="AE89" s="750"/>
      <c r="AF89" s="750"/>
      <c r="AG89" s="750"/>
      <c r="AH89" s="750"/>
      <c r="AI89" s="750"/>
      <c r="AJ89" s="750"/>
      <c r="AK89" s="750"/>
      <c r="AL89" s="750"/>
      <c r="AM89" s="750"/>
      <c r="AN89" s="750"/>
      <c r="AO89" s="750"/>
      <c r="AR89" s="766"/>
      <c r="CA89"/>
      <c r="CB89"/>
      <c r="CK89" t="s">
        <v>4199</v>
      </c>
      <c r="CL89" t="s">
        <v>4382</v>
      </c>
    </row>
    <row r="90" spans="10:90" ht="16.350000000000001" customHeight="1">
      <c r="S90" s="761">
        <f>Ram_3!AR14</f>
        <v>0</v>
      </c>
      <c r="W90" s="751" t="str">
        <f>'Translate&amp;Prices&amp;Logo'!$O$545</f>
        <v>Wariant okucia</v>
      </c>
      <c r="X90" s="751"/>
      <c r="Y90" s="751"/>
      <c r="Z90" s="751"/>
      <c r="AA90" s="751"/>
      <c r="AB90" s="56"/>
      <c r="AC90" s="777">
        <f>IFERROR(VLOOKUP(Ram_3!$H$15,kombinace_1!$ED$2:$EE$758,2,0),Ram_3!$H$15)</f>
        <v>0</v>
      </c>
      <c r="AD90" s="777"/>
      <c r="AE90" s="777"/>
      <c r="AF90" s="777"/>
      <c r="AG90" s="777"/>
      <c r="AH90" s="777"/>
      <c r="AI90" s="777"/>
      <c r="AJ90" s="777" t="str">
        <f>IF(AC90='Translate&amp;Prices&amp;Logo'!C698,VLOOKUP(Ram_3!H17,'Translate&amp;Prices&amp;Logo'!C699:D746,2,0),"")</f>
        <v/>
      </c>
      <c r="AK90" s="777"/>
      <c r="AL90" s="777"/>
      <c r="AM90" s="777"/>
      <c r="AN90" s="777"/>
      <c r="AO90" s="777"/>
      <c r="AR90" s="766"/>
      <c r="CA90"/>
      <c r="CB90"/>
      <c r="CK90" t="s">
        <v>4203</v>
      </c>
      <c r="CL90" t="s">
        <v>4383</v>
      </c>
    </row>
    <row r="91" spans="10:90" ht="16.350000000000001" customHeight="1">
      <c r="S91" s="762">
        <f>Ram_1!AR87</f>
        <v>0</v>
      </c>
      <c r="W91" s="751" t="str">
        <f>'Translate&amp;Prices&amp;Logo'!$O$218</f>
        <v>Wybierz pozycję ramki</v>
      </c>
      <c r="X91" s="751"/>
      <c r="Y91" s="751"/>
      <c r="Z91" s="751"/>
      <c r="AA91" s="751"/>
      <c r="AB91" s="750">
        <f>IFERROR(VLOOKUP(Ram_3!$F$16,BI12:BJ23,2,0),0)</f>
        <v>0</v>
      </c>
      <c r="AC91" s="750"/>
      <c r="AD91" s="750"/>
      <c r="AE91" s="750"/>
      <c r="AF91" s="750"/>
      <c r="AG91" s="778" t="str">
        <f>'Translate&amp;Prices&amp;Logo'!$O$232</f>
        <v>Rodzaj drugiej ramki</v>
      </c>
      <c r="AH91" s="778"/>
      <c r="AI91" s="778"/>
      <c r="AJ91" s="250"/>
      <c r="AK91" s="750">
        <f>IFERROR(VLOOKUP(Ram_3!$N$16,BM12:BN41,2,0),0)</f>
        <v>0</v>
      </c>
      <c r="AL91" s="750"/>
      <c r="AM91" s="750"/>
      <c r="AN91" s="750"/>
      <c r="AO91" s="750"/>
      <c r="AR91" s="766"/>
      <c r="CA91"/>
      <c r="CB91"/>
      <c r="CL91"/>
    </row>
    <row r="92" spans="10:90" ht="16.350000000000001" customHeight="1">
      <c r="S92" s="762">
        <f>Ram_1!AR88</f>
        <v>0</v>
      </c>
      <c r="W92" s="751" t="str">
        <f>IF(AC87='Translate&amp;Prices&amp;Logo'!O551,'Translate&amp;Prices&amp;Logo'!O238,'Translate&amp;Prices&amp;Logo'!$O$226)</f>
        <v>Umieszczenie</v>
      </c>
      <c r="X92" s="751"/>
      <c r="Y92" s="751"/>
      <c r="Z92" s="751"/>
      <c r="AA92" s="751"/>
      <c r="AB92" s="56"/>
      <c r="AC92" s="750" t="str">
        <f>IFERROR((IF(Ram_3!H12='Translate&amp;Prices&amp;Logo'!B552,VLOOKUP(Ram_3!$N$16,BM42:BN71,2,0),VLOOKUP(Ram_3!$H$17,BM42:BN65,2,0))),"")</f>
        <v/>
      </c>
      <c r="AD92" s="750"/>
      <c r="AE92" s="750"/>
      <c r="AF92" s="750"/>
      <c r="AG92" s="750"/>
      <c r="AH92" s="750"/>
      <c r="AI92" s="750"/>
      <c r="AJ92" s="750"/>
      <c r="AK92" s="750"/>
      <c r="AL92" s="750"/>
      <c r="AM92" s="750"/>
      <c r="AN92" s="750"/>
      <c r="AO92" s="750"/>
      <c r="AR92" s="766"/>
      <c r="CA92"/>
      <c r="CB92"/>
      <c r="CL92"/>
    </row>
    <row r="93" spans="10:90" ht="16.350000000000001" customHeight="1">
      <c r="S93" s="762">
        <f>Ram_1!AR89</f>
        <v>0</v>
      </c>
      <c r="W93" s="751" t="str">
        <f>'Translate&amp;Prices&amp;Logo'!$O$547</f>
        <v>Zawiasy do podnośników</v>
      </c>
      <c r="X93" s="751"/>
      <c r="Y93" s="751"/>
      <c r="Z93" s="751"/>
      <c r="AA93" s="751"/>
      <c r="AB93" s="56"/>
      <c r="AC93" s="750">
        <f>IFERROR((VLOOKUP(Ram_3!$H$18,$CK$2:$CL$90,2,0)),Ram_3!$H$18)</f>
        <v>0</v>
      </c>
      <c r="AD93" s="750"/>
      <c r="AE93" s="750"/>
      <c r="AF93" s="750"/>
      <c r="AG93" s="750"/>
      <c r="AH93" s="750"/>
      <c r="AI93" s="750"/>
      <c r="AJ93" s="750"/>
      <c r="AK93" s="750"/>
      <c r="AL93" s="750"/>
      <c r="AM93" s="750"/>
      <c r="AN93" s="750"/>
      <c r="AO93" s="750"/>
      <c r="AR93" s="766"/>
      <c r="CA93"/>
      <c r="CB93"/>
      <c r="CL93"/>
    </row>
    <row r="94" spans="10:90" ht="16.350000000000001" customHeight="1">
      <c r="S94" s="762">
        <f>Ram_1!AR90</f>
        <v>0</v>
      </c>
      <c r="W94" s="751" t="str">
        <f>'Translate&amp;Prices&amp;Logo'!$O$223</f>
        <v>Ilość zawiasów na 1 ramkę</v>
      </c>
      <c r="X94" s="751"/>
      <c r="Y94" s="751"/>
      <c r="Z94" s="751"/>
      <c r="AA94" s="751"/>
      <c r="AB94" s="56"/>
      <c r="AC94" s="750">
        <f>Ram_3!$H$19</f>
        <v>0</v>
      </c>
      <c r="AD94" s="750"/>
      <c r="AE94" s="750"/>
      <c r="AF94" s="750"/>
      <c r="AG94" s="750"/>
      <c r="AH94" s="750"/>
      <c r="AI94" s="750"/>
      <c r="AJ94" s="750"/>
      <c r="AK94" s="750"/>
      <c r="AL94" s="750"/>
      <c r="AM94" s="750"/>
      <c r="AN94" s="750"/>
      <c r="AO94" s="750"/>
      <c r="AR94" s="766"/>
      <c r="CA94"/>
      <c r="CB94"/>
      <c r="CL94"/>
    </row>
    <row r="95" spans="10:90" ht="16.350000000000001" customHeight="1">
      <c r="S95" s="763" t="str">
        <f>'Translate&amp;Prices&amp;Logo'!$O$176</f>
        <v>Wysokość</v>
      </c>
      <c r="W95" s="751" t="str">
        <f>IFERROR(('Translate&amp;Prices&amp;Logo'!$O$242&amp;" "&amp;VLOOKUP(Ram_3!H17,kombinace_1!$BY$32:$CC$35,5,0)),"")</f>
        <v/>
      </c>
      <c r="X95" s="751"/>
      <c r="Y95" s="751"/>
      <c r="Z95" s="751"/>
      <c r="AA95" s="751"/>
      <c r="AB95" s="56"/>
      <c r="AC95" s="750">
        <f>Ram_3!$F$20</f>
        <v>100</v>
      </c>
      <c r="AD95" s="750"/>
      <c r="AE95" s="750"/>
      <c r="AF95" s="750"/>
      <c r="AG95" s="751" t="str">
        <f>IFERROR(('Translate&amp;Prices&amp;Logo'!$O$242&amp;" "&amp;VLOOKUP(Ram_3!H17,kombinace_1!$BY$32:$CD$35,6,0)),"")</f>
        <v/>
      </c>
      <c r="AH95" s="751"/>
      <c r="AI95" s="751"/>
      <c r="AJ95" s="751"/>
      <c r="AK95" s="751"/>
      <c r="AL95" s="750">
        <f>Ram_3!$N$20</f>
        <v>100</v>
      </c>
      <c r="AM95" s="750"/>
      <c r="AN95" s="750"/>
      <c r="AO95" s="750"/>
      <c r="AR95" s="766"/>
      <c r="CA95"/>
      <c r="CB95"/>
      <c r="CL95"/>
    </row>
    <row r="96" spans="10:90" ht="16.350000000000001" customHeight="1">
      <c r="S96" s="763">
        <f>Ram_1!AR92</f>
        <v>0</v>
      </c>
      <c r="W96" s="250" t="str">
        <f>'Translate&amp;Prices&amp;Logo'!$O$653</f>
        <v>Wypełnienie z siatki</v>
      </c>
      <c r="X96" s="126"/>
      <c r="Y96" s="126"/>
      <c r="Z96" s="126"/>
      <c r="AA96" s="126"/>
      <c r="AB96" s="56"/>
      <c r="AC96" s="749" t="str">
        <f>IF(kombinace_3!FC2=TRUE,"Tak","Nie")</f>
        <v>Nie</v>
      </c>
      <c r="AD96" s="749"/>
      <c r="AE96" s="749"/>
      <c r="AF96" s="749"/>
      <c r="AG96" s="749"/>
      <c r="AH96" s="749"/>
      <c r="AI96" s="749"/>
      <c r="AJ96" s="749"/>
      <c r="AK96" s="749"/>
      <c r="AL96" s="749"/>
      <c r="AM96" s="749"/>
      <c r="AN96" s="749"/>
      <c r="AO96" s="749"/>
      <c r="AR96" s="766"/>
      <c r="CA96"/>
      <c r="CB96"/>
      <c r="CL96"/>
    </row>
    <row r="97" spans="4:90" ht="16.350000000000001" customHeight="1">
      <c r="S97" s="763">
        <f>Ram_1!AR93</f>
        <v>0</v>
      </c>
      <c r="W97" s="751" t="str">
        <f>'Translate&amp;Prices&amp;Logo'!$O$173</f>
        <v>Rodzaj szkła</v>
      </c>
      <c r="X97" s="751"/>
      <c r="Y97" s="751"/>
      <c r="Z97" s="751"/>
      <c r="AA97" s="751"/>
      <c r="AB97" s="56"/>
      <c r="AC97" s="750" t="str">
        <f>IFERROR(VLOOKUP(kombinace_3!$V$1,BX84:BY86,2,0),0)</f>
        <v>Bez modyfikacji</v>
      </c>
      <c r="AD97" s="750"/>
      <c r="AE97" s="750"/>
      <c r="AF97" s="750"/>
      <c r="AG97" s="750"/>
      <c r="AH97" s="750"/>
      <c r="AI97" s="750"/>
      <c r="AJ97" s="750"/>
      <c r="AK97" s="750"/>
      <c r="AL97" s="750"/>
      <c r="AM97" s="750"/>
      <c r="AN97" s="750"/>
      <c r="AO97" s="750"/>
      <c r="AR97" s="766"/>
      <c r="CA97"/>
      <c r="CB97"/>
      <c r="CL97"/>
    </row>
    <row r="98" spans="4:90" ht="16.350000000000001" customHeight="1">
      <c r="S98" s="763">
        <f>Ram_1!AR94</f>
        <v>0</v>
      </c>
      <c r="W98" s="751" t="str">
        <f>'Translate&amp;Prices&amp;Logo'!$O$562</f>
        <v>Rodzaj folii</v>
      </c>
      <c r="X98" s="751"/>
      <c r="Y98" s="751"/>
      <c r="Z98" s="751"/>
      <c r="AA98" s="751"/>
      <c r="AB98" s="56"/>
      <c r="AC98" s="750">
        <f>IFERROR(VLOOKUP(Ram_3!$H$24,CA12:CB29,2,0),0)</f>
        <v>0</v>
      </c>
      <c r="AD98" s="750"/>
      <c r="AE98" s="750"/>
      <c r="AF98" s="750"/>
      <c r="AG98" s="750"/>
      <c r="AH98" s="750"/>
      <c r="AI98" s="750"/>
      <c r="AJ98" s="750"/>
      <c r="AK98" s="750"/>
      <c r="AL98" s="750"/>
      <c r="AM98" s="750"/>
      <c r="AN98" s="750"/>
      <c r="AO98" s="750"/>
      <c r="AR98" s="766"/>
      <c r="CA98"/>
      <c r="CB98"/>
      <c r="CL98"/>
    </row>
    <row r="99" spans="4:90" ht="16.350000000000001" customHeight="1" thickBot="1">
      <c r="S99" s="764">
        <f>Ram_1!AR95</f>
        <v>0</v>
      </c>
      <c r="W99" s="751" t="str">
        <f>'Translate&amp;Prices&amp;Logo'!$O$173</f>
        <v>Rodzaj szkła</v>
      </c>
      <c r="X99" s="751"/>
      <c r="Y99" s="751"/>
      <c r="Z99" s="751"/>
      <c r="AA99" s="751"/>
      <c r="AB99" s="56"/>
      <c r="AC99" s="750">
        <f>IFERROR(VLOOKUP(Ram_3!$H$25,'Translate&amp;Prices&amp;Logo'!$AH$1:$AI$165,2,0),Ram_3!$H$25)</f>
        <v>0</v>
      </c>
      <c r="AD99" s="750"/>
      <c r="AE99" s="750"/>
      <c r="AF99" s="750"/>
      <c r="AG99" s="750"/>
      <c r="AH99" s="750"/>
      <c r="AI99" s="750"/>
      <c r="AJ99" s="750"/>
      <c r="AK99" s="750"/>
      <c r="AL99" s="750"/>
      <c r="AM99" s="750"/>
      <c r="AN99" s="750"/>
      <c r="AO99" s="750"/>
      <c r="AR99" s="766"/>
      <c r="CL99"/>
    </row>
    <row r="100" spans="4:90" ht="16.350000000000001" customHeight="1">
      <c r="W100" s="751" t="str">
        <f>'Translate&amp;Prices&amp;Logo'!$O$549</f>
        <v>Rozstaw uchwytu (mm)</v>
      </c>
      <c r="X100" s="751"/>
      <c r="Y100" s="751"/>
      <c r="Z100" s="751"/>
      <c r="AA100" s="751"/>
      <c r="AB100" s="56"/>
      <c r="AC100" s="750">
        <f>Ram_3!$H$26</f>
        <v>0</v>
      </c>
      <c r="AD100" s="750"/>
      <c r="AE100" s="750"/>
      <c r="AF100" s="750"/>
      <c r="AG100" s="750"/>
      <c r="AH100" s="750"/>
      <c r="AI100" s="750"/>
      <c r="AJ100" s="750"/>
      <c r="AK100" s="750"/>
      <c r="AL100" s="750"/>
      <c r="AM100" s="750"/>
      <c r="AN100" s="750"/>
      <c r="AO100" s="750"/>
      <c r="AR100" s="766"/>
      <c r="CK100"/>
      <c r="CL100"/>
    </row>
    <row r="101" spans="4:90" ht="16.350000000000001" customHeight="1">
      <c r="W101" s="751" t="str">
        <f>'Translate&amp;Prices&amp;Logo'!$O$550</f>
        <v>Umieszczenie uchwytu</v>
      </c>
      <c r="X101" s="751"/>
      <c r="Y101" s="751"/>
      <c r="Z101" s="751"/>
      <c r="AA101" s="751"/>
      <c r="AB101" s="56"/>
      <c r="AC101" s="750">
        <f>IFERROR(VLOOKUP(Ram_3!$H$27,BM42:BN65,2,0),0)</f>
        <v>0</v>
      </c>
      <c r="AD101" s="750"/>
      <c r="AE101" s="750"/>
      <c r="AF101" s="750"/>
      <c r="AG101" s="750"/>
      <c r="AH101" s="750"/>
      <c r="AI101" s="750"/>
      <c r="AJ101" s="750"/>
      <c r="AK101" s="750"/>
      <c r="AL101" s="750"/>
      <c r="AM101" s="750"/>
      <c r="AN101" s="750"/>
      <c r="AO101" s="750"/>
      <c r="AR101" s="766"/>
      <c r="CK101"/>
      <c r="CL101"/>
    </row>
    <row r="102" spans="4:90" ht="16.350000000000001" customHeight="1">
      <c r="W102" s="751" t="str">
        <f>('Translate&amp;Prices&amp;Logo'!$O$174)&amp;" "&amp;"-"&amp;" "&amp;('Translate&amp;Prices&amp;Logo'!$O$169)&amp;" "&amp;" "&amp;3</f>
        <v>Ilość sztuk - Ramka  3</v>
      </c>
      <c r="X102" s="751"/>
      <c r="Y102" s="751"/>
      <c r="Z102" s="751"/>
      <c r="AA102" s="751"/>
      <c r="AB102" s="56"/>
      <c r="AC102" s="750">
        <f>Ram_3!$H$28</f>
        <v>0</v>
      </c>
      <c r="AD102" s="750"/>
      <c r="AE102" s="750"/>
      <c r="AF102" s="750"/>
      <c r="AG102" s="750"/>
      <c r="AH102" s="750"/>
      <c r="AI102" s="750"/>
      <c r="AJ102" s="750"/>
      <c r="AK102" s="750"/>
      <c r="AL102" s="750"/>
      <c r="AM102" s="750"/>
      <c r="AN102" s="750"/>
      <c r="AO102" s="750"/>
      <c r="AR102" s="766"/>
      <c r="CK102"/>
      <c r="CL102"/>
    </row>
    <row r="103" spans="4:90" ht="16.350000000000001" customHeight="1">
      <c r="AE103" s="1"/>
      <c r="AF103" s="1"/>
      <c r="AR103" s="766"/>
      <c r="CK103"/>
      <c r="CL103"/>
    </row>
    <row r="104" spans="4:90" ht="14.85" customHeight="1">
      <c r="AR104" s="766"/>
      <c r="BS104" s="133" t="s">
        <v>2309</v>
      </c>
      <c r="BT104" s="133" t="s">
        <v>2305</v>
      </c>
      <c r="CK104"/>
      <c r="CL104"/>
    </row>
    <row r="105" spans="4:90" ht="14.85" customHeight="1">
      <c r="W105" s="756" t="s">
        <v>1604</v>
      </c>
      <c r="X105" s="756"/>
      <c r="Y105" s="756"/>
      <c r="Z105" s="756"/>
      <c r="AE105" s="756" t="s">
        <v>1605</v>
      </c>
      <c r="AF105" s="756"/>
      <c r="AG105" s="756"/>
      <c r="AH105" s="756"/>
      <c r="AR105" s="766"/>
      <c r="BS105" s="133" t="s">
        <v>2310</v>
      </c>
      <c r="BT105" s="133" t="s">
        <v>2306</v>
      </c>
      <c r="CK105"/>
      <c r="CL105"/>
    </row>
    <row r="106" spans="4:90" ht="14.85" customHeight="1">
      <c r="AE106" s="768"/>
      <c r="AF106" s="769"/>
      <c r="AG106" s="769"/>
      <c r="AH106" s="769"/>
      <c r="AI106" s="769"/>
      <c r="AJ106" s="769"/>
      <c r="AK106" s="769"/>
      <c r="AL106" s="769"/>
      <c r="AM106" s="769"/>
      <c r="AN106" s="770"/>
      <c r="AR106" s="766"/>
      <c r="BS106" s="133" t="s">
        <v>2311</v>
      </c>
      <c r="BT106" s="133" t="s">
        <v>2307</v>
      </c>
      <c r="CK106"/>
      <c r="CL106"/>
    </row>
    <row r="107" spans="4:90" ht="14.85" customHeight="1">
      <c r="AE107" s="771"/>
      <c r="AF107" s="772"/>
      <c r="AG107" s="772"/>
      <c r="AH107" s="772"/>
      <c r="AI107" s="772"/>
      <c r="AJ107" s="772"/>
      <c r="AK107" s="772"/>
      <c r="AL107" s="772"/>
      <c r="AM107" s="772"/>
      <c r="AN107" s="773"/>
      <c r="AR107" s="766"/>
      <c r="BS107" s="133" t="s">
        <v>2312</v>
      </c>
      <c r="BT107" s="133" t="s">
        <v>2308</v>
      </c>
      <c r="CK107"/>
      <c r="CL107"/>
    </row>
    <row r="108" spans="4:90" ht="14.85" customHeight="1">
      <c r="AE108" s="771"/>
      <c r="AF108" s="772"/>
      <c r="AG108" s="772"/>
      <c r="AH108" s="772"/>
      <c r="AI108" s="772"/>
      <c r="AJ108" s="772"/>
      <c r="AK108" s="772"/>
      <c r="AL108" s="772"/>
      <c r="AM108" s="772"/>
      <c r="AN108" s="773"/>
      <c r="AR108" s="766"/>
      <c r="CK108"/>
      <c r="CL108"/>
    </row>
    <row r="109" spans="4:90" ht="14.85" customHeight="1">
      <c r="D109" s="780">
        <f>IF(OR(Ram_3!$AC$25="x",Ram_3!$AJ$26="x",Ram_3!$AC$9="x",Ram_3!$AJ$7="x",Ram_3!$AB$16="x",Ram_3!$AM$23="x",Ram_3!$AN$19="x",Ram_3!$AD$10="x"),'Translate&amp;Prices&amp;Logo'!$B$588,0)</f>
        <v>0</v>
      </c>
      <c r="E109" s="780"/>
      <c r="F109" s="780"/>
      <c r="G109" s="780"/>
      <c r="H109" s="780"/>
      <c r="I109" s="780"/>
      <c r="J109" s="780"/>
      <c r="K109" s="780"/>
      <c r="L109" s="780"/>
      <c r="M109" s="780"/>
      <c r="N109" s="780"/>
      <c r="O109" s="780"/>
      <c r="P109" s="780"/>
      <c r="AE109" s="771"/>
      <c r="AF109" s="772"/>
      <c r="AG109" s="772"/>
      <c r="AH109" s="772"/>
      <c r="AI109" s="772"/>
      <c r="AJ109" s="772"/>
      <c r="AK109" s="772"/>
      <c r="AL109" s="772"/>
      <c r="AM109" s="772"/>
      <c r="AN109" s="773"/>
      <c r="AR109" s="766"/>
      <c r="CK109"/>
      <c r="CL109"/>
    </row>
    <row r="110" spans="4:90" ht="14.85" customHeight="1">
      <c r="AE110" s="771"/>
      <c r="AF110" s="772"/>
      <c r="AG110" s="772"/>
      <c r="AH110" s="772"/>
      <c r="AI110" s="772"/>
      <c r="AJ110" s="772"/>
      <c r="AK110" s="772"/>
      <c r="AL110" s="772"/>
      <c r="AM110" s="772"/>
      <c r="AN110" s="773"/>
      <c r="AR110" s="766"/>
      <c r="CK110"/>
      <c r="CL110"/>
    </row>
    <row r="111" spans="4:90" ht="14.85" customHeight="1" thickBot="1">
      <c r="AE111" s="771"/>
      <c r="AF111" s="772"/>
      <c r="AG111" s="772"/>
      <c r="AH111" s="772"/>
      <c r="AI111" s="772"/>
      <c r="AJ111" s="772"/>
      <c r="AK111" s="772"/>
      <c r="AL111" s="772"/>
      <c r="AM111" s="772"/>
      <c r="AN111" s="773"/>
      <c r="AR111" s="766"/>
      <c r="CK111"/>
      <c r="CL111"/>
    </row>
    <row r="112" spans="4:90" ht="14.85" customHeight="1" thickBot="1">
      <c r="G112" s="757" t="str">
        <f>'Translate&amp;Prices&amp;Logo'!$O$175</f>
        <v>Szerokość</v>
      </c>
      <c r="H112" s="758">
        <f>Ram_1!AG102</f>
        <v>0</v>
      </c>
      <c r="I112" s="758">
        <f>Ram_1!AH102</f>
        <v>0</v>
      </c>
      <c r="J112" s="759">
        <f>Ram_3!AI30</f>
        <v>0</v>
      </c>
      <c r="K112" s="759">
        <f>Ram_1!AJ102</f>
        <v>0</v>
      </c>
      <c r="L112" s="760">
        <f>Ram_1!AK102</f>
        <v>0</v>
      </c>
      <c r="AE112" s="771"/>
      <c r="AF112" s="772"/>
      <c r="AG112" s="772"/>
      <c r="AH112" s="772"/>
      <c r="AI112" s="772"/>
      <c r="AJ112" s="772"/>
      <c r="AK112" s="772"/>
      <c r="AL112" s="772"/>
      <c r="AM112" s="772"/>
      <c r="AN112" s="773"/>
      <c r="AR112" s="766"/>
      <c r="CK112"/>
      <c r="CL112"/>
    </row>
    <row r="113" spans="1:101" ht="21" customHeight="1">
      <c r="AE113" s="774"/>
      <c r="AF113" s="775"/>
      <c r="AG113" s="775"/>
      <c r="AH113" s="775"/>
      <c r="AI113" s="775"/>
      <c r="AJ113" s="775"/>
      <c r="AK113" s="775"/>
      <c r="AL113" s="775"/>
      <c r="AM113" s="775"/>
      <c r="AN113" s="776"/>
      <c r="AR113" s="766"/>
      <c r="CK113"/>
      <c r="CL113"/>
    </row>
    <row r="114" spans="1:101" ht="14.85" customHeight="1">
      <c r="AR114" s="766"/>
      <c r="CK114"/>
      <c r="CL114"/>
      <c r="CM114" s="31"/>
      <c r="CN114" s="31"/>
      <c r="CO114" s="31"/>
      <c r="CP114" s="31"/>
      <c r="CQ114" s="31"/>
      <c r="CR114" s="31"/>
      <c r="CS114" s="31"/>
      <c r="CT114" s="31"/>
      <c r="CU114" s="31"/>
      <c r="CV114" s="31"/>
      <c r="CW114" s="31"/>
    </row>
    <row r="115" spans="1:101" ht="14.85" customHeight="1">
      <c r="AR115" s="766"/>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55" t="str">
        <f>'Translate&amp;Prices&amp;Logo'!$O$256</f>
        <v>Numer zamówienia</v>
      </c>
      <c r="X117" s="755"/>
      <c r="Y117" s="755"/>
      <c r="Z117" s="755"/>
      <c r="AA117" s="755"/>
      <c r="AB117" s="56"/>
      <c r="AC117" s="752">
        <f>Ram_4!AS5</f>
        <v>0</v>
      </c>
      <c r="AD117" s="753"/>
      <c r="AE117" s="753"/>
      <c r="AF117" s="753"/>
      <c r="AG117" s="753"/>
      <c r="AH117" s="753"/>
      <c r="AI117" s="753"/>
      <c r="AJ117" s="753"/>
      <c r="AK117" s="753"/>
      <c r="AL117" s="753"/>
      <c r="AM117" s="753"/>
      <c r="AN117" s="753"/>
      <c r="AO117" s="754"/>
      <c r="AR117" s="766" t="s">
        <v>1609</v>
      </c>
      <c r="CK117"/>
      <c r="CL117"/>
    </row>
    <row r="118" spans="1:101" ht="16.350000000000001" customHeight="1">
      <c r="W118" s="751" t="str">
        <f>'Translate&amp;Prices&amp;Logo'!$O$542</f>
        <v>Połączenie 2 profili</v>
      </c>
      <c r="X118" s="751"/>
      <c r="Y118" s="751"/>
      <c r="Z118" s="751"/>
      <c r="AA118" s="751"/>
      <c r="AB118" s="56"/>
      <c r="AC118" s="765" t="str">
        <f>IF(kombinace_4!$H$1=TRUE,"Tak","Nie")</f>
        <v>Nie</v>
      </c>
      <c r="AD118" s="765"/>
      <c r="AE118" s="765"/>
      <c r="AF118" s="765"/>
      <c r="AG118" s="765"/>
      <c r="AH118" s="765"/>
      <c r="AI118" s="765"/>
      <c r="AJ118" s="765"/>
      <c r="AK118" s="765"/>
      <c r="AL118" s="765"/>
      <c r="AM118" s="765"/>
      <c r="AN118" s="765"/>
      <c r="AO118" s="765"/>
      <c r="AR118" s="766"/>
      <c r="CK118"/>
      <c r="CL118"/>
    </row>
    <row r="119" spans="1:101" ht="16.350000000000001" customHeight="1">
      <c r="W119" s="751" t="str">
        <f>'Translate&amp;Prices&amp;Logo'!$O$172</f>
        <v>Rodzaj profilu</v>
      </c>
      <c r="X119" s="751"/>
      <c r="Y119" s="751"/>
      <c r="Z119" s="751"/>
      <c r="AA119" s="751"/>
      <c r="AB119" s="56"/>
      <c r="AC119" s="750">
        <f>IFERROR(VLOOKUP(Ram_4!$H$8,'Translate&amp;Prices&amp;Logo'!AA1:AB312,2,0),Ram_4!$H$8)</f>
        <v>0</v>
      </c>
      <c r="AD119" s="750"/>
      <c r="AE119" s="750"/>
      <c r="AF119" s="750"/>
      <c r="AG119" s="750"/>
      <c r="AH119" s="750"/>
      <c r="AI119" s="750"/>
      <c r="AJ119" s="750"/>
      <c r="AK119" s="750"/>
      <c r="AL119" s="750"/>
      <c r="AM119" s="750"/>
      <c r="AN119" s="750"/>
      <c r="AO119" s="750"/>
      <c r="AR119" s="766"/>
      <c r="CK119"/>
      <c r="CL119"/>
    </row>
    <row r="120" spans="1:101" ht="16.350000000000001" customHeight="1">
      <c r="W120" s="751" t="str">
        <f>'Translate&amp;Prices&amp;Logo'!$O$543</f>
        <v>Szprosy</v>
      </c>
      <c r="X120" s="751"/>
      <c r="Y120" s="751"/>
      <c r="Z120" s="751"/>
      <c r="AA120" s="751"/>
      <c r="AB120" s="56"/>
      <c r="AC120" s="750" t="str">
        <f>IFERROR(VLOOKUP(Ram_4!$AU$10,AU120:AV123,2,0),0)</f>
        <v>Nie</v>
      </c>
      <c r="AD120" s="750"/>
      <c r="AE120" s="750"/>
      <c r="AF120" s="750"/>
      <c r="AG120" s="750"/>
      <c r="AH120" s="750"/>
      <c r="AI120" s="750"/>
      <c r="AJ120" s="750"/>
      <c r="AK120" s="750"/>
      <c r="AL120" s="750"/>
      <c r="AM120" s="750"/>
      <c r="AN120" s="750"/>
      <c r="AO120" s="750"/>
      <c r="AR120" s="766"/>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67" t="str">
        <f>'Translate&amp;Prices&amp;Logo'!$O$558</f>
        <v>Poziomo (termin dostawy 4 tygodnie)</v>
      </c>
      <c r="AD121" s="767"/>
      <c r="AE121" s="767"/>
      <c r="AF121" s="767"/>
      <c r="AG121" s="767"/>
      <c r="AH121" s="767"/>
      <c r="AI121" s="767"/>
      <c r="AJ121" s="767" t="str">
        <f>'Translate&amp;Prices&amp;Logo'!$O$559</f>
        <v>Pionowo (termin dostawy 4 tygodnie)</v>
      </c>
      <c r="AK121" s="767"/>
      <c r="AL121" s="767"/>
      <c r="AM121" s="767"/>
      <c r="AN121" s="767"/>
      <c r="AO121" s="767"/>
      <c r="AR121" s="766"/>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1" t="str">
        <f>('Translate&amp;Prices&amp;Logo'!$O$543)&amp;" "&amp;"("&amp;'Translate&amp;Prices&amp;Logo'!$O$174&amp;")"</f>
        <v>Szprosy (Ilość sztuk)</v>
      </c>
      <c r="X122" s="751"/>
      <c r="Y122" s="751"/>
      <c r="Z122" s="751"/>
      <c r="AA122" s="751"/>
      <c r="AB122" s="56"/>
      <c r="AC122" s="750">
        <f>Ram_4!$H$11</f>
        <v>0</v>
      </c>
      <c r="AD122" s="750"/>
      <c r="AE122" s="750"/>
      <c r="AF122" s="750"/>
      <c r="AG122" s="750"/>
      <c r="AH122" s="750"/>
      <c r="AI122" s="750"/>
      <c r="AJ122" s="750">
        <f>Ram_4!$M$11</f>
        <v>0</v>
      </c>
      <c r="AK122" s="750"/>
      <c r="AL122" s="750"/>
      <c r="AM122" s="750"/>
      <c r="AN122" s="750"/>
      <c r="AO122" s="750"/>
      <c r="AR122" s="766"/>
      <c r="AU122">
        <v>2</v>
      </c>
      <c r="AV122" t="str">
        <f>'Translate&amp;Prices&amp;Logo'!$O$559</f>
        <v>Pionowo (termin dostawy 4 tygodnie)</v>
      </c>
      <c r="BX122" s="1">
        <v>3</v>
      </c>
      <c r="BY122" s="1" t="str">
        <f>'Translate&amp;Prices&amp;Logo'!$O$102</f>
        <v>Folia</v>
      </c>
      <c r="CA122"/>
      <c r="CB122"/>
    </row>
    <row r="123" spans="1:101" ht="16.350000000000001" customHeight="1">
      <c r="W123" s="751" t="str">
        <f>'Translate&amp;Prices&amp;Logo'!$O$258</f>
        <v>Typ okucia</v>
      </c>
      <c r="X123" s="751"/>
      <c r="Y123" s="751"/>
      <c r="Z123" s="751"/>
      <c r="AA123" s="751"/>
      <c r="AB123" s="56"/>
      <c r="AC123" s="750">
        <f>IFERROR(VLOOKUP(Ram_4!$AU$9,AZ120:BA121,2,0),0)</f>
        <v>0</v>
      </c>
      <c r="AD123" s="750"/>
      <c r="AE123" s="750"/>
      <c r="AF123" s="750"/>
      <c r="AG123" s="750"/>
      <c r="AH123" s="750"/>
      <c r="AI123" s="750"/>
      <c r="AJ123" s="750"/>
      <c r="AK123" s="750"/>
      <c r="AL123" s="750"/>
      <c r="AM123" s="750"/>
      <c r="AN123" s="750"/>
      <c r="AO123" s="750"/>
      <c r="AR123" s="766"/>
      <c r="AU123">
        <v>3</v>
      </c>
      <c r="AV123" t="str">
        <f>'Translate&amp;Prices&amp;Logo'!$O$560</f>
        <v>Poziomo i pionowo (termin dostawy 4 tygodnie)</v>
      </c>
      <c r="CA123"/>
      <c r="CB123"/>
    </row>
    <row r="124" spans="1:101" ht="16.350000000000001" customHeight="1">
      <c r="W124" s="751" t="str">
        <f>'Translate&amp;Prices&amp;Logo'!$O$544</f>
        <v>Marka okucia</v>
      </c>
      <c r="X124" s="751"/>
      <c r="Y124" s="751"/>
      <c r="Z124" s="751"/>
      <c r="AA124" s="751"/>
      <c r="AB124" s="56"/>
      <c r="AC124" s="750">
        <f>Ram_4!$H$13</f>
        <v>0</v>
      </c>
      <c r="AD124" s="750"/>
      <c r="AE124" s="750"/>
      <c r="AF124" s="750"/>
      <c r="AG124" s="750"/>
      <c r="AH124" s="750"/>
      <c r="AI124" s="750"/>
      <c r="AJ124" s="750"/>
      <c r="AK124" s="750"/>
      <c r="AL124" s="750"/>
      <c r="AM124" s="750"/>
      <c r="AN124" s="750"/>
      <c r="AO124" s="750"/>
      <c r="AR124" s="766"/>
      <c r="CA124"/>
      <c r="CB124"/>
    </row>
    <row r="125" spans="1:101" ht="16.350000000000001" customHeight="1" thickBot="1">
      <c r="W125" s="751" t="str">
        <f>'Translate&amp;Prices&amp;Logo'!$O$546</f>
        <v>Nałożenie</v>
      </c>
      <c r="X125" s="751"/>
      <c r="Y125" s="751"/>
      <c r="Z125" s="751"/>
      <c r="AA125" s="751"/>
      <c r="AB125" s="56"/>
      <c r="AC125" s="750">
        <f>IFERROR(VLOOKUP(Ram_4!$H$14,$BD$12:$BE$29,2,0),0)</f>
        <v>0</v>
      </c>
      <c r="AD125" s="750"/>
      <c r="AE125" s="750"/>
      <c r="AF125" s="750"/>
      <c r="AG125" s="750"/>
      <c r="AH125" s="750"/>
      <c r="AI125" s="750"/>
      <c r="AJ125" s="750"/>
      <c r="AK125" s="750"/>
      <c r="AL125" s="750"/>
      <c r="AM125" s="750"/>
      <c r="AN125" s="750"/>
      <c r="AO125" s="750"/>
      <c r="AR125" s="766"/>
      <c r="CA125"/>
      <c r="CB125"/>
    </row>
    <row r="126" spans="1:101" ht="16.350000000000001" customHeight="1">
      <c r="S126" s="761">
        <f>Ram_4!AR14</f>
        <v>0</v>
      </c>
      <c r="W126" s="751" t="str">
        <f>'Translate&amp;Prices&amp;Logo'!$O$545</f>
        <v>Wariant okucia</v>
      </c>
      <c r="X126" s="751"/>
      <c r="Y126" s="751"/>
      <c r="Z126" s="751"/>
      <c r="AA126" s="751"/>
      <c r="AB126" s="56"/>
      <c r="AC126" s="777">
        <f>IFERROR(VLOOKUP(Ram_4!$H$15,kombinace_1!$ED$2:$EE$758,2,0),Ram_4!$H$15)</f>
        <v>0</v>
      </c>
      <c r="AD126" s="777"/>
      <c r="AE126" s="777"/>
      <c r="AF126" s="777"/>
      <c r="AG126" s="777"/>
      <c r="AH126" s="777"/>
      <c r="AI126" s="777"/>
      <c r="AJ126" s="750" t="str">
        <f>IF(AC126='Translate&amp;Prices&amp;Logo'!C698,VLOOKUP(Ram_4!H17,'Translate&amp;Prices&amp;Logo'!C699:D746,2,0),"")</f>
        <v/>
      </c>
      <c r="AK126" s="750"/>
      <c r="AL126" s="750"/>
      <c r="AM126" s="750"/>
      <c r="AN126" s="750"/>
      <c r="AO126" s="750"/>
      <c r="AR126" s="766"/>
      <c r="CA126"/>
      <c r="CB126"/>
    </row>
    <row r="127" spans="1:101" ht="16.350000000000001" customHeight="1">
      <c r="S127" s="762">
        <f>Ram_1!AR123</f>
        <v>0</v>
      </c>
      <c r="W127" s="751" t="str">
        <f>'Translate&amp;Prices&amp;Logo'!$O$218</f>
        <v>Wybierz pozycję ramki</v>
      </c>
      <c r="X127" s="751"/>
      <c r="Y127" s="751"/>
      <c r="Z127" s="751"/>
      <c r="AA127" s="751"/>
      <c r="AB127" s="750">
        <f>IFERROR(VLOOKUP(Ram_4!$F$16,BI12:BJ23,2,0),0)</f>
        <v>0</v>
      </c>
      <c r="AC127" s="750"/>
      <c r="AD127" s="750"/>
      <c r="AE127" s="750"/>
      <c r="AF127" s="750"/>
      <c r="AG127" s="778" t="str">
        <f>'Translate&amp;Prices&amp;Logo'!$O$232</f>
        <v>Rodzaj drugiej ramki</v>
      </c>
      <c r="AH127" s="778"/>
      <c r="AI127" s="778"/>
      <c r="AJ127" s="750">
        <f>IFERROR(VLOOKUP(Ram_4!$N$16,BM12:BN41,2,0),0)</f>
        <v>0</v>
      </c>
      <c r="AK127" s="750"/>
      <c r="AL127" s="750"/>
      <c r="AM127" s="750"/>
      <c r="AN127" s="750"/>
      <c r="AO127" s="750"/>
      <c r="AR127" s="766"/>
      <c r="CA127"/>
      <c r="CB127"/>
    </row>
    <row r="128" spans="1:101" ht="16.350000000000001" customHeight="1">
      <c r="S128" s="762">
        <f>Ram_1!AR124</f>
        <v>0</v>
      </c>
      <c r="W128" s="751" t="str">
        <f>IF(AC123='Translate&amp;Prices&amp;Logo'!O551,'Translate&amp;Prices&amp;Logo'!O238,'Translate&amp;Prices&amp;Logo'!$O$226)</f>
        <v>Umieszczenie</v>
      </c>
      <c r="X128" s="751"/>
      <c r="Y128" s="751"/>
      <c r="Z128" s="751"/>
      <c r="AA128" s="751"/>
      <c r="AB128" s="56"/>
      <c r="AC128" s="750" t="str">
        <f>IFERROR((IF(Ram_4!H12='Translate&amp;Prices&amp;Logo'!B552,VLOOKUP(Ram_4!$N$16,BM42:BN71,2,0),VLOOKUP(Ram_4!$H$17,BM42:BN65,2,0))),"")</f>
        <v/>
      </c>
      <c r="AD128" s="750"/>
      <c r="AE128" s="750"/>
      <c r="AF128" s="750"/>
      <c r="AG128" s="750"/>
      <c r="AH128" s="750"/>
      <c r="AI128" s="750"/>
      <c r="AJ128" s="750"/>
      <c r="AK128" s="750"/>
      <c r="AL128" s="750"/>
      <c r="AM128" s="750"/>
      <c r="AN128" s="750"/>
      <c r="AO128" s="750"/>
      <c r="AR128" s="766"/>
      <c r="CA128"/>
      <c r="CB128"/>
    </row>
    <row r="129" spans="19:80" ht="16.350000000000001" customHeight="1">
      <c r="S129" s="762">
        <f>Ram_1!AR125</f>
        <v>0</v>
      </c>
      <c r="W129" s="751" t="str">
        <f>'Translate&amp;Prices&amp;Logo'!$O$547</f>
        <v>Zawiasy do podnośników</v>
      </c>
      <c r="X129" s="751"/>
      <c r="Y129" s="751"/>
      <c r="Z129" s="751"/>
      <c r="AA129" s="751"/>
      <c r="AB129" s="56"/>
      <c r="AC129" s="750">
        <f>IFERROR((VLOOKUP(Ram_4!$H$18,$CK$2:$CL$90,2,0)),Ram_4!$H$18)</f>
        <v>0</v>
      </c>
      <c r="AD129" s="750"/>
      <c r="AE129" s="750"/>
      <c r="AF129" s="750"/>
      <c r="AG129" s="750"/>
      <c r="AH129" s="750"/>
      <c r="AI129" s="750"/>
      <c r="AJ129" s="750"/>
      <c r="AK129" s="750"/>
      <c r="AL129" s="750"/>
      <c r="AM129" s="750"/>
      <c r="AN129" s="750"/>
      <c r="AO129" s="750"/>
      <c r="AR129" s="766"/>
      <c r="CA129"/>
      <c r="CB129"/>
    </row>
    <row r="130" spans="19:80" ht="16.350000000000001" customHeight="1">
      <c r="S130" s="762">
        <f>Ram_1!AR126</f>
        <v>0</v>
      </c>
      <c r="W130" s="751" t="str">
        <f>'Translate&amp;Prices&amp;Logo'!$O$223</f>
        <v>Ilość zawiasów na 1 ramkę</v>
      </c>
      <c r="X130" s="751"/>
      <c r="Y130" s="751"/>
      <c r="Z130" s="751"/>
      <c r="AA130" s="751"/>
      <c r="AB130" s="56"/>
      <c r="AC130" s="750">
        <f>Ram_4!$H$19</f>
        <v>0</v>
      </c>
      <c r="AD130" s="750"/>
      <c r="AE130" s="750"/>
      <c r="AF130" s="750"/>
      <c r="AG130" s="750"/>
      <c r="AH130" s="750"/>
      <c r="AI130" s="750"/>
      <c r="AJ130" s="750"/>
      <c r="AK130" s="750"/>
      <c r="AL130" s="750"/>
      <c r="AM130" s="750"/>
      <c r="AN130" s="750"/>
      <c r="AO130" s="750"/>
      <c r="AR130" s="766"/>
      <c r="CA130"/>
      <c r="CB130"/>
    </row>
    <row r="131" spans="19:80" ht="16.350000000000001" customHeight="1">
      <c r="S131" s="763" t="str">
        <f>'Translate&amp;Prices&amp;Logo'!$O$176</f>
        <v>Wysokość</v>
      </c>
      <c r="W131" s="751" t="e">
        <f>'Translate&amp;Prices&amp;Logo'!$O$242&amp;" "&amp;VLOOKUP(Ram_4!H17,kombinace_1!$BY$32:$CC$35,5,0)</f>
        <v>#N/A</v>
      </c>
      <c r="X131" s="751"/>
      <c r="Y131" s="751"/>
      <c r="Z131" s="751"/>
      <c r="AA131" s="751"/>
      <c r="AB131" s="750">
        <f>Ram_4!$F$20</f>
        <v>100</v>
      </c>
      <c r="AC131" s="750"/>
      <c r="AD131" s="750"/>
      <c r="AE131" s="750"/>
      <c r="AF131" s="750"/>
      <c r="AG131" s="751" t="e">
        <f>'Translate&amp;Prices&amp;Logo'!$O$242&amp;" "&amp;VLOOKUP(Ram_4!H17,kombinace_1!$BY$32:$CD$35,6,0)</f>
        <v>#N/A</v>
      </c>
      <c r="AH131" s="751"/>
      <c r="AI131" s="751"/>
      <c r="AJ131" s="751"/>
      <c r="AK131" s="751"/>
      <c r="AL131" s="750">
        <f>Ram_4!$N$20</f>
        <v>100</v>
      </c>
      <c r="AM131" s="750"/>
      <c r="AN131" s="750"/>
      <c r="AO131" s="750"/>
      <c r="AR131" s="766"/>
      <c r="CA131"/>
      <c r="CB131"/>
    </row>
    <row r="132" spans="19:80" ht="16.350000000000001" customHeight="1">
      <c r="S132" s="763">
        <f>Ram_1!AR128</f>
        <v>0</v>
      </c>
      <c r="W132" s="250" t="str">
        <f>'Translate&amp;Prices&amp;Logo'!$O$653</f>
        <v>Wypełnienie z siatki</v>
      </c>
      <c r="X132" s="126"/>
      <c r="Y132" s="126"/>
      <c r="Z132" s="126"/>
      <c r="AA132" s="126"/>
      <c r="AB132" s="56"/>
      <c r="AC132" s="749" t="str">
        <f>IF(kombinace_4!FC2=TRUE,"Tak","Nie")</f>
        <v>Nie</v>
      </c>
      <c r="AD132" s="749"/>
      <c r="AE132" s="749"/>
      <c r="AF132" s="749"/>
      <c r="AG132" s="749"/>
      <c r="AH132" s="749"/>
      <c r="AI132" s="749"/>
      <c r="AJ132" s="749"/>
      <c r="AK132" s="749"/>
      <c r="AL132" s="749"/>
      <c r="AM132" s="749"/>
      <c r="AN132" s="749"/>
      <c r="AO132" s="749"/>
      <c r="AR132" s="766"/>
      <c r="CA132"/>
      <c r="CB132"/>
    </row>
    <row r="133" spans="19:80" ht="16.350000000000001" customHeight="1">
      <c r="S133" s="763">
        <f>Ram_1!AR129</f>
        <v>0</v>
      </c>
      <c r="W133" s="751" t="str">
        <f>'Translate&amp;Prices&amp;Logo'!$O$173</f>
        <v>Rodzaj szkła</v>
      </c>
      <c r="X133" s="751"/>
      <c r="Y133" s="751"/>
      <c r="Z133" s="751"/>
      <c r="AA133" s="751"/>
      <c r="AB133" s="56"/>
      <c r="AC133" s="750" t="str">
        <f>IFERROR(VLOOKUP(kombinace_4!$V$1,BX120:BY122,2,0),0)</f>
        <v>Bez modyfikacji</v>
      </c>
      <c r="AD133" s="750"/>
      <c r="AE133" s="750"/>
      <c r="AF133" s="750"/>
      <c r="AG133" s="750"/>
      <c r="AH133" s="750"/>
      <c r="AI133" s="750"/>
      <c r="AJ133" s="750"/>
      <c r="AK133" s="750"/>
      <c r="AL133" s="750"/>
      <c r="AM133" s="750"/>
      <c r="AN133" s="750"/>
      <c r="AO133" s="750"/>
      <c r="AR133" s="766"/>
      <c r="CA133"/>
      <c r="CB133"/>
    </row>
    <row r="134" spans="19:80" ht="16.350000000000001" customHeight="1">
      <c r="S134" s="763">
        <f>Ram_1!AR130</f>
        <v>0</v>
      </c>
      <c r="W134" s="751" t="str">
        <f>'Translate&amp;Prices&amp;Logo'!$O$562</f>
        <v>Rodzaj folii</v>
      </c>
      <c r="X134" s="751"/>
      <c r="Y134" s="751"/>
      <c r="Z134" s="751"/>
      <c r="AA134" s="751"/>
      <c r="AB134" s="56"/>
      <c r="AC134" s="750">
        <f>IFERROR(VLOOKUP(Ram_4!$H$24,CA12:CB29,2,0),0)</f>
        <v>0</v>
      </c>
      <c r="AD134" s="750"/>
      <c r="AE134" s="750"/>
      <c r="AF134" s="750"/>
      <c r="AG134" s="750"/>
      <c r="AH134" s="750"/>
      <c r="AI134" s="750"/>
      <c r="AJ134" s="750"/>
      <c r="AK134" s="750"/>
      <c r="AL134" s="750"/>
      <c r="AM134" s="750"/>
      <c r="AN134" s="750"/>
      <c r="AO134" s="750"/>
      <c r="AR134" s="766"/>
      <c r="CA134"/>
      <c r="CB134"/>
    </row>
    <row r="135" spans="19:80" ht="16.350000000000001" customHeight="1" thickBot="1">
      <c r="S135" s="764">
        <f>Ram_1!AR131</f>
        <v>0</v>
      </c>
      <c r="W135" s="751" t="str">
        <f>'Translate&amp;Prices&amp;Logo'!$O$173</f>
        <v>Rodzaj szkła</v>
      </c>
      <c r="X135" s="751"/>
      <c r="Y135" s="751"/>
      <c r="Z135" s="751"/>
      <c r="AA135" s="751"/>
      <c r="AB135" s="56"/>
      <c r="AC135" s="750">
        <f>IFERROR(VLOOKUP(Ram_4!$H$25,'Translate&amp;Prices&amp;Logo'!$AH$1:$AI$165,2,0),Ram_4!$H$25)</f>
        <v>0</v>
      </c>
      <c r="AD135" s="750"/>
      <c r="AE135" s="750"/>
      <c r="AF135" s="750"/>
      <c r="AG135" s="750"/>
      <c r="AH135" s="750"/>
      <c r="AI135" s="750"/>
      <c r="AJ135" s="750"/>
      <c r="AK135" s="750"/>
      <c r="AL135" s="750"/>
      <c r="AM135" s="750"/>
      <c r="AN135" s="750"/>
      <c r="AO135" s="750"/>
      <c r="AR135" s="766"/>
    </row>
    <row r="136" spans="19:80" ht="16.350000000000001" customHeight="1">
      <c r="W136" s="751" t="str">
        <f>'Translate&amp;Prices&amp;Logo'!$O$549</f>
        <v>Rozstaw uchwytu (mm)</v>
      </c>
      <c r="X136" s="751"/>
      <c r="Y136" s="751"/>
      <c r="Z136" s="751"/>
      <c r="AA136" s="751"/>
      <c r="AB136" s="56"/>
      <c r="AC136" s="750">
        <f>Ram_4!$H$26</f>
        <v>0</v>
      </c>
      <c r="AD136" s="750"/>
      <c r="AE136" s="750"/>
      <c r="AF136" s="750"/>
      <c r="AG136" s="750"/>
      <c r="AH136" s="750"/>
      <c r="AI136" s="750"/>
      <c r="AJ136" s="750"/>
      <c r="AK136" s="750"/>
      <c r="AL136" s="750"/>
      <c r="AM136" s="750"/>
      <c r="AN136" s="750"/>
      <c r="AO136" s="750"/>
      <c r="AR136" s="766"/>
    </row>
    <row r="137" spans="19:80" ht="16.350000000000001" customHeight="1">
      <c r="W137" s="751" t="str">
        <f>'Translate&amp;Prices&amp;Logo'!$O$550</f>
        <v>Umieszczenie uchwytu</v>
      </c>
      <c r="X137" s="751"/>
      <c r="Y137" s="751"/>
      <c r="Z137" s="751"/>
      <c r="AA137" s="751"/>
      <c r="AB137" s="56"/>
      <c r="AC137" s="750">
        <f>IFERROR(VLOOKUP(Ram_4!$H$27,BM42:BN65,2,0),0)</f>
        <v>0</v>
      </c>
      <c r="AD137" s="750"/>
      <c r="AE137" s="750"/>
      <c r="AF137" s="750"/>
      <c r="AG137" s="750"/>
      <c r="AH137" s="750"/>
      <c r="AI137" s="750"/>
      <c r="AJ137" s="750"/>
      <c r="AK137" s="750"/>
      <c r="AL137" s="750"/>
      <c r="AM137" s="750"/>
      <c r="AN137" s="750"/>
      <c r="AO137" s="750"/>
      <c r="AR137" s="766"/>
    </row>
    <row r="138" spans="19:80" ht="16.350000000000001" customHeight="1">
      <c r="W138" s="751" t="str">
        <f>('Translate&amp;Prices&amp;Logo'!$O$174)&amp;" "&amp;"-"&amp;" "&amp;('Translate&amp;Prices&amp;Logo'!$O$169)&amp;" "&amp;" "&amp;4</f>
        <v>Ilość sztuk - Ramka  4</v>
      </c>
      <c r="X138" s="751"/>
      <c r="Y138" s="751"/>
      <c r="Z138" s="751"/>
      <c r="AA138" s="751"/>
      <c r="AB138" s="56"/>
      <c r="AC138" s="750">
        <f>Ram_4!$H$28</f>
        <v>0</v>
      </c>
      <c r="AD138" s="750"/>
      <c r="AE138" s="750"/>
      <c r="AF138" s="750"/>
      <c r="AG138" s="750"/>
      <c r="AH138" s="750"/>
      <c r="AI138" s="750"/>
      <c r="AJ138" s="750"/>
      <c r="AK138" s="750"/>
      <c r="AL138" s="750"/>
      <c r="AM138" s="750"/>
      <c r="AN138" s="750"/>
      <c r="AO138" s="750"/>
      <c r="AR138" s="766"/>
    </row>
    <row r="139" spans="19:80" ht="16.350000000000001" customHeight="1">
      <c r="AE139" s="1"/>
      <c r="AF139" s="1"/>
      <c r="AR139" s="766"/>
    </row>
    <row r="140" spans="19:80" ht="14.85" customHeight="1">
      <c r="AR140" s="766"/>
    </row>
    <row r="141" spans="19:80" ht="14.85" customHeight="1">
      <c r="W141" s="756" t="s">
        <v>1604</v>
      </c>
      <c r="X141" s="756"/>
      <c r="Y141" s="756"/>
      <c r="Z141" s="756"/>
      <c r="AE141" s="756" t="s">
        <v>1605</v>
      </c>
      <c r="AF141" s="756"/>
      <c r="AG141" s="756"/>
      <c r="AH141" s="756"/>
      <c r="AR141" s="766"/>
    </row>
    <row r="142" spans="19:80" ht="14.85" customHeight="1">
      <c r="AE142" s="768"/>
      <c r="AF142" s="769"/>
      <c r="AG142" s="769"/>
      <c r="AH142" s="769"/>
      <c r="AI142" s="769"/>
      <c r="AJ142" s="769"/>
      <c r="AK142" s="769"/>
      <c r="AL142" s="769"/>
      <c r="AM142" s="769"/>
      <c r="AN142" s="770"/>
      <c r="AR142" s="766"/>
    </row>
    <row r="143" spans="19:80" ht="14.85" customHeight="1">
      <c r="AE143" s="771"/>
      <c r="AF143" s="772"/>
      <c r="AG143" s="772"/>
      <c r="AH143" s="772"/>
      <c r="AI143" s="772"/>
      <c r="AJ143" s="772"/>
      <c r="AK143" s="772"/>
      <c r="AL143" s="772"/>
      <c r="AM143" s="772"/>
      <c r="AN143" s="773"/>
      <c r="AR143" s="766"/>
    </row>
    <row r="144" spans="19:80" ht="14.85" customHeight="1">
      <c r="AE144" s="771"/>
      <c r="AF144" s="772"/>
      <c r="AG144" s="772"/>
      <c r="AH144" s="772"/>
      <c r="AI144" s="772"/>
      <c r="AJ144" s="772"/>
      <c r="AK144" s="772"/>
      <c r="AL144" s="772"/>
      <c r="AM144" s="772"/>
      <c r="AN144" s="773"/>
      <c r="AR144" s="766"/>
    </row>
    <row r="145" spans="1:80" ht="14.85" customHeight="1">
      <c r="D145" s="780">
        <f>IF(OR(Ram_4!$AC$25="x",Ram_4!$AJ$26="x",Ram_4!$AC$9="x",Ram_4!$AJ$7="x",Ram_4!$AB$16="x",Ram_4!$AM$23="x",Ram_4!$AN$19="x",Ram_4!$AD$10="x"),'Translate&amp;Prices&amp;Logo'!$B$588,0)</f>
        <v>0</v>
      </c>
      <c r="E145" s="780"/>
      <c r="F145" s="780"/>
      <c r="G145" s="780"/>
      <c r="H145" s="780"/>
      <c r="I145" s="780"/>
      <c r="J145" s="780"/>
      <c r="K145" s="780"/>
      <c r="L145" s="780"/>
      <c r="M145" s="780"/>
      <c r="N145" s="780"/>
      <c r="O145" s="780"/>
      <c r="P145" s="780"/>
      <c r="AE145" s="771"/>
      <c r="AF145" s="772"/>
      <c r="AG145" s="772"/>
      <c r="AH145" s="772"/>
      <c r="AI145" s="772"/>
      <c r="AJ145" s="772"/>
      <c r="AK145" s="772"/>
      <c r="AL145" s="772"/>
      <c r="AM145" s="772"/>
      <c r="AN145" s="773"/>
      <c r="AR145" s="766"/>
    </row>
    <row r="146" spans="1:80" ht="14.85" customHeight="1">
      <c r="AE146" s="771"/>
      <c r="AF146" s="772"/>
      <c r="AG146" s="772"/>
      <c r="AH146" s="772"/>
      <c r="AI146" s="772"/>
      <c r="AJ146" s="772"/>
      <c r="AK146" s="772"/>
      <c r="AL146" s="772"/>
      <c r="AM146" s="772"/>
      <c r="AN146" s="773"/>
      <c r="AR146" s="766"/>
    </row>
    <row r="147" spans="1:80" ht="14.85" customHeight="1" thickBot="1">
      <c r="AE147" s="771"/>
      <c r="AF147" s="772"/>
      <c r="AG147" s="772"/>
      <c r="AH147" s="772"/>
      <c r="AI147" s="772"/>
      <c r="AJ147" s="772"/>
      <c r="AK147" s="772"/>
      <c r="AL147" s="772"/>
      <c r="AM147" s="772"/>
      <c r="AN147" s="773"/>
      <c r="AR147" s="766"/>
    </row>
    <row r="148" spans="1:80" ht="14.85" customHeight="1" thickBot="1">
      <c r="G148" s="757" t="str">
        <f>'Translate&amp;Prices&amp;Logo'!$O$175</f>
        <v>Szerokość</v>
      </c>
      <c r="H148" s="758">
        <f>Ram_1!AG138</f>
        <v>0</v>
      </c>
      <c r="I148" s="758">
        <f>Ram_1!AH138</f>
        <v>0</v>
      </c>
      <c r="J148" s="759">
        <f>Ram_4!AI30</f>
        <v>0</v>
      </c>
      <c r="K148" s="759">
        <f>Ram_1!AJ138</f>
        <v>0</v>
      </c>
      <c r="L148" s="760">
        <f>Ram_1!AK138</f>
        <v>0</v>
      </c>
      <c r="AE148" s="771"/>
      <c r="AF148" s="772"/>
      <c r="AG148" s="772"/>
      <c r="AH148" s="772"/>
      <c r="AI148" s="772"/>
      <c r="AJ148" s="772"/>
      <c r="AK148" s="772"/>
      <c r="AL148" s="772"/>
      <c r="AM148" s="772"/>
      <c r="AN148" s="773"/>
      <c r="AR148" s="766"/>
    </row>
    <row r="149" spans="1:80" ht="21" customHeight="1">
      <c r="AE149" s="774"/>
      <c r="AF149" s="775"/>
      <c r="AG149" s="775"/>
      <c r="AH149" s="775"/>
      <c r="AI149" s="775"/>
      <c r="AJ149" s="775"/>
      <c r="AK149" s="775"/>
      <c r="AL149" s="775"/>
      <c r="AM149" s="775"/>
      <c r="AN149" s="776"/>
      <c r="AR149" s="766"/>
    </row>
    <row r="150" spans="1:80" ht="14.85" customHeight="1">
      <c r="AR150" s="766"/>
    </row>
    <row r="151" spans="1:80" ht="14.85" customHeight="1">
      <c r="AR151" s="766"/>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55" t="str">
        <f>'Translate&amp;Prices&amp;Logo'!$O$256</f>
        <v>Numer zamówienia</v>
      </c>
      <c r="X153" s="755"/>
      <c r="Y153" s="755"/>
      <c r="Z153" s="755"/>
      <c r="AA153" s="755"/>
      <c r="AB153" s="246"/>
      <c r="AC153" s="752">
        <f>Ram_5!AS5</f>
        <v>0</v>
      </c>
      <c r="AD153" s="753"/>
      <c r="AE153" s="753"/>
      <c r="AF153" s="753"/>
      <c r="AG153" s="753"/>
      <c r="AH153" s="753"/>
      <c r="AI153" s="753"/>
      <c r="AJ153" s="753"/>
      <c r="AK153" s="753"/>
      <c r="AL153" s="753"/>
      <c r="AM153" s="753"/>
      <c r="AN153" s="753"/>
      <c r="AO153" s="754"/>
      <c r="AR153" s="766" t="s">
        <v>1610</v>
      </c>
    </row>
    <row r="154" spans="1:80" ht="16.350000000000001" customHeight="1">
      <c r="W154" s="751" t="str">
        <f>'Translate&amp;Prices&amp;Logo'!$O$542</f>
        <v>Połączenie 2 profili</v>
      </c>
      <c r="X154" s="751"/>
      <c r="Y154" s="751"/>
      <c r="Z154" s="751"/>
      <c r="AA154" s="751"/>
      <c r="AB154" s="246"/>
      <c r="AC154" s="765" t="str">
        <f>IF(kombinace_5!$H$1=TRUE,"Tak","Nie")</f>
        <v>Nie</v>
      </c>
      <c r="AD154" s="765"/>
      <c r="AE154" s="765"/>
      <c r="AF154" s="765"/>
      <c r="AG154" s="765"/>
      <c r="AH154" s="765"/>
      <c r="AI154" s="765"/>
      <c r="AJ154" s="765"/>
      <c r="AK154" s="765"/>
      <c r="AL154" s="765"/>
      <c r="AM154" s="765"/>
      <c r="AN154" s="765"/>
      <c r="AO154" s="765"/>
      <c r="AR154" s="766"/>
    </row>
    <row r="155" spans="1:80" ht="16.350000000000001" customHeight="1">
      <c r="W155" s="751" t="str">
        <f>'Translate&amp;Prices&amp;Logo'!$O$172</f>
        <v>Rodzaj profilu</v>
      </c>
      <c r="X155" s="751"/>
      <c r="Y155" s="751"/>
      <c r="Z155" s="751"/>
      <c r="AA155" s="751"/>
      <c r="AB155" s="246"/>
      <c r="AC155" s="750">
        <f>IFERROR(VLOOKUP(Ram_5!$H$8,'Translate&amp;Prices&amp;Logo'!AA1:AB312,2,0),Ram_5!$H$8)</f>
        <v>0</v>
      </c>
      <c r="AD155" s="750"/>
      <c r="AE155" s="750"/>
      <c r="AF155" s="750"/>
      <c r="AG155" s="750"/>
      <c r="AH155" s="750"/>
      <c r="AI155" s="750"/>
      <c r="AJ155" s="750"/>
      <c r="AK155" s="750"/>
      <c r="AL155" s="750"/>
      <c r="AM155" s="750"/>
      <c r="AN155" s="750"/>
      <c r="AO155" s="750"/>
      <c r="AR155" s="766"/>
    </row>
    <row r="156" spans="1:80" ht="16.350000000000001" customHeight="1">
      <c r="W156" s="751" t="str">
        <f>'Translate&amp;Prices&amp;Logo'!$O$543</f>
        <v>Szprosy</v>
      </c>
      <c r="X156" s="751"/>
      <c r="Y156" s="751"/>
      <c r="Z156" s="751"/>
      <c r="AA156" s="751"/>
      <c r="AB156" s="246"/>
      <c r="AC156" s="750" t="str">
        <f>IFERROR(VLOOKUP(Ram_5!$AU$10,AU156:AV159,2,0),0)</f>
        <v>Nie</v>
      </c>
      <c r="AD156" s="750"/>
      <c r="AE156" s="750"/>
      <c r="AF156" s="750"/>
      <c r="AG156" s="750"/>
      <c r="AH156" s="750"/>
      <c r="AI156" s="750"/>
      <c r="AJ156" s="750"/>
      <c r="AK156" s="750"/>
      <c r="AL156" s="750"/>
      <c r="AM156" s="750"/>
      <c r="AN156" s="750"/>
      <c r="AO156" s="750"/>
      <c r="AR156" s="766"/>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67" t="str">
        <f>'Translate&amp;Prices&amp;Logo'!$O$558</f>
        <v>Poziomo (termin dostawy 4 tygodnie)</v>
      </c>
      <c r="AD157" s="767"/>
      <c r="AE157" s="767"/>
      <c r="AF157" s="767"/>
      <c r="AG157" s="767"/>
      <c r="AH157" s="767"/>
      <c r="AI157" s="767"/>
      <c r="AJ157" s="767" t="str">
        <f>'Translate&amp;Prices&amp;Logo'!$O$559</f>
        <v>Pionowo (termin dostawy 4 tygodnie)</v>
      </c>
      <c r="AK157" s="767"/>
      <c r="AL157" s="767"/>
      <c r="AM157" s="767"/>
      <c r="AN157" s="767"/>
      <c r="AO157" s="767"/>
      <c r="AR157" s="766"/>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1" t="str">
        <f>('Translate&amp;Prices&amp;Logo'!$O$543)&amp;" "&amp;"("&amp;'Translate&amp;Prices&amp;Logo'!$O$174&amp;")"</f>
        <v>Szprosy (Ilość sztuk)</v>
      </c>
      <c r="X158" s="751"/>
      <c r="Y158" s="751"/>
      <c r="Z158" s="751"/>
      <c r="AA158" s="751"/>
      <c r="AB158" s="56"/>
      <c r="AC158" s="750">
        <f>Ram_5!$H$11</f>
        <v>0</v>
      </c>
      <c r="AD158" s="750"/>
      <c r="AE158" s="750"/>
      <c r="AF158" s="750"/>
      <c r="AG158" s="750"/>
      <c r="AH158" s="750"/>
      <c r="AI158" s="750"/>
      <c r="AJ158" s="750">
        <f>Ram_5!$M$11</f>
        <v>0</v>
      </c>
      <c r="AK158" s="750"/>
      <c r="AL158" s="750"/>
      <c r="AM158" s="750"/>
      <c r="AN158" s="750"/>
      <c r="AO158" s="750"/>
      <c r="AR158" s="766"/>
      <c r="AU158">
        <v>2</v>
      </c>
      <c r="AV158" t="str">
        <f>'Translate&amp;Prices&amp;Logo'!$O$559</f>
        <v>Pionowo (termin dostawy 4 tygodnie)</v>
      </c>
      <c r="BX158" s="1">
        <v>3</v>
      </c>
      <c r="BY158" s="1" t="str">
        <f>'Translate&amp;Prices&amp;Logo'!$O$102</f>
        <v>Folia</v>
      </c>
      <c r="CA158"/>
      <c r="CB158"/>
    </row>
    <row r="159" spans="1:80" ht="16.350000000000001" customHeight="1">
      <c r="W159" s="751" t="str">
        <f>'Translate&amp;Prices&amp;Logo'!$O$258</f>
        <v>Typ okucia</v>
      </c>
      <c r="X159" s="751"/>
      <c r="Y159" s="751"/>
      <c r="Z159" s="751"/>
      <c r="AA159" s="751"/>
      <c r="AB159" s="246"/>
      <c r="AC159" s="750">
        <f>IFERROR(VLOOKUP(Ram_5!$AU$9,AZ156:BA157,2,0),0)</f>
        <v>0</v>
      </c>
      <c r="AD159" s="750"/>
      <c r="AE159" s="750"/>
      <c r="AF159" s="750"/>
      <c r="AG159" s="750"/>
      <c r="AH159" s="750"/>
      <c r="AI159" s="750"/>
      <c r="AJ159" s="750"/>
      <c r="AK159" s="750"/>
      <c r="AL159" s="750"/>
      <c r="AM159" s="750"/>
      <c r="AN159" s="750"/>
      <c r="AO159" s="750"/>
      <c r="AR159" s="766"/>
      <c r="AU159">
        <v>3</v>
      </c>
      <c r="AV159" t="str">
        <f>'Translate&amp;Prices&amp;Logo'!$O$560</f>
        <v>Poziomo i pionowo (termin dostawy 4 tygodnie)</v>
      </c>
      <c r="CA159"/>
      <c r="CB159"/>
    </row>
    <row r="160" spans="1:80" ht="16.350000000000001" customHeight="1">
      <c r="W160" s="751" t="str">
        <f>'Translate&amp;Prices&amp;Logo'!$O$544</f>
        <v>Marka okucia</v>
      </c>
      <c r="X160" s="751"/>
      <c r="Y160" s="751"/>
      <c r="Z160" s="751"/>
      <c r="AA160" s="751"/>
      <c r="AB160" s="246"/>
      <c r="AC160" s="750">
        <f>Ram_5!$H$13</f>
        <v>0</v>
      </c>
      <c r="AD160" s="750"/>
      <c r="AE160" s="750"/>
      <c r="AF160" s="750"/>
      <c r="AG160" s="750"/>
      <c r="AH160" s="750"/>
      <c r="AI160" s="750"/>
      <c r="AJ160" s="750"/>
      <c r="AK160" s="750"/>
      <c r="AL160" s="750"/>
      <c r="AM160" s="750"/>
      <c r="AN160" s="750"/>
      <c r="AO160" s="750"/>
      <c r="AR160" s="766"/>
      <c r="CA160"/>
      <c r="CB160"/>
    </row>
    <row r="161" spans="19:80" ht="16.350000000000001" customHeight="1" thickBot="1">
      <c r="W161" s="751" t="str">
        <f>'Translate&amp;Prices&amp;Logo'!$O$546</f>
        <v>Nałożenie</v>
      </c>
      <c r="X161" s="751"/>
      <c r="Y161" s="751"/>
      <c r="Z161" s="751"/>
      <c r="AA161" s="751"/>
      <c r="AB161" s="246"/>
      <c r="AC161" s="750">
        <f>IFERROR(VLOOKUP(Ram_5!$H$14,$BD$12:$BE$29,2,0),0)</f>
        <v>0</v>
      </c>
      <c r="AD161" s="750"/>
      <c r="AE161" s="750"/>
      <c r="AF161" s="750"/>
      <c r="AG161" s="750"/>
      <c r="AH161" s="750"/>
      <c r="AI161" s="750"/>
      <c r="AJ161" s="750"/>
      <c r="AK161" s="750"/>
      <c r="AL161" s="750"/>
      <c r="AM161" s="750"/>
      <c r="AN161" s="750"/>
      <c r="AO161" s="750"/>
      <c r="AR161" s="766"/>
      <c r="CA161"/>
      <c r="CB161"/>
    </row>
    <row r="162" spans="19:80" ht="16.350000000000001" customHeight="1">
      <c r="S162" s="761">
        <f>Ram_5!AR14</f>
        <v>0</v>
      </c>
      <c r="W162" s="751" t="str">
        <f>'Translate&amp;Prices&amp;Logo'!$O$545</f>
        <v>Wariant okucia</v>
      </c>
      <c r="X162" s="751"/>
      <c r="Y162" s="751"/>
      <c r="Z162" s="751"/>
      <c r="AA162" s="751"/>
      <c r="AB162" s="246"/>
      <c r="AC162" s="777">
        <f>IFERROR(VLOOKUP(Ram_5!$H$15,kombinace_1!$ED$2:$EE$758,2,0),Ram_5!$H$15)</f>
        <v>0</v>
      </c>
      <c r="AD162" s="777"/>
      <c r="AE162" s="777"/>
      <c r="AF162" s="777"/>
      <c r="AG162" s="777"/>
      <c r="AH162" s="777"/>
      <c r="AI162" s="777"/>
      <c r="AJ162" s="777" t="str">
        <f>IF(AC162='Translate&amp;Prices&amp;Logo'!C698,VLOOKUP(Ram_5!H17,'Translate&amp;Prices&amp;Logo'!C699:D746,2,0),"")</f>
        <v/>
      </c>
      <c r="AK162" s="777"/>
      <c r="AL162" s="777"/>
      <c r="AM162" s="777"/>
      <c r="AN162" s="777"/>
      <c r="AO162" s="777"/>
      <c r="AR162" s="766"/>
      <c r="CA162"/>
      <c r="CB162"/>
    </row>
    <row r="163" spans="19:80" ht="16.350000000000001" customHeight="1">
      <c r="S163" s="762">
        <f>Ram_1!AR159</f>
        <v>0</v>
      </c>
      <c r="W163" s="751" t="str">
        <f>'Translate&amp;Prices&amp;Logo'!$O$218</f>
        <v>Wybierz pozycję ramki</v>
      </c>
      <c r="X163" s="751"/>
      <c r="Y163" s="751"/>
      <c r="Z163" s="751"/>
      <c r="AA163" s="751"/>
      <c r="AB163" s="750">
        <f>IFERROR(VLOOKUP(Ram_5!$F$16,BI12:BJ23,2,0),0)</f>
        <v>0</v>
      </c>
      <c r="AC163" s="750"/>
      <c r="AD163" s="750"/>
      <c r="AE163" s="750"/>
      <c r="AF163" s="750"/>
      <c r="AG163" s="778" t="str">
        <f>'Translate&amp;Prices&amp;Logo'!$O$232</f>
        <v>Rodzaj drugiej ramki</v>
      </c>
      <c r="AH163" s="778"/>
      <c r="AI163" s="778"/>
      <c r="AJ163" s="750">
        <f>IFERROR(VLOOKUP(Ram_5!$N$16,BM12:BN41,2,0),0)</f>
        <v>0</v>
      </c>
      <c r="AK163" s="750"/>
      <c r="AL163" s="750"/>
      <c r="AM163" s="750"/>
      <c r="AN163" s="750"/>
      <c r="AO163" s="750"/>
      <c r="AR163" s="766"/>
      <c r="CA163"/>
      <c r="CB163"/>
    </row>
    <row r="164" spans="19:80" ht="16.350000000000001" customHeight="1">
      <c r="S164" s="762">
        <f>Ram_1!AR160</f>
        <v>0</v>
      </c>
      <c r="W164" s="751" t="str">
        <f>IF(AC159='Translate&amp;Prices&amp;Logo'!O551,'Translate&amp;Prices&amp;Logo'!O238,'Translate&amp;Prices&amp;Logo'!$O$226)</f>
        <v>Umieszczenie</v>
      </c>
      <c r="X164" s="751"/>
      <c r="Y164" s="751"/>
      <c r="Z164" s="751"/>
      <c r="AA164" s="751"/>
      <c r="AB164" s="246"/>
      <c r="AC164" s="750" t="str">
        <f>IFERROR((IF(Ram_5!H12='Translate&amp;Prices&amp;Logo'!B552,VLOOKUP(Ram_5!$N$16,BM42:BN71,2,0),VLOOKUP(Ram_5!$H$17,BM42:BN65,2,0))),"")</f>
        <v/>
      </c>
      <c r="AD164" s="750"/>
      <c r="AE164" s="750"/>
      <c r="AF164" s="750"/>
      <c r="AG164" s="750"/>
      <c r="AH164" s="750"/>
      <c r="AI164" s="750"/>
      <c r="AJ164" s="750"/>
      <c r="AK164" s="750"/>
      <c r="AL164" s="750"/>
      <c r="AM164" s="750"/>
      <c r="AN164" s="750"/>
      <c r="AO164" s="750"/>
      <c r="AR164" s="766"/>
      <c r="CA164"/>
      <c r="CB164"/>
    </row>
    <row r="165" spans="19:80" ht="16.350000000000001" customHeight="1">
      <c r="S165" s="762">
        <f>Ram_1!AR161</f>
        <v>0</v>
      </c>
      <c r="W165" s="751" t="str">
        <f>'Translate&amp;Prices&amp;Logo'!$O$547</f>
        <v>Zawiasy do podnośników</v>
      </c>
      <c r="X165" s="751"/>
      <c r="Y165" s="751"/>
      <c r="Z165" s="751"/>
      <c r="AA165" s="751"/>
      <c r="AB165" s="246"/>
      <c r="AC165" s="750">
        <f>IFERROR((VLOOKUP(Ram_5!$H$18,$CK$2:$CL$90,2,0)),Ram_5!$H$18)</f>
        <v>0</v>
      </c>
      <c r="AD165" s="750"/>
      <c r="AE165" s="750"/>
      <c r="AF165" s="750"/>
      <c r="AG165" s="750"/>
      <c r="AH165" s="750"/>
      <c r="AI165" s="750"/>
      <c r="AJ165" s="750"/>
      <c r="AK165" s="750"/>
      <c r="AL165" s="750"/>
      <c r="AM165" s="750"/>
      <c r="AN165" s="750"/>
      <c r="AO165" s="750"/>
      <c r="AR165" s="766"/>
      <c r="CA165"/>
      <c r="CB165"/>
    </row>
    <row r="166" spans="19:80" ht="16.350000000000001" customHeight="1">
      <c r="S166" s="762">
        <f>Ram_1!AR162</f>
        <v>0</v>
      </c>
      <c r="W166" s="751" t="str">
        <f>'Translate&amp;Prices&amp;Logo'!$O$223</f>
        <v>Ilość zawiasów na 1 ramkę</v>
      </c>
      <c r="X166" s="751"/>
      <c r="Y166" s="751"/>
      <c r="Z166" s="751"/>
      <c r="AA166" s="751"/>
      <c r="AB166" s="56"/>
      <c r="AC166" s="750">
        <f>Ram_5!$H$19</f>
        <v>0</v>
      </c>
      <c r="AD166" s="750"/>
      <c r="AE166" s="750"/>
      <c r="AF166" s="750"/>
      <c r="AG166" s="750"/>
      <c r="AH166" s="750"/>
      <c r="AI166" s="750"/>
      <c r="AJ166" s="750"/>
      <c r="AK166" s="750"/>
      <c r="AL166" s="750"/>
      <c r="AM166" s="750"/>
      <c r="AN166" s="750"/>
      <c r="AO166" s="750"/>
      <c r="AR166" s="766"/>
      <c r="CA166"/>
      <c r="CB166"/>
    </row>
    <row r="167" spans="19:80" ht="16.350000000000001" customHeight="1">
      <c r="S167" s="763" t="str">
        <f>'Translate&amp;Prices&amp;Logo'!$O$176</f>
        <v>Wysokość</v>
      </c>
      <c r="W167" s="751" t="e">
        <f>'Translate&amp;Prices&amp;Logo'!$O$242&amp;" "&amp;VLOOKUP(Ram_5!H17,kombinace_1!$BY$32:$CC$35,5,0)</f>
        <v>#N/A</v>
      </c>
      <c r="X167" s="751"/>
      <c r="Y167" s="751"/>
      <c r="Z167" s="751"/>
      <c r="AA167" s="751"/>
      <c r="AB167" s="750">
        <f>Ram_5!$F$20</f>
        <v>100</v>
      </c>
      <c r="AC167" s="750"/>
      <c r="AD167" s="750"/>
      <c r="AE167" s="750"/>
      <c r="AF167" s="750"/>
      <c r="AG167" s="751" t="e">
        <f>'Translate&amp;Prices&amp;Logo'!$O$242&amp;" "&amp;VLOOKUP(Ram_4!H17,kombinace_1!$BY$32:$CD$35,6,0)</f>
        <v>#N/A</v>
      </c>
      <c r="AH167" s="751"/>
      <c r="AI167" s="751"/>
      <c r="AJ167" s="751"/>
      <c r="AK167" s="751"/>
      <c r="AL167" s="750">
        <f>Ram_5!$N$20</f>
        <v>100</v>
      </c>
      <c r="AM167" s="750"/>
      <c r="AN167" s="750"/>
      <c r="AO167" s="750"/>
      <c r="AR167" s="766"/>
      <c r="CA167"/>
      <c r="CB167"/>
    </row>
    <row r="168" spans="19:80" ht="16.350000000000001" customHeight="1">
      <c r="S168" s="763">
        <f>Ram_1!AR164</f>
        <v>0</v>
      </c>
      <c r="W168" s="250" t="str">
        <f>'Translate&amp;Prices&amp;Logo'!$O$653</f>
        <v>Wypełnienie z siatki</v>
      </c>
      <c r="X168" s="126"/>
      <c r="Y168" s="126"/>
      <c r="Z168" s="126"/>
      <c r="AA168" s="126"/>
      <c r="AB168" s="246"/>
      <c r="AC168" s="749" t="str">
        <f>IF(kombinace_5!FC2=TRUE,"Tak","Nie")</f>
        <v>Nie</v>
      </c>
      <c r="AD168" s="749"/>
      <c r="AE168" s="749"/>
      <c r="AF168" s="749"/>
      <c r="AG168" s="749"/>
      <c r="AH168" s="749"/>
      <c r="AI168" s="749"/>
      <c r="AJ168" s="749"/>
      <c r="AK168" s="749"/>
      <c r="AL168" s="749"/>
      <c r="AM168" s="749"/>
      <c r="AN168" s="749"/>
      <c r="AO168" s="749"/>
      <c r="AR168" s="766"/>
      <c r="CA168"/>
      <c r="CB168"/>
    </row>
    <row r="169" spans="19:80" ht="16.350000000000001" customHeight="1">
      <c r="S169" s="763">
        <f>Ram_1!AR165</f>
        <v>0</v>
      </c>
      <c r="W169" s="751" t="str">
        <f>'Translate&amp;Prices&amp;Logo'!$O$173</f>
        <v>Rodzaj szkła</v>
      </c>
      <c r="X169" s="751"/>
      <c r="Y169" s="751"/>
      <c r="Z169" s="751"/>
      <c r="AA169" s="751"/>
      <c r="AB169" s="246"/>
      <c r="AC169" s="750" t="str">
        <f>IFERROR(VLOOKUP(kombinace_5!$V$1,BX156:BY158,2,0),0)</f>
        <v>Bez modyfikacji</v>
      </c>
      <c r="AD169" s="750"/>
      <c r="AE169" s="750"/>
      <c r="AF169" s="750"/>
      <c r="AG169" s="750"/>
      <c r="AH169" s="750"/>
      <c r="AI169" s="750"/>
      <c r="AJ169" s="750"/>
      <c r="AK169" s="750"/>
      <c r="AL169" s="750"/>
      <c r="AM169" s="750"/>
      <c r="AN169" s="750"/>
      <c r="AO169" s="750"/>
      <c r="AR169" s="766"/>
      <c r="CA169"/>
      <c r="CB169"/>
    </row>
    <row r="170" spans="19:80" ht="16.350000000000001" customHeight="1">
      <c r="S170" s="763">
        <f>Ram_1!AR166</f>
        <v>0</v>
      </c>
      <c r="W170" s="751" t="str">
        <f>'Translate&amp;Prices&amp;Logo'!$O$562</f>
        <v>Rodzaj folii</v>
      </c>
      <c r="X170" s="751"/>
      <c r="Y170" s="751"/>
      <c r="Z170" s="751"/>
      <c r="AA170" s="751"/>
      <c r="AB170" s="246"/>
      <c r="AC170" s="750">
        <f>IFERROR(VLOOKUP(Ram_5!$H$24,CA12:CB29,2,0),0)</f>
        <v>0</v>
      </c>
      <c r="AD170" s="750"/>
      <c r="AE170" s="750"/>
      <c r="AF170" s="750"/>
      <c r="AG170" s="750"/>
      <c r="AH170" s="750"/>
      <c r="AI170" s="750"/>
      <c r="AJ170" s="750"/>
      <c r="AK170" s="750"/>
      <c r="AL170" s="750"/>
      <c r="AM170" s="750"/>
      <c r="AN170" s="750"/>
      <c r="AO170" s="750"/>
      <c r="AR170" s="766"/>
      <c r="CA170"/>
      <c r="CB170"/>
    </row>
    <row r="171" spans="19:80" ht="16.350000000000001" customHeight="1" thickBot="1">
      <c r="S171" s="764">
        <f>Ram_1!AR167</f>
        <v>0</v>
      </c>
      <c r="W171" s="751" t="str">
        <f>'Translate&amp;Prices&amp;Logo'!$O$173</f>
        <v>Rodzaj szkła</v>
      </c>
      <c r="X171" s="751"/>
      <c r="Y171" s="751"/>
      <c r="Z171" s="751"/>
      <c r="AA171" s="751"/>
      <c r="AB171" s="246"/>
      <c r="AC171" s="750">
        <f>IFERROR(VLOOKUP(Ram_5!$H$25,'Translate&amp;Prices&amp;Logo'!$AH$1:$AI$165,2,0),Ram_5!$H$25)</f>
        <v>0</v>
      </c>
      <c r="AD171" s="750"/>
      <c r="AE171" s="750"/>
      <c r="AF171" s="750"/>
      <c r="AG171" s="750"/>
      <c r="AH171" s="750"/>
      <c r="AI171" s="750"/>
      <c r="AJ171" s="750"/>
      <c r="AK171" s="750"/>
      <c r="AL171" s="750"/>
      <c r="AM171" s="750"/>
      <c r="AN171" s="750"/>
      <c r="AO171" s="750"/>
      <c r="AR171" s="766"/>
    </row>
    <row r="172" spans="19:80" ht="16.350000000000001" customHeight="1">
      <c r="W172" s="751" t="str">
        <f>'Translate&amp;Prices&amp;Logo'!$O$549</f>
        <v>Rozstaw uchwytu (mm)</v>
      </c>
      <c r="X172" s="751"/>
      <c r="Y172" s="751"/>
      <c r="Z172" s="751"/>
      <c r="AA172" s="751"/>
      <c r="AB172" s="246"/>
      <c r="AC172" s="750">
        <f>Ram_5!$H$26</f>
        <v>0</v>
      </c>
      <c r="AD172" s="750"/>
      <c r="AE172" s="750"/>
      <c r="AF172" s="750"/>
      <c r="AG172" s="750"/>
      <c r="AH172" s="750"/>
      <c r="AI172" s="750"/>
      <c r="AJ172" s="750"/>
      <c r="AK172" s="750"/>
      <c r="AL172" s="750"/>
      <c r="AM172" s="750"/>
      <c r="AN172" s="750"/>
      <c r="AO172" s="750"/>
      <c r="AR172" s="766"/>
    </row>
    <row r="173" spans="19:80" ht="16.350000000000001" customHeight="1">
      <c r="W173" s="751" t="str">
        <f>'Translate&amp;Prices&amp;Logo'!$O$550</f>
        <v>Umieszczenie uchwytu</v>
      </c>
      <c r="X173" s="751"/>
      <c r="Y173" s="751"/>
      <c r="Z173" s="751"/>
      <c r="AA173" s="751"/>
      <c r="AB173" s="246"/>
      <c r="AC173" s="750">
        <f>IFERROR(VLOOKUP(Ram_5!$H$27,BM42:BN65,2,0),0)</f>
        <v>0</v>
      </c>
      <c r="AD173" s="750"/>
      <c r="AE173" s="750"/>
      <c r="AF173" s="750"/>
      <c r="AG173" s="750"/>
      <c r="AH173" s="750"/>
      <c r="AI173" s="750"/>
      <c r="AJ173" s="750"/>
      <c r="AK173" s="750"/>
      <c r="AL173" s="750"/>
      <c r="AM173" s="750"/>
      <c r="AN173" s="750"/>
      <c r="AO173" s="750"/>
      <c r="AR173" s="766"/>
    </row>
    <row r="174" spans="19:80" ht="16.350000000000001" customHeight="1">
      <c r="W174" s="751" t="str">
        <f>('Translate&amp;Prices&amp;Logo'!$O$174)&amp;" "&amp;"-"&amp;" "&amp;('Translate&amp;Prices&amp;Logo'!$O$169)&amp;" "&amp;" "&amp;5</f>
        <v>Ilość sztuk - Ramka  5</v>
      </c>
      <c r="X174" s="751"/>
      <c r="Y174" s="751"/>
      <c r="Z174" s="751"/>
      <c r="AA174" s="751"/>
      <c r="AB174" s="246"/>
      <c r="AC174" s="750">
        <f>Ram_5!$H$28</f>
        <v>0</v>
      </c>
      <c r="AD174" s="750"/>
      <c r="AE174" s="750"/>
      <c r="AF174" s="750"/>
      <c r="AG174" s="750"/>
      <c r="AH174" s="750"/>
      <c r="AI174" s="750"/>
      <c r="AJ174" s="750"/>
      <c r="AK174" s="750"/>
      <c r="AL174" s="750"/>
      <c r="AM174" s="750"/>
      <c r="AN174" s="750"/>
      <c r="AO174" s="750"/>
      <c r="AR174" s="766"/>
    </row>
    <row r="175" spans="19:80" ht="16.350000000000001" customHeight="1">
      <c r="AE175" s="1"/>
      <c r="AF175" s="1"/>
      <c r="AR175" s="766"/>
    </row>
    <row r="176" spans="19:80" ht="14.85" customHeight="1">
      <c r="AR176" s="766"/>
    </row>
    <row r="177" spans="1:80" ht="14.85" customHeight="1">
      <c r="W177" s="756" t="s">
        <v>1604</v>
      </c>
      <c r="X177" s="756"/>
      <c r="Y177" s="756"/>
      <c r="Z177" s="756"/>
      <c r="AE177" s="756" t="s">
        <v>1605</v>
      </c>
      <c r="AF177" s="756"/>
      <c r="AG177" s="756"/>
      <c r="AH177" s="756"/>
      <c r="AR177" s="766"/>
    </row>
    <row r="178" spans="1:80" ht="14.85" customHeight="1">
      <c r="AE178" s="768"/>
      <c r="AF178" s="769"/>
      <c r="AG178" s="769"/>
      <c r="AH178" s="769"/>
      <c r="AI178" s="769"/>
      <c r="AJ178" s="769"/>
      <c r="AK178" s="769"/>
      <c r="AL178" s="769"/>
      <c r="AM178" s="769"/>
      <c r="AN178" s="770"/>
      <c r="AR178" s="766"/>
    </row>
    <row r="179" spans="1:80" ht="14.85" customHeight="1">
      <c r="AE179" s="771"/>
      <c r="AF179" s="772"/>
      <c r="AG179" s="772"/>
      <c r="AH179" s="772"/>
      <c r="AI179" s="772"/>
      <c r="AJ179" s="772"/>
      <c r="AK179" s="772"/>
      <c r="AL179" s="772"/>
      <c r="AM179" s="772"/>
      <c r="AN179" s="773"/>
      <c r="AR179" s="766"/>
    </row>
    <row r="180" spans="1:80" ht="14.85" customHeight="1">
      <c r="AE180" s="771"/>
      <c r="AF180" s="772"/>
      <c r="AG180" s="772"/>
      <c r="AH180" s="772"/>
      <c r="AI180" s="772"/>
      <c r="AJ180" s="772"/>
      <c r="AK180" s="772"/>
      <c r="AL180" s="772"/>
      <c r="AM180" s="772"/>
      <c r="AN180" s="773"/>
      <c r="AR180" s="766"/>
    </row>
    <row r="181" spans="1:80" ht="14.85" customHeight="1">
      <c r="D181" s="780">
        <f>IF(OR(Ram_5!$AC$25="x",Ram_5!$AJ$26="x",Ram_5!$AC$9="x",Ram_5!$AJ$7="x",Ram_5!$AB$16="x",Ram_5!$AM$23="x",Ram_5!$AN$19="x",Ram_5!$AD$10="x"),'Translate&amp;Prices&amp;Logo'!$B$588,0)</f>
        <v>0</v>
      </c>
      <c r="E181" s="780"/>
      <c r="F181" s="780"/>
      <c r="G181" s="780"/>
      <c r="H181" s="780"/>
      <c r="I181" s="780"/>
      <c r="J181" s="780"/>
      <c r="K181" s="780"/>
      <c r="L181" s="780"/>
      <c r="M181" s="780"/>
      <c r="N181" s="780"/>
      <c r="O181" s="780"/>
      <c r="P181" s="780"/>
      <c r="AE181" s="771"/>
      <c r="AF181" s="772"/>
      <c r="AG181" s="772"/>
      <c r="AH181" s="772"/>
      <c r="AI181" s="772"/>
      <c r="AJ181" s="772"/>
      <c r="AK181" s="772"/>
      <c r="AL181" s="772"/>
      <c r="AM181" s="772"/>
      <c r="AN181" s="773"/>
      <c r="AR181" s="766"/>
    </row>
    <row r="182" spans="1:80" ht="14.85" customHeight="1">
      <c r="AE182" s="771"/>
      <c r="AF182" s="772"/>
      <c r="AG182" s="772"/>
      <c r="AH182" s="772"/>
      <c r="AI182" s="772"/>
      <c r="AJ182" s="772"/>
      <c r="AK182" s="772"/>
      <c r="AL182" s="772"/>
      <c r="AM182" s="772"/>
      <c r="AN182" s="773"/>
      <c r="AR182" s="766"/>
    </row>
    <row r="183" spans="1:80" ht="14.85" customHeight="1" thickBot="1">
      <c r="AE183" s="771"/>
      <c r="AF183" s="772"/>
      <c r="AG183" s="772"/>
      <c r="AH183" s="772"/>
      <c r="AI183" s="772"/>
      <c r="AJ183" s="772"/>
      <c r="AK183" s="772"/>
      <c r="AL183" s="772"/>
      <c r="AM183" s="772"/>
      <c r="AN183" s="773"/>
      <c r="AR183" s="766"/>
    </row>
    <row r="184" spans="1:80" ht="14.85" customHeight="1" thickBot="1">
      <c r="G184" s="757" t="str">
        <f>'Translate&amp;Prices&amp;Logo'!$O$175</f>
        <v>Szerokość</v>
      </c>
      <c r="H184" s="758">
        <f>Ram_1!AG174</f>
        <v>0</v>
      </c>
      <c r="I184" s="758">
        <f>Ram_1!AH174</f>
        <v>0</v>
      </c>
      <c r="J184" s="759">
        <f>Ram_5!AI30</f>
        <v>0</v>
      </c>
      <c r="K184" s="759">
        <f>Ram_1!AJ174</f>
        <v>0</v>
      </c>
      <c r="L184" s="760">
        <f>Ram_1!AK174</f>
        <v>0</v>
      </c>
      <c r="AE184" s="771"/>
      <c r="AF184" s="772"/>
      <c r="AG184" s="772"/>
      <c r="AH184" s="772"/>
      <c r="AI184" s="772"/>
      <c r="AJ184" s="772"/>
      <c r="AK184" s="772"/>
      <c r="AL184" s="772"/>
      <c r="AM184" s="772"/>
      <c r="AN184" s="773"/>
      <c r="AR184" s="766"/>
    </row>
    <row r="185" spans="1:80" ht="21" customHeight="1">
      <c r="AE185" s="774"/>
      <c r="AF185" s="775"/>
      <c r="AG185" s="775"/>
      <c r="AH185" s="775"/>
      <c r="AI185" s="775"/>
      <c r="AJ185" s="775"/>
      <c r="AK185" s="775"/>
      <c r="AL185" s="775"/>
      <c r="AM185" s="775"/>
      <c r="AN185" s="776"/>
      <c r="AR185" s="766"/>
    </row>
    <row r="186" spans="1:80" ht="14.85" customHeight="1">
      <c r="AR186" s="766"/>
    </row>
    <row r="187" spans="1:80" ht="14.85" customHeight="1">
      <c r="AR187" s="766"/>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55" t="str">
        <f>'Translate&amp;Prices&amp;Logo'!$O$256</f>
        <v>Numer zamówienia</v>
      </c>
      <c r="X189" s="755"/>
      <c r="Y189" s="755"/>
      <c r="Z189" s="755"/>
      <c r="AA189" s="755"/>
      <c r="AB189" s="246"/>
      <c r="AC189" s="752">
        <f>Ram_6!AS5</f>
        <v>0</v>
      </c>
      <c r="AD189" s="753"/>
      <c r="AE189" s="753"/>
      <c r="AF189" s="753"/>
      <c r="AG189" s="753"/>
      <c r="AH189" s="753"/>
      <c r="AI189" s="753"/>
      <c r="AJ189" s="753"/>
      <c r="AK189" s="753"/>
      <c r="AL189" s="753"/>
      <c r="AM189" s="753"/>
      <c r="AN189" s="753"/>
      <c r="AO189" s="754"/>
      <c r="AR189" s="766" t="s">
        <v>1611</v>
      </c>
    </row>
    <row r="190" spans="1:80" ht="16.350000000000001" customHeight="1">
      <c r="W190" s="751" t="str">
        <f>'Translate&amp;Prices&amp;Logo'!$O$542</f>
        <v>Połączenie 2 profili</v>
      </c>
      <c r="X190" s="751"/>
      <c r="Y190" s="751"/>
      <c r="Z190" s="751"/>
      <c r="AA190" s="751"/>
      <c r="AB190" s="246"/>
      <c r="AC190" s="765" t="str">
        <f>IF(kombinace_6!$H$1=TRUE,"Tak","Nie")</f>
        <v>Nie</v>
      </c>
      <c r="AD190" s="765"/>
      <c r="AE190" s="765"/>
      <c r="AF190" s="765"/>
      <c r="AG190" s="765"/>
      <c r="AH190" s="765"/>
      <c r="AI190" s="765"/>
      <c r="AJ190" s="765"/>
      <c r="AK190" s="765"/>
      <c r="AL190" s="765"/>
      <c r="AM190" s="765"/>
      <c r="AN190" s="765"/>
      <c r="AO190" s="765"/>
      <c r="AR190" s="766"/>
    </row>
    <row r="191" spans="1:80" ht="16.350000000000001" customHeight="1">
      <c r="W191" s="751" t="str">
        <f>'Translate&amp;Prices&amp;Logo'!$O$172</f>
        <v>Rodzaj profilu</v>
      </c>
      <c r="X191" s="751"/>
      <c r="Y191" s="751"/>
      <c r="Z191" s="751"/>
      <c r="AA191" s="751"/>
      <c r="AB191" s="246"/>
      <c r="AC191" s="750">
        <f>IFERROR(VLOOKUP(Ram_6!$H$8,'Translate&amp;Prices&amp;Logo'!AA1:AB312,2,0),Ram_6!$H$8)</f>
        <v>0</v>
      </c>
      <c r="AD191" s="750"/>
      <c r="AE191" s="750"/>
      <c r="AF191" s="750"/>
      <c r="AG191" s="750"/>
      <c r="AH191" s="750"/>
      <c r="AI191" s="750"/>
      <c r="AJ191" s="750"/>
      <c r="AK191" s="750"/>
      <c r="AL191" s="750"/>
      <c r="AM191" s="750"/>
      <c r="AN191" s="750"/>
      <c r="AO191" s="750"/>
      <c r="AR191" s="766"/>
    </row>
    <row r="192" spans="1:80" ht="16.350000000000001" customHeight="1">
      <c r="W192" s="751" t="str">
        <f>'Translate&amp;Prices&amp;Logo'!$O$543</f>
        <v>Szprosy</v>
      </c>
      <c r="X192" s="751"/>
      <c r="Y192" s="751"/>
      <c r="Z192" s="751"/>
      <c r="AA192" s="751"/>
      <c r="AB192" s="246"/>
      <c r="AC192" s="750" t="str">
        <f>IFERROR(VLOOKUP(Ram_6!$AU$10,AU192:AV195,2,0),0)</f>
        <v>Nie</v>
      </c>
      <c r="AD192" s="750"/>
      <c r="AE192" s="750"/>
      <c r="AF192" s="750"/>
      <c r="AG192" s="750"/>
      <c r="AH192" s="750"/>
      <c r="AI192" s="750"/>
      <c r="AJ192" s="750"/>
      <c r="AK192" s="750"/>
      <c r="AL192" s="750"/>
      <c r="AM192" s="750"/>
      <c r="AN192" s="750"/>
      <c r="AO192" s="750"/>
      <c r="AR192" s="766"/>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67" t="str">
        <f>'Translate&amp;Prices&amp;Logo'!$O$558</f>
        <v>Poziomo (termin dostawy 4 tygodnie)</v>
      </c>
      <c r="AD193" s="767"/>
      <c r="AE193" s="767"/>
      <c r="AF193" s="767"/>
      <c r="AG193" s="767"/>
      <c r="AH193" s="767"/>
      <c r="AI193" s="767"/>
      <c r="AJ193" s="767" t="str">
        <f>'Translate&amp;Prices&amp;Logo'!$O$559</f>
        <v>Pionowo (termin dostawy 4 tygodnie)</v>
      </c>
      <c r="AK193" s="767"/>
      <c r="AL193" s="767"/>
      <c r="AM193" s="767"/>
      <c r="AN193" s="767"/>
      <c r="AO193" s="767"/>
      <c r="AR193" s="766"/>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1" t="str">
        <f>('Translate&amp;Prices&amp;Logo'!$O$543)&amp;" "&amp;"("&amp;'Translate&amp;Prices&amp;Logo'!$O$174&amp;")"</f>
        <v>Szprosy (Ilość sztuk)</v>
      </c>
      <c r="X194" s="751"/>
      <c r="Y194" s="751"/>
      <c r="Z194" s="751"/>
      <c r="AA194" s="751"/>
      <c r="AB194" s="56"/>
      <c r="AC194" s="750">
        <f>Ram_6!$H$11</f>
        <v>0</v>
      </c>
      <c r="AD194" s="750"/>
      <c r="AE194" s="750"/>
      <c r="AF194" s="750"/>
      <c r="AG194" s="750"/>
      <c r="AH194" s="750"/>
      <c r="AI194" s="750"/>
      <c r="AJ194" s="750">
        <f>Ram_6!$M$11</f>
        <v>0</v>
      </c>
      <c r="AK194" s="750"/>
      <c r="AL194" s="750"/>
      <c r="AM194" s="750"/>
      <c r="AN194" s="750"/>
      <c r="AO194" s="750"/>
      <c r="AR194" s="766"/>
      <c r="AU194">
        <v>2</v>
      </c>
      <c r="AV194" t="str">
        <f>'Translate&amp;Prices&amp;Logo'!$O$559</f>
        <v>Pionowo (termin dostawy 4 tygodnie)</v>
      </c>
      <c r="BX194" s="1">
        <v>3</v>
      </c>
      <c r="BY194" s="1" t="str">
        <f>'Translate&amp;Prices&amp;Logo'!$O$102</f>
        <v>Folia</v>
      </c>
      <c r="CA194"/>
      <c r="CB194"/>
    </row>
    <row r="195" spans="19:80" ht="16.350000000000001" customHeight="1">
      <c r="W195" s="751" t="str">
        <f>'Translate&amp;Prices&amp;Logo'!$O$258</f>
        <v>Typ okucia</v>
      </c>
      <c r="X195" s="751"/>
      <c r="Y195" s="751"/>
      <c r="Z195" s="751"/>
      <c r="AA195" s="751"/>
      <c r="AB195" s="246"/>
      <c r="AC195" s="750">
        <f>IFERROR(VLOOKUP(Ram_6!$AU$9,AZ192:BA193,2,0),0)</f>
        <v>0</v>
      </c>
      <c r="AD195" s="750"/>
      <c r="AE195" s="750"/>
      <c r="AF195" s="750"/>
      <c r="AG195" s="750"/>
      <c r="AH195" s="750"/>
      <c r="AI195" s="750"/>
      <c r="AJ195" s="750"/>
      <c r="AK195" s="750"/>
      <c r="AL195" s="750"/>
      <c r="AM195" s="750"/>
      <c r="AN195" s="750"/>
      <c r="AO195" s="750"/>
      <c r="AR195" s="766"/>
      <c r="AU195">
        <v>3</v>
      </c>
      <c r="AV195" t="str">
        <f>'Translate&amp;Prices&amp;Logo'!$O$560</f>
        <v>Poziomo i pionowo (termin dostawy 4 tygodnie)</v>
      </c>
      <c r="CA195"/>
      <c r="CB195"/>
    </row>
    <row r="196" spans="19:80" ht="16.350000000000001" customHeight="1">
      <c r="W196" s="751" t="str">
        <f>'Translate&amp;Prices&amp;Logo'!$O$544</f>
        <v>Marka okucia</v>
      </c>
      <c r="X196" s="751"/>
      <c r="Y196" s="751"/>
      <c r="Z196" s="751"/>
      <c r="AA196" s="751"/>
      <c r="AB196" s="246"/>
      <c r="AC196" s="750">
        <f>Ram_6!$H$13</f>
        <v>0</v>
      </c>
      <c r="AD196" s="750"/>
      <c r="AE196" s="750"/>
      <c r="AF196" s="750"/>
      <c r="AG196" s="750"/>
      <c r="AH196" s="750"/>
      <c r="AI196" s="750"/>
      <c r="AJ196" s="750"/>
      <c r="AK196" s="750"/>
      <c r="AL196" s="750"/>
      <c r="AM196" s="750"/>
      <c r="AN196" s="750"/>
      <c r="AO196" s="750"/>
      <c r="AR196" s="766"/>
      <c r="CA196"/>
      <c r="CB196"/>
    </row>
    <row r="197" spans="19:80" ht="16.350000000000001" customHeight="1" thickBot="1">
      <c r="W197" s="751" t="str">
        <f>'Translate&amp;Prices&amp;Logo'!$O$546</f>
        <v>Nałożenie</v>
      </c>
      <c r="X197" s="751"/>
      <c r="Y197" s="751"/>
      <c r="Z197" s="751"/>
      <c r="AA197" s="751"/>
      <c r="AB197" s="246"/>
      <c r="AC197" s="750">
        <f>IFERROR(VLOOKUP(Ram_6!$H$14,$BD$12:$BE$29,2,0),0)</f>
        <v>0</v>
      </c>
      <c r="AD197" s="750"/>
      <c r="AE197" s="750"/>
      <c r="AF197" s="750"/>
      <c r="AG197" s="750"/>
      <c r="AH197" s="750"/>
      <c r="AI197" s="750"/>
      <c r="AJ197" s="750"/>
      <c r="AK197" s="750"/>
      <c r="AL197" s="750"/>
      <c r="AM197" s="750"/>
      <c r="AN197" s="750"/>
      <c r="AO197" s="750"/>
      <c r="AR197" s="766"/>
      <c r="CA197"/>
      <c r="CB197"/>
    </row>
    <row r="198" spans="19:80" ht="16.350000000000001" customHeight="1">
      <c r="S198" s="761">
        <f>Ram_6!AR14</f>
        <v>0</v>
      </c>
      <c r="W198" s="751" t="str">
        <f>'Translate&amp;Prices&amp;Logo'!$O$545</f>
        <v>Wariant okucia</v>
      </c>
      <c r="X198" s="751"/>
      <c r="Y198" s="751"/>
      <c r="Z198" s="751"/>
      <c r="AA198" s="751"/>
      <c r="AB198" s="246"/>
      <c r="AC198" s="777">
        <f>IFERROR(VLOOKUP(Ram_6!$H$15,kombinace_1!$ED$2:$EE$758,2,0),Ram_6!$H$15)</f>
        <v>0</v>
      </c>
      <c r="AD198" s="777"/>
      <c r="AE198" s="777"/>
      <c r="AF198" s="777"/>
      <c r="AG198" s="777"/>
      <c r="AH198" s="777"/>
      <c r="AI198" s="777"/>
      <c r="AJ198" s="777" t="str">
        <f>IF(AC198='Translate&amp;Prices&amp;Logo'!C698,VLOOKUP(Ram_6!H17,'Translate&amp;Prices&amp;Logo'!C699:D746,2,0),"")</f>
        <v/>
      </c>
      <c r="AK198" s="777"/>
      <c r="AL198" s="777"/>
      <c r="AM198" s="777"/>
      <c r="AN198" s="777"/>
      <c r="AO198" s="777"/>
      <c r="AR198" s="766"/>
      <c r="CA198"/>
      <c r="CB198"/>
    </row>
    <row r="199" spans="19:80" ht="16.350000000000001" customHeight="1">
      <c r="S199" s="762">
        <f>Ram_1!AR195</f>
        <v>0</v>
      </c>
      <c r="W199" s="751" t="str">
        <f>'Translate&amp;Prices&amp;Logo'!$O$218</f>
        <v>Wybierz pozycję ramki</v>
      </c>
      <c r="X199" s="751"/>
      <c r="Y199" s="751"/>
      <c r="Z199" s="751"/>
      <c r="AA199" s="751"/>
      <c r="AB199" s="750">
        <f>IFERROR(VLOOKUP(Ram_6!$F$16,BI12:BJ23,2,0),0)</f>
        <v>0</v>
      </c>
      <c r="AC199" s="750"/>
      <c r="AD199" s="750"/>
      <c r="AE199" s="750"/>
      <c r="AF199" s="750"/>
      <c r="AG199" s="778" t="str">
        <f>'Translate&amp;Prices&amp;Logo'!$O$232</f>
        <v>Rodzaj drugiej ramki</v>
      </c>
      <c r="AH199" s="778"/>
      <c r="AI199" s="778"/>
      <c r="AJ199" s="750">
        <f>IFERROR(VLOOKUP(Ram_6!$N$16,BM12:BN41,2,0),0)</f>
        <v>0</v>
      </c>
      <c r="AK199" s="750"/>
      <c r="AL199" s="750"/>
      <c r="AM199" s="750"/>
      <c r="AN199" s="750"/>
      <c r="AO199" s="750"/>
      <c r="AR199" s="766"/>
      <c r="CA199"/>
      <c r="CB199"/>
    </row>
    <row r="200" spans="19:80" ht="16.350000000000001" customHeight="1">
      <c r="S200" s="762">
        <f>Ram_1!AR196</f>
        <v>0</v>
      </c>
      <c r="W200" s="751" t="str">
        <f>IF(AC195='Translate&amp;Prices&amp;Logo'!O551,'Translate&amp;Prices&amp;Logo'!O238,'Translate&amp;Prices&amp;Logo'!$O$226)</f>
        <v>Umieszczenie</v>
      </c>
      <c r="X200" s="751"/>
      <c r="Y200" s="751"/>
      <c r="Z200" s="751"/>
      <c r="AA200" s="751"/>
      <c r="AB200" s="246"/>
      <c r="AC200" s="750" t="str">
        <f>IFERROR((IF(Ram_6!H12='Translate&amp;Prices&amp;Logo'!B552,VLOOKUP(Ram_6!$N$16,BM42:BN71,2,0),VLOOKUP(Ram_6!$H$17,BM42:BN65,2,0))),"")</f>
        <v/>
      </c>
      <c r="AD200" s="750"/>
      <c r="AE200" s="750"/>
      <c r="AF200" s="750"/>
      <c r="AG200" s="750"/>
      <c r="AH200" s="750"/>
      <c r="AI200" s="750"/>
      <c r="AJ200" s="750"/>
      <c r="AK200" s="750"/>
      <c r="AL200" s="750"/>
      <c r="AM200" s="750"/>
      <c r="AN200" s="750"/>
      <c r="AO200" s="750"/>
      <c r="AR200" s="766"/>
      <c r="CA200"/>
      <c r="CB200"/>
    </row>
    <row r="201" spans="19:80" ht="16.350000000000001" customHeight="1">
      <c r="S201" s="762">
        <f>Ram_1!AR197</f>
        <v>0</v>
      </c>
      <c r="W201" s="751" t="str">
        <f>'Translate&amp;Prices&amp;Logo'!$O$547</f>
        <v>Zawiasy do podnośników</v>
      </c>
      <c r="X201" s="751"/>
      <c r="Y201" s="751"/>
      <c r="Z201" s="751"/>
      <c r="AA201" s="751"/>
      <c r="AB201" s="246"/>
      <c r="AC201" s="750">
        <f>IFERROR((VLOOKUP(Ram_6!$H$18,$CK$2:$CL$90,2,0)),Ram_6!$H$18)</f>
        <v>0</v>
      </c>
      <c r="AD201" s="750"/>
      <c r="AE201" s="750"/>
      <c r="AF201" s="750"/>
      <c r="AG201" s="750"/>
      <c r="AH201" s="750"/>
      <c r="AI201" s="750"/>
      <c r="AJ201" s="750"/>
      <c r="AK201" s="750"/>
      <c r="AL201" s="750"/>
      <c r="AM201" s="750"/>
      <c r="AN201" s="750"/>
      <c r="AO201" s="750"/>
      <c r="AR201" s="766"/>
      <c r="CA201"/>
      <c r="CB201"/>
    </row>
    <row r="202" spans="19:80" ht="16.350000000000001" customHeight="1">
      <c r="S202" s="762">
        <f>Ram_1!AR198</f>
        <v>0</v>
      </c>
      <c r="W202" s="751" t="str">
        <f>'Translate&amp;Prices&amp;Logo'!$O$223</f>
        <v>Ilość zawiasów na 1 ramkę</v>
      </c>
      <c r="X202" s="751"/>
      <c r="Y202" s="751"/>
      <c r="Z202" s="751"/>
      <c r="AA202" s="751"/>
      <c r="AB202" s="56"/>
      <c r="AC202" s="750">
        <f>Ram_6!$H$19</f>
        <v>0</v>
      </c>
      <c r="AD202" s="750"/>
      <c r="AE202" s="750"/>
      <c r="AF202" s="750"/>
      <c r="AG202" s="750"/>
      <c r="AH202" s="750"/>
      <c r="AI202" s="750"/>
      <c r="AJ202" s="750"/>
      <c r="AK202" s="750"/>
      <c r="AL202" s="750"/>
      <c r="AM202" s="750"/>
      <c r="AN202" s="750"/>
      <c r="AO202" s="750"/>
      <c r="AR202" s="766"/>
      <c r="CA202"/>
      <c r="CB202"/>
    </row>
    <row r="203" spans="19:80" ht="16.350000000000001" customHeight="1">
      <c r="S203" s="763" t="str">
        <f>'Translate&amp;Prices&amp;Logo'!$O$176</f>
        <v>Wysokość</v>
      </c>
      <c r="W203" s="751" t="e">
        <f>'Translate&amp;Prices&amp;Logo'!$O$242&amp;" "&amp;VLOOKUP(Ram_6!H17,kombinace_1!$BY$32:$CC$35,5,0)</f>
        <v>#N/A</v>
      </c>
      <c r="X203" s="751"/>
      <c r="Y203" s="751"/>
      <c r="Z203" s="751"/>
      <c r="AA203" s="751"/>
      <c r="AB203" s="750">
        <f>Ram_6!$F$20</f>
        <v>100</v>
      </c>
      <c r="AC203" s="750"/>
      <c r="AD203" s="750"/>
      <c r="AE203" s="750"/>
      <c r="AF203" s="750"/>
      <c r="AG203" s="751" t="e">
        <f>'Translate&amp;Prices&amp;Logo'!$O$242&amp;" "&amp;VLOOKUP(Ram_6!H17,kombinace_1!$BY$32:$CD$35,6,0)</f>
        <v>#N/A</v>
      </c>
      <c r="AH203" s="751"/>
      <c r="AI203" s="751"/>
      <c r="AJ203" s="751"/>
      <c r="AK203" s="751"/>
      <c r="AL203" s="750">
        <f>Ram_6!$N$20</f>
        <v>100</v>
      </c>
      <c r="AM203" s="750"/>
      <c r="AN203" s="750"/>
      <c r="AO203" s="750"/>
      <c r="AR203" s="766"/>
      <c r="CA203"/>
      <c r="CB203"/>
    </row>
    <row r="204" spans="19:80" ht="16.350000000000001" customHeight="1">
      <c r="S204" s="763" t="e">
        <f>Ram_1!#REF!</f>
        <v>#REF!</v>
      </c>
      <c r="W204" s="250" t="str">
        <f>'Translate&amp;Prices&amp;Logo'!$O$653</f>
        <v>Wypełnienie z siatki</v>
      </c>
      <c r="X204" s="126"/>
      <c r="Y204" s="126"/>
      <c r="Z204" s="126"/>
      <c r="AA204" s="126"/>
      <c r="AB204" s="246"/>
      <c r="AC204" s="749" t="str">
        <f>IF(kombinace_6!FC2=TRUE,"Tak","Nie")</f>
        <v>Nie</v>
      </c>
      <c r="AD204" s="749"/>
      <c r="AE204" s="749"/>
      <c r="AF204" s="749"/>
      <c r="AG204" s="749"/>
      <c r="AH204" s="749"/>
      <c r="AI204" s="749"/>
      <c r="AJ204" s="749"/>
      <c r="AK204" s="749"/>
      <c r="AL204" s="749"/>
      <c r="AM204" s="749"/>
      <c r="AN204" s="749"/>
      <c r="AO204" s="749"/>
      <c r="AR204" s="766"/>
      <c r="CA204"/>
      <c r="CB204"/>
    </row>
    <row r="205" spans="19:80" ht="16.350000000000001" customHeight="1">
      <c r="S205" s="763" t="e">
        <f>Ram_1!#REF!</f>
        <v>#REF!</v>
      </c>
      <c r="W205" s="751" t="str">
        <f>'Translate&amp;Prices&amp;Logo'!$O$173</f>
        <v>Rodzaj szkła</v>
      </c>
      <c r="X205" s="751"/>
      <c r="Y205" s="751"/>
      <c r="Z205" s="751"/>
      <c r="AA205" s="751"/>
      <c r="AB205" s="246"/>
      <c r="AC205" s="750" t="str">
        <f>IFERROR(VLOOKUP(kombinace_6!$V$1,BX192:BY194,2,0),0)</f>
        <v>Bez modyfikacji</v>
      </c>
      <c r="AD205" s="750"/>
      <c r="AE205" s="750"/>
      <c r="AF205" s="750"/>
      <c r="AG205" s="750"/>
      <c r="AH205" s="750"/>
      <c r="AI205" s="750"/>
      <c r="AJ205" s="750"/>
      <c r="AK205" s="750"/>
      <c r="AL205" s="750"/>
      <c r="AM205" s="750"/>
      <c r="AN205" s="750"/>
      <c r="AO205" s="750"/>
      <c r="AR205" s="766"/>
      <c r="CA205"/>
      <c r="CB205"/>
    </row>
    <row r="206" spans="19:80" ht="16.350000000000001" customHeight="1">
      <c r="S206" s="763" t="e">
        <f>Ram_1!#REF!</f>
        <v>#REF!</v>
      </c>
      <c r="W206" s="751" t="str">
        <f>'Translate&amp;Prices&amp;Logo'!$O$562</f>
        <v>Rodzaj folii</v>
      </c>
      <c r="X206" s="751"/>
      <c r="Y206" s="751"/>
      <c r="Z206" s="751"/>
      <c r="AA206" s="751"/>
      <c r="AB206" s="246"/>
      <c r="AC206" s="750">
        <f>IFERROR(VLOOKUP(Ram_6!$H$24,CA12:CB29,2,0),0)</f>
        <v>0</v>
      </c>
      <c r="AD206" s="750"/>
      <c r="AE206" s="750"/>
      <c r="AF206" s="750"/>
      <c r="AG206" s="750"/>
      <c r="AH206" s="750"/>
      <c r="AI206" s="750"/>
      <c r="AJ206" s="750"/>
      <c r="AK206" s="750"/>
      <c r="AL206" s="750"/>
      <c r="AM206" s="750"/>
      <c r="AN206" s="750"/>
      <c r="AO206" s="750"/>
      <c r="AR206" s="766"/>
      <c r="CA206"/>
      <c r="CB206"/>
    </row>
    <row r="207" spans="19:80" ht="16.350000000000001" customHeight="1" thickBot="1">
      <c r="S207" s="764" t="e">
        <f>Ram_1!#REF!</f>
        <v>#REF!</v>
      </c>
      <c r="W207" s="751" t="str">
        <f>'Translate&amp;Prices&amp;Logo'!$O$173</f>
        <v>Rodzaj szkła</v>
      </c>
      <c r="X207" s="751"/>
      <c r="Y207" s="751"/>
      <c r="Z207" s="751"/>
      <c r="AA207" s="751"/>
      <c r="AB207" s="246"/>
      <c r="AC207" s="750">
        <f>IFERROR(VLOOKUP(Ram_6!$H$25,'Translate&amp;Prices&amp;Logo'!$AH$1:$AI$165,2,0),Ram_6!$H$25)</f>
        <v>0</v>
      </c>
      <c r="AD207" s="750"/>
      <c r="AE207" s="750"/>
      <c r="AF207" s="750"/>
      <c r="AG207" s="750"/>
      <c r="AH207" s="750"/>
      <c r="AI207" s="750"/>
      <c r="AJ207" s="750"/>
      <c r="AK207" s="750"/>
      <c r="AL207" s="750"/>
      <c r="AM207" s="750"/>
      <c r="AN207" s="750"/>
      <c r="AO207" s="750"/>
      <c r="AR207" s="766"/>
    </row>
    <row r="208" spans="19:80" ht="16.350000000000001" customHeight="1">
      <c r="W208" s="751" t="str">
        <f>'Translate&amp;Prices&amp;Logo'!$O$549</f>
        <v>Rozstaw uchwytu (mm)</v>
      </c>
      <c r="X208" s="751"/>
      <c r="Y208" s="751"/>
      <c r="Z208" s="751"/>
      <c r="AA208" s="751"/>
      <c r="AB208" s="246"/>
      <c r="AC208" s="750">
        <f>Ram_6!$H$26</f>
        <v>0</v>
      </c>
      <c r="AD208" s="750"/>
      <c r="AE208" s="750"/>
      <c r="AF208" s="750"/>
      <c r="AG208" s="750"/>
      <c r="AH208" s="750"/>
      <c r="AI208" s="750"/>
      <c r="AJ208" s="750"/>
      <c r="AK208" s="750"/>
      <c r="AL208" s="750"/>
      <c r="AM208" s="750"/>
      <c r="AN208" s="750"/>
      <c r="AO208" s="750"/>
      <c r="AR208" s="766"/>
    </row>
    <row r="209" spans="1:44" ht="16.350000000000001" customHeight="1">
      <c r="W209" s="751" t="str">
        <f>'Translate&amp;Prices&amp;Logo'!$O$550</f>
        <v>Umieszczenie uchwytu</v>
      </c>
      <c r="X209" s="751"/>
      <c r="Y209" s="751"/>
      <c r="Z209" s="751"/>
      <c r="AA209" s="751"/>
      <c r="AB209" s="246"/>
      <c r="AC209" s="750">
        <f>IFERROR(VLOOKUP(Ram_6!$H$27,BM42:BN65,2,0),0)</f>
        <v>0</v>
      </c>
      <c r="AD209" s="750"/>
      <c r="AE209" s="750"/>
      <c r="AF209" s="750"/>
      <c r="AG209" s="750"/>
      <c r="AH209" s="750"/>
      <c r="AI209" s="750"/>
      <c r="AJ209" s="750"/>
      <c r="AK209" s="750"/>
      <c r="AL209" s="750"/>
      <c r="AM209" s="750"/>
      <c r="AN209" s="750"/>
      <c r="AO209" s="750"/>
      <c r="AR209" s="766"/>
    </row>
    <row r="210" spans="1:44" ht="16.350000000000001" customHeight="1">
      <c r="W210" s="751" t="str">
        <f>('Translate&amp;Prices&amp;Logo'!$O$174)&amp;" "&amp;"-"&amp;" "&amp;('Translate&amp;Prices&amp;Logo'!$O$169)&amp;" "&amp;" "&amp;6</f>
        <v>Ilość sztuk - Ramka  6</v>
      </c>
      <c r="X210" s="751"/>
      <c r="Y210" s="751"/>
      <c r="Z210" s="751"/>
      <c r="AA210" s="751"/>
      <c r="AB210" s="246"/>
      <c r="AC210" s="750">
        <f>Ram_6!$H$28</f>
        <v>0</v>
      </c>
      <c r="AD210" s="750"/>
      <c r="AE210" s="750"/>
      <c r="AF210" s="750"/>
      <c r="AG210" s="750"/>
      <c r="AH210" s="750"/>
      <c r="AI210" s="750"/>
      <c r="AJ210" s="750"/>
      <c r="AK210" s="750"/>
      <c r="AL210" s="750"/>
      <c r="AM210" s="750"/>
      <c r="AN210" s="750"/>
      <c r="AO210" s="750"/>
      <c r="AR210" s="766"/>
    </row>
    <row r="211" spans="1:44" ht="16.350000000000001" customHeight="1">
      <c r="AE211" s="1"/>
      <c r="AF211" s="1"/>
      <c r="AR211" s="766"/>
    </row>
    <row r="212" spans="1:44" ht="14.85" customHeight="1">
      <c r="AR212" s="766"/>
    </row>
    <row r="213" spans="1:44" ht="14.85" customHeight="1">
      <c r="W213" s="756" t="s">
        <v>1604</v>
      </c>
      <c r="X213" s="756"/>
      <c r="Y213" s="756"/>
      <c r="Z213" s="756"/>
      <c r="AE213" s="756" t="s">
        <v>1605</v>
      </c>
      <c r="AF213" s="756"/>
      <c r="AG213" s="756"/>
      <c r="AH213" s="756"/>
      <c r="AR213" s="766"/>
    </row>
    <row r="214" spans="1:44" ht="14.85" customHeight="1">
      <c r="AE214" s="768"/>
      <c r="AF214" s="769"/>
      <c r="AG214" s="769"/>
      <c r="AH214" s="769"/>
      <c r="AI214" s="769"/>
      <c r="AJ214" s="769"/>
      <c r="AK214" s="769"/>
      <c r="AL214" s="769"/>
      <c r="AM214" s="769"/>
      <c r="AN214" s="770"/>
      <c r="AR214" s="766"/>
    </row>
    <row r="215" spans="1:44" ht="14.85" customHeight="1">
      <c r="AE215" s="771"/>
      <c r="AF215" s="772"/>
      <c r="AG215" s="772"/>
      <c r="AH215" s="772"/>
      <c r="AI215" s="772"/>
      <c r="AJ215" s="772"/>
      <c r="AK215" s="772"/>
      <c r="AL215" s="772"/>
      <c r="AM215" s="772"/>
      <c r="AN215" s="773"/>
      <c r="AR215" s="766"/>
    </row>
    <row r="216" spans="1:44" ht="14.85" customHeight="1">
      <c r="AE216" s="771"/>
      <c r="AF216" s="772"/>
      <c r="AG216" s="772"/>
      <c r="AH216" s="772"/>
      <c r="AI216" s="772"/>
      <c r="AJ216" s="772"/>
      <c r="AK216" s="772"/>
      <c r="AL216" s="772"/>
      <c r="AM216" s="772"/>
      <c r="AN216" s="773"/>
      <c r="AR216" s="766"/>
    </row>
    <row r="217" spans="1:44" ht="14.85" customHeight="1">
      <c r="D217" s="780">
        <f>IF(OR(Ram_6!$AC$25="x",Ram_6!$AJ$26="x",Ram_6!$AC$9="x",Ram_6!$AJ$7="x",Ram_6!$AB$16="x",Ram_6!$AM$23="x",Ram_6!$AN$19="x",Ram_6!$AD$10="x"),'Translate&amp;Prices&amp;Logo'!$B$588,0)</f>
        <v>0</v>
      </c>
      <c r="E217" s="780"/>
      <c r="F217" s="780"/>
      <c r="G217" s="780"/>
      <c r="H217" s="780"/>
      <c r="I217" s="780"/>
      <c r="J217" s="780"/>
      <c r="K217" s="780"/>
      <c r="L217" s="780"/>
      <c r="M217" s="780"/>
      <c r="N217" s="780"/>
      <c r="O217" s="780"/>
      <c r="P217" s="780"/>
      <c r="AE217" s="771"/>
      <c r="AF217" s="772"/>
      <c r="AG217" s="772"/>
      <c r="AH217" s="772"/>
      <c r="AI217" s="772"/>
      <c r="AJ217" s="772"/>
      <c r="AK217" s="772"/>
      <c r="AL217" s="772"/>
      <c r="AM217" s="772"/>
      <c r="AN217" s="773"/>
      <c r="AR217" s="766"/>
    </row>
    <row r="218" spans="1:44" ht="14.85" customHeight="1">
      <c r="AE218" s="771"/>
      <c r="AF218" s="772"/>
      <c r="AG218" s="772"/>
      <c r="AH218" s="772"/>
      <c r="AI218" s="772"/>
      <c r="AJ218" s="772"/>
      <c r="AK218" s="772"/>
      <c r="AL218" s="772"/>
      <c r="AM218" s="772"/>
      <c r="AN218" s="773"/>
      <c r="AR218" s="766"/>
    </row>
    <row r="219" spans="1:44" ht="14.85" customHeight="1" thickBot="1">
      <c r="AE219" s="771"/>
      <c r="AF219" s="772"/>
      <c r="AG219" s="772"/>
      <c r="AH219" s="772"/>
      <c r="AI219" s="772"/>
      <c r="AJ219" s="772"/>
      <c r="AK219" s="772"/>
      <c r="AL219" s="772"/>
      <c r="AM219" s="772"/>
      <c r="AN219" s="773"/>
      <c r="AR219" s="766"/>
    </row>
    <row r="220" spans="1:44" ht="14.85" customHeight="1" thickBot="1">
      <c r="G220" s="757" t="str">
        <f>'Translate&amp;Prices&amp;Logo'!$O$175</f>
        <v>Szerokość</v>
      </c>
      <c r="H220" s="758" t="e">
        <f>Ram_1!#REF!</f>
        <v>#REF!</v>
      </c>
      <c r="I220" s="758" t="e">
        <f>Ram_1!#REF!</f>
        <v>#REF!</v>
      </c>
      <c r="J220" s="759">
        <f>Ram_6!AI30</f>
        <v>0</v>
      </c>
      <c r="K220" s="759" t="e">
        <f>Ram_1!#REF!</f>
        <v>#REF!</v>
      </c>
      <c r="L220" s="760" t="e">
        <f>Ram_1!#REF!</f>
        <v>#REF!</v>
      </c>
      <c r="AE220" s="771"/>
      <c r="AF220" s="772"/>
      <c r="AG220" s="772"/>
      <c r="AH220" s="772"/>
      <c r="AI220" s="772"/>
      <c r="AJ220" s="772"/>
      <c r="AK220" s="772"/>
      <c r="AL220" s="772"/>
      <c r="AM220" s="772"/>
      <c r="AN220" s="773"/>
      <c r="AR220" s="766"/>
    </row>
    <row r="221" spans="1:44" ht="21" customHeight="1">
      <c r="AE221" s="774"/>
      <c r="AF221" s="775"/>
      <c r="AG221" s="775"/>
      <c r="AH221" s="775"/>
      <c r="AI221" s="775"/>
      <c r="AJ221" s="775"/>
      <c r="AK221" s="775"/>
      <c r="AL221" s="775"/>
      <c r="AM221" s="775"/>
      <c r="AN221" s="776"/>
      <c r="AR221" s="766"/>
    </row>
    <row r="222" spans="1:44" ht="14.85" customHeight="1">
      <c r="AR222" s="766"/>
    </row>
    <row r="223" spans="1:44" ht="14.85" customHeight="1">
      <c r="AR223" s="766"/>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546875" defaultRowHeight="0" customHeight="1" zeroHeight="1" outlineLevelRow="6"/>
  <cols>
    <col min="1" max="1" width="3.33203125" style="1" customWidth="1"/>
    <col min="2" max="8" width="3.33203125" style="1" hidden="1" customWidth="1"/>
    <col min="9" max="12" width="3.33203125" style="12" hidden="1" customWidth="1"/>
    <col min="13" max="15" width="11.6640625" style="12" customWidth="1"/>
    <col min="16" max="16" width="10" style="12" customWidth="1"/>
    <col min="17" max="18" width="11.6640625" style="12" customWidth="1"/>
    <col min="19" max="19" width="10.44140625" style="12" customWidth="1"/>
    <col min="20" max="20" width="12" style="12" customWidth="1"/>
    <col min="21" max="21" width="11.88671875" style="12" customWidth="1"/>
    <col min="22" max="23" width="8.5546875" style="12" customWidth="1"/>
    <col min="24" max="24" width="13.5546875" style="12"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553"/>
      <c r="AB5" s="553"/>
      <c r="AC5" s="553"/>
      <c r="AD5" s="553"/>
      <c r="AE5" s="553"/>
      <c r="AF5" s="553"/>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573"/>
      <c r="Q9" s="432"/>
      <c r="V9" s="440">
        <v>1</v>
      </c>
      <c r="W9" s="12" t="s">
        <v>4436</v>
      </c>
      <c r="AA9" s="344"/>
      <c r="AB9" s="344"/>
      <c r="AC9" s="344"/>
      <c r="AD9" s="344"/>
      <c r="AE9" s="344"/>
      <c r="AF9" s="344"/>
      <c r="AQ9" s="344"/>
      <c r="AR9" s="344"/>
      <c r="AS9" s="344"/>
      <c r="AT9" s="344"/>
      <c r="AU9" s="344"/>
      <c r="AV9" s="344"/>
    </row>
    <row r="10" spans="2:48" ht="15" customHeight="1" outlineLevel="2">
      <c r="C10" s="573"/>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553"/>
      <c r="AE11" s="553"/>
      <c r="AF11" s="553"/>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494"/>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494"/>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520">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28.8">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8.600000000000001"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4.4"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4.4"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4.4"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4.4"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4.4"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4.4"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4482</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4.4" outlineLevel="1">
      <c r="E76" s="344"/>
      <c r="F76" s="344"/>
      <c r="G76" s="344"/>
      <c r="H76" s="344"/>
      <c r="I76" s="344"/>
      <c r="J76" s="344"/>
      <c r="Y76" s="12"/>
    </row>
    <row r="77" spans="1:36" ht="23.4" outlineLevel="4">
      <c r="E77" s="344"/>
      <c r="F77" s="344"/>
      <c r="G77" s="344"/>
      <c r="H77" s="344"/>
      <c r="I77" s="344"/>
      <c r="J77" s="344"/>
      <c r="AA77" s="428"/>
      <c r="AB77" s="428"/>
      <c r="AC77" s="428"/>
      <c r="AD77" s="428"/>
      <c r="AE77" s="428"/>
      <c r="AF77" s="428"/>
      <c r="AG77" s="428"/>
    </row>
    <row r="78" spans="1:36" ht="14.4" outlineLevel="4">
      <c r="E78" s="344"/>
      <c r="F78" s="344"/>
      <c r="G78" s="344"/>
      <c r="H78" s="344"/>
      <c r="I78" s="344"/>
      <c r="J78" s="344"/>
      <c r="AA78" s="235"/>
      <c r="AB78" s="427"/>
      <c r="AC78" s="427"/>
      <c r="AD78" s="427"/>
      <c r="AE78" s="427"/>
      <c r="AF78" s="174"/>
      <c r="AG78" s="174"/>
    </row>
    <row r="79" spans="1:36" ht="14.4" outlineLevel="4">
      <c r="E79" s="344"/>
      <c r="F79" s="344"/>
      <c r="G79" s="344"/>
      <c r="H79" s="344"/>
      <c r="I79" s="344"/>
      <c r="J79" s="344"/>
      <c r="AA79"/>
      <c r="AB79" s="427"/>
      <c r="AC79" s="427"/>
      <c r="AD79" s="427"/>
      <c r="AE79" s="427"/>
      <c r="AF79" s="174"/>
      <c r="AG79" s="174"/>
    </row>
    <row r="80" spans="1:36" ht="14.4" outlineLevel="4">
      <c r="E80" s="344"/>
      <c r="F80" s="344"/>
      <c r="G80" s="344"/>
      <c r="H80" s="344"/>
      <c r="I80" s="344"/>
      <c r="J80" s="344"/>
      <c r="AA80"/>
      <c r="AB80"/>
      <c r="AC80"/>
      <c r="AD80"/>
      <c r="AE80"/>
      <c r="AF80"/>
      <c r="AG80" s="174"/>
    </row>
    <row r="81" spans="1:32" ht="14.4" outlineLevel="4">
      <c r="E81" s="344"/>
      <c r="F81" s="344"/>
      <c r="G81" s="344"/>
      <c r="H81" s="344"/>
      <c r="I81" s="344"/>
      <c r="J81" s="344"/>
    </row>
    <row r="82" spans="1:32" ht="14.4" outlineLevel="4">
      <c r="E82" s="344"/>
      <c r="F82" s="344"/>
      <c r="G82" s="344"/>
      <c r="H82" s="344"/>
      <c r="I82" s="344"/>
      <c r="J82" s="344"/>
    </row>
    <row r="83" spans="1:32" ht="14.4" outlineLevel="4">
      <c r="E83" s="344"/>
      <c r="F83" s="344"/>
      <c r="G83" s="344"/>
      <c r="H83" s="344"/>
      <c r="I83" s="344"/>
      <c r="J83" s="344"/>
    </row>
    <row r="84" spans="1:32" ht="15.6" outlineLevel="4">
      <c r="Z84" s="266"/>
    </row>
    <row r="85" spans="1:32" ht="15.6" outlineLevel="4">
      <c r="Y85" s="266"/>
      <c r="AB85" s="426"/>
      <c r="AC85" s="426"/>
      <c r="AD85" s="426"/>
      <c r="AE85" s="426"/>
      <c r="AF85" s="426"/>
    </row>
    <row r="86" spans="1:32" ht="14.4"/>
    <row r="87" spans="1:32" ht="21">
      <c r="E87" s="393"/>
      <c r="F87" s="393"/>
      <c r="G87" s="393"/>
      <c r="H87" s="394"/>
      <c r="I87" s="394"/>
      <c r="J87" s="394"/>
    </row>
    <row r="88" spans="1:32" ht="26.25" customHeight="1">
      <c r="B88" s="245"/>
      <c r="E88" s="344"/>
      <c r="F88" s="344"/>
      <c r="G88" s="344"/>
      <c r="H88" s="344"/>
      <c r="I88" s="344"/>
      <c r="J88" s="344"/>
      <c r="Z88" s="266"/>
    </row>
    <row r="89" spans="1:32" ht="14.4">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4.4">
      <c r="B91" s="344"/>
      <c r="D91" s="344"/>
      <c r="E91" s="344"/>
      <c r="F91" s="344"/>
      <c r="G91" s="344"/>
      <c r="H91" s="344"/>
      <c r="I91" s="344"/>
      <c r="J91" s="344"/>
    </row>
    <row r="92" spans="1:32" ht="14.4">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4.4">
      <c r="E95" s="344"/>
      <c r="F95" s="344"/>
      <c r="G95" s="344"/>
      <c r="H95" s="397"/>
      <c r="I95" s="397"/>
      <c r="J95" s="397"/>
    </row>
    <row r="96" spans="1:32" ht="14.4">
      <c r="D96" s="344"/>
      <c r="E96" s="344"/>
      <c r="F96" s="344"/>
      <c r="G96" s="344"/>
      <c r="H96" s="344"/>
      <c r="I96" s="344"/>
      <c r="J96" s="344"/>
    </row>
    <row r="97" spans="1:10" ht="18">
      <c r="D97" s="344"/>
      <c r="E97" s="399"/>
      <c r="F97" s="399"/>
      <c r="G97" s="399"/>
      <c r="H97" s="399"/>
      <c r="I97" s="399"/>
      <c r="J97" s="399"/>
    </row>
    <row r="98" spans="1:10" ht="14.4">
      <c r="D98" s="344"/>
      <c r="E98" s="344"/>
      <c r="F98" s="344"/>
      <c r="G98" s="344"/>
      <c r="H98" s="344"/>
      <c r="I98" s="344"/>
      <c r="J98" s="344"/>
    </row>
    <row r="99" spans="1:10" ht="14.4">
      <c r="E99" s="344"/>
      <c r="F99" s="344"/>
      <c r="G99" s="344"/>
      <c r="H99" s="344"/>
      <c r="I99" s="344"/>
      <c r="J99" s="344"/>
    </row>
    <row r="100" spans="1:10" ht="14.4">
      <c r="E100" s="344"/>
      <c r="F100" s="344"/>
      <c r="G100" s="344"/>
      <c r="H100" s="344"/>
      <c r="I100" s="344"/>
      <c r="J100" s="344"/>
    </row>
    <row r="101" spans="1:10" ht="14.4">
      <c r="E101" s="344"/>
      <c r="F101" s="344"/>
      <c r="G101" s="344"/>
      <c r="H101" s="344"/>
      <c r="I101" s="344"/>
      <c r="J101" s="344"/>
    </row>
    <row r="102" spans="1:10" ht="14.4">
      <c r="E102" s="344"/>
      <c r="F102" s="344"/>
      <c r="G102" s="344"/>
      <c r="H102" s="344"/>
      <c r="I102" s="344"/>
      <c r="J102" s="344"/>
    </row>
    <row r="103" spans="1:10" ht="14.4">
      <c r="E103" s="344"/>
      <c r="F103" s="344"/>
      <c r="G103" s="344"/>
      <c r="H103" s="344"/>
      <c r="I103" s="344"/>
      <c r="J103" s="344"/>
    </row>
    <row r="104" spans="1:10" ht="14.4">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546875" defaultRowHeight="0" customHeight="1" zeroHeight="1" outlineLevelRow="4"/>
  <cols>
    <col min="1" max="8" width="3.33203125" style="1" customWidth="1"/>
    <col min="9" max="12" width="3.33203125" style="12" customWidth="1"/>
    <col min="13" max="14" width="11.6640625" style="12" customWidth="1"/>
    <col min="15" max="16" width="7.5546875" style="12" bestFit="1" customWidth="1"/>
    <col min="17" max="17" width="7.6640625" style="12" bestFit="1" customWidth="1"/>
    <col min="18" max="18" width="7.44140625" style="12" bestFit="1" customWidth="1"/>
    <col min="19" max="19" width="5.109375" style="12" bestFit="1" customWidth="1"/>
    <col min="20" max="20" width="9.5546875" style="12" customWidth="1"/>
    <col min="21" max="21" width="11.88671875" style="12" customWidth="1"/>
    <col min="22" max="22" width="8.5546875" style="12" customWidth="1"/>
    <col min="23" max="23" width="10.6640625" style="12" bestFit="1" customWidth="1"/>
    <col min="24" max="24" width="10.6640625" style="1" bestFit="1" customWidth="1"/>
    <col min="25" max="25" width="19.44140625" style="1" customWidth="1"/>
    <col min="26" max="26" width="21" style="1" hidden="1" customWidth="1"/>
    <col min="27" max="27" width="16.44140625" style="1" hidden="1" customWidth="1"/>
    <col min="28" max="28" width="22.109375" style="1" hidden="1" customWidth="1"/>
    <col min="29" max="29" width="12.88671875" style="1" customWidth="1"/>
    <col min="30" max="30" width="20.5546875"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2" ht="15.75" customHeight="1">
      <c r="D1" s="344"/>
      <c r="E1" s="344"/>
      <c r="F1" s="344"/>
      <c r="G1" s="344"/>
      <c r="H1" s="344"/>
      <c r="I1" s="344"/>
      <c r="J1" s="344"/>
      <c r="T1" s="1"/>
      <c r="U1" s="1"/>
      <c r="V1" s="1"/>
      <c r="W1" s="1"/>
      <c r="AC1" s="400"/>
    </row>
    <row r="2" spans="1:32" ht="1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4.4" outlineLevel="4">
      <c r="E4" s="344"/>
      <c r="F4" s="344"/>
      <c r="G4" s="344"/>
      <c r="H4" s="344"/>
      <c r="I4" s="344"/>
      <c r="J4" s="344"/>
      <c r="Y4" s="457"/>
      <c r="AC4" s="341" t="s">
        <v>3634</v>
      </c>
      <c r="AD4" s="467" t="s">
        <v>4478</v>
      </c>
      <c r="AE4" s="342" t="s">
        <v>4479</v>
      </c>
    </row>
    <row r="5" spans="1:32" ht="14.4" outlineLevel="4">
      <c r="E5" s="344"/>
      <c r="F5" s="344"/>
      <c r="G5" s="344"/>
      <c r="H5" s="344"/>
      <c r="I5" s="344"/>
      <c r="J5" s="344"/>
      <c r="Y5" s="10"/>
      <c r="AC5" s="339" t="s">
        <v>3648</v>
      </c>
      <c r="AD5" s="336" t="s">
        <v>4477</v>
      </c>
      <c r="AE5" s="343" t="s">
        <v>4483</v>
      </c>
    </row>
    <row r="6" spans="1:32" ht="15" outlineLevel="4" thickBot="1">
      <c r="E6" s="344"/>
      <c r="F6" s="344"/>
      <c r="G6" s="344"/>
      <c r="H6" s="344"/>
      <c r="I6" s="344"/>
      <c r="J6" s="344"/>
      <c r="Y6" s="10"/>
      <c r="AC6" s="322" t="s">
        <v>4387</v>
      </c>
      <c r="AD6" s="425" t="s">
        <v>4426</v>
      </c>
      <c r="AE6" s="340" t="s">
        <v>4427</v>
      </c>
    </row>
    <row r="7" spans="1:32" ht="14.4" outlineLevel="4">
      <c r="E7" s="344"/>
      <c r="F7" s="344"/>
      <c r="G7" s="344"/>
      <c r="H7" s="344"/>
      <c r="I7" s="344"/>
      <c r="J7" s="344"/>
    </row>
    <row r="8" spans="1:32" ht="14.4" outlineLevel="4">
      <c r="E8" s="344"/>
      <c r="F8" s="344"/>
      <c r="G8" s="344"/>
      <c r="H8" s="344"/>
      <c r="I8" s="344"/>
      <c r="J8" s="344"/>
    </row>
    <row r="9" spans="1:32" ht="14.4" outlineLevel="4">
      <c r="E9" s="344"/>
      <c r="F9" s="344"/>
      <c r="G9" s="344"/>
      <c r="H9" s="344"/>
      <c r="I9" s="344"/>
      <c r="J9" s="344"/>
      <c r="Z9" s="344"/>
      <c r="AA9" s="344"/>
      <c r="AB9" s="344"/>
      <c r="AC9" s="344"/>
      <c r="AD9" s="344"/>
    </row>
    <row r="10" spans="1:32" ht="14.4" outlineLevel="4">
      <c r="Z10" s="433"/>
      <c r="AA10" s="433"/>
      <c r="AB10" s="433"/>
      <c r="AC10" s="433">
        <v>1400</v>
      </c>
      <c r="AD10" s="433">
        <v>2850</v>
      </c>
    </row>
    <row r="11" spans="1:32" ht="15.6" outlineLevel="4">
      <c r="Y11" s="266"/>
      <c r="Z11" s="433"/>
      <c r="AA11" s="433"/>
      <c r="AB11" s="433"/>
      <c r="AC11" s="433">
        <v>0</v>
      </c>
      <c r="AD11" s="433">
        <v>1401</v>
      </c>
    </row>
    <row r="12" spans="1:32" ht="15.6">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6">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4.4">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4.4">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4.4">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4.4">
      <c r="D22" s="344"/>
      <c r="E22" s="344"/>
      <c r="F22" s="344"/>
      <c r="G22" s="344"/>
      <c r="H22" s="344"/>
      <c r="I22" s="344"/>
      <c r="J22" s="344"/>
      <c r="AC22" s="1">
        <f>SUM(AC16:AC21)</f>
        <v>0</v>
      </c>
      <c r="AD22" s="1">
        <f>SUM(AD16:AD21)</f>
        <v>0</v>
      </c>
      <c r="AE22" s="1" t="s">
        <v>4429</v>
      </c>
      <c r="AF22" s="1">
        <v>22</v>
      </c>
    </row>
    <row r="23" spans="1:58" s="12" customFormat="1" ht="18">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4.4">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4.4">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4.4">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4.4">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4.4">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4.4">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4.4">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9" spans="1:19"/>
    <row r="10" spans="1:19"/>
    <row r="11" spans="1:19" ht="15" thickBot="1"/>
    <row r="12" spans="1:19" ht="39.75" customHeight="1" thickBot="1">
      <c r="B12" s="508" t="s">
        <v>3636</v>
      </c>
      <c r="C12" s="509"/>
      <c r="D12" s="509"/>
      <c r="E12" s="509"/>
      <c r="F12" s="513"/>
      <c r="G12" s="471"/>
    </row>
    <row r="13" spans="1:19" ht="21" customHeight="1">
      <c r="B13" s="338"/>
      <c r="C13" s="506" t="s">
        <v>4388</v>
      </c>
      <c r="D13" s="506"/>
      <c r="E13" s="511" t="s">
        <v>3632</v>
      </c>
      <c r="F13" s="512"/>
      <c r="G13" s="472"/>
    </row>
    <row r="14" spans="1:19">
      <c r="B14" s="321" t="s">
        <v>3631</v>
      </c>
      <c r="C14" s="317" t="s">
        <v>4424</v>
      </c>
      <c r="D14" s="317" t="s">
        <v>4484</v>
      </c>
      <c r="E14" s="316" t="s">
        <v>4486</v>
      </c>
      <c r="F14" s="316" t="s">
        <v>4487</v>
      </c>
      <c r="G14" s="473"/>
    </row>
    <row r="15" spans="1:19">
      <c r="B15" s="339" t="s">
        <v>3648</v>
      </c>
      <c r="C15" s="336" t="s">
        <v>4477</v>
      </c>
      <c r="D15" s="336" t="s">
        <v>4477</v>
      </c>
      <c r="E15" s="337" t="s">
        <v>4480</v>
      </c>
      <c r="F15" s="337" t="s">
        <v>4481</v>
      </c>
      <c r="G15" s="474"/>
    </row>
    <row r="16" spans="1:19" ht="15" thickBot="1">
      <c r="B16" s="322" t="s">
        <v>4387</v>
      </c>
      <c r="C16" s="425" t="s">
        <v>4384</v>
      </c>
      <c r="D16" s="425" t="s">
        <v>4385</v>
      </c>
      <c r="E16" s="514" t="s">
        <v>4386</v>
      </c>
      <c r="F16" s="515"/>
      <c r="G16" s="475"/>
    </row>
    <row r="17" spans="2:19" ht="25.5" customHeight="1"/>
    <row r="18" spans="2:19" ht="25.5" customHeight="1">
      <c r="B18" s="516" t="s">
        <v>4421</v>
      </c>
      <c r="C18" s="516"/>
      <c r="D18" s="516"/>
      <c r="E18" s="436"/>
    </row>
    <row r="19" spans="2:19" ht="25.5" customHeight="1">
      <c r="B19" s="516"/>
      <c r="C19" s="516"/>
      <c r="D19" s="516"/>
      <c r="E19" s="436"/>
    </row>
    <row r="20" spans="2:19" ht="15" thickBot="1"/>
    <row r="21" spans="2:19" ht="39.75" customHeight="1" thickBot="1">
      <c r="B21" s="508" t="s">
        <v>3633</v>
      </c>
      <c r="C21" s="509"/>
      <c r="D21" s="510"/>
      <c r="E21" s="470"/>
      <c r="F21" s="470"/>
      <c r="G21" s="470"/>
      <c r="H21" s="318"/>
      <c r="P21" s="505" t="str">
        <f>IF(Posuv!I17="Dostawa na adres","Ramki przesuwne","")</f>
        <v/>
      </c>
      <c r="Q21" s="505"/>
      <c r="R21" s="505"/>
      <c r="S21" s="505"/>
    </row>
    <row r="22" spans="2:19" ht="18.75" customHeight="1">
      <c r="B22" s="341" t="s">
        <v>3634</v>
      </c>
      <c r="C22" s="467" t="s">
        <v>4478</v>
      </c>
      <c r="D22" s="342" t="s">
        <v>4479</v>
      </c>
      <c r="E22" s="468"/>
      <c r="H22" s="319"/>
    </row>
    <row r="23" spans="2:19">
      <c r="B23" s="339" t="s">
        <v>3648</v>
      </c>
      <c r="C23" s="336" t="s">
        <v>4477</v>
      </c>
      <c r="D23" s="343" t="s">
        <v>4483</v>
      </c>
      <c r="E23" s="468"/>
      <c r="H23" s="174"/>
      <c r="P23" s="504" t="s">
        <v>1432</v>
      </c>
      <c r="Q23" s="504"/>
      <c r="R23" s="504"/>
      <c r="S23" s="504"/>
    </row>
    <row r="24" spans="2:19" ht="15" thickBot="1">
      <c r="B24" s="322" t="s">
        <v>4387</v>
      </c>
      <c r="C24" s="425" t="s">
        <v>4426</v>
      </c>
      <c r="D24" s="340" t="s">
        <v>4427</v>
      </c>
      <c r="E24" s="469"/>
      <c r="H24" s="320"/>
      <c r="P24" s="504"/>
      <c r="Q24" s="504"/>
      <c r="R24" s="504"/>
      <c r="S24" s="504"/>
    </row>
    <row r="25" spans="2:19"/>
    <row r="26" spans="2:19" ht="15" customHeight="1">
      <c r="B26" s="507" t="s">
        <v>4434</v>
      </c>
      <c r="C26" s="507"/>
      <c r="D26" s="507"/>
      <c r="E26" s="507"/>
      <c r="F26" s="507"/>
      <c r="G26" s="507"/>
      <c r="P26" s="503" t="s">
        <v>1224</v>
      </c>
      <c r="Q26" s="503"/>
      <c r="R26" s="503"/>
      <c r="S26" s="503"/>
    </row>
    <row r="27" spans="2:19" ht="15" customHeight="1">
      <c r="B27" s="507"/>
      <c r="C27" s="507"/>
      <c r="D27" s="507"/>
      <c r="E27" s="507"/>
      <c r="F27" s="507"/>
      <c r="G27" s="507"/>
      <c r="P27" s="503"/>
      <c r="Q27" s="503"/>
      <c r="R27" s="503"/>
      <c r="S27" s="503"/>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B12:F12"/>
    <mergeCell ref="E16:F16"/>
    <mergeCell ref="B18:D19"/>
    <mergeCell ref="A2:O3"/>
    <mergeCell ref="P2:S3"/>
    <mergeCell ref="P26:S27"/>
    <mergeCell ref="P23:S24"/>
    <mergeCell ref="P21:S21"/>
    <mergeCell ref="C13:D13"/>
    <mergeCell ref="B26:G27"/>
    <mergeCell ref="B21:D21"/>
    <mergeCell ref="E13:F1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546875" style="133" customWidth="1"/>
    <col min="4" max="4" width="6.5546875" style="133" customWidth="1"/>
    <col min="5" max="16" width="8.5546875" style="133" customWidth="1"/>
    <col min="17" max="17" width="6.5546875" style="133" customWidth="1"/>
    <col min="18" max="18" width="8.5546875" style="133" customWidth="1"/>
    <col min="19" max="20" width="11.33203125" style="133" customWidth="1"/>
    <col min="21" max="21" width="17.5546875" style="133" hidden="1" customWidth="1"/>
    <col min="22" max="22" width="8.88671875" style="133" hidden="1" customWidth="1"/>
    <col min="23" max="23" width="18.5546875" style="133" hidden="1" customWidth="1"/>
    <col min="24" max="34" width="8.88671875" style="133" hidden="1" customWidth="1"/>
    <col min="35" max="35" width="16.6640625" style="133" hidden="1" customWidth="1"/>
    <col min="36" max="16384" width="8.88671875" style="133" hidden="1"/>
  </cols>
  <sheetData>
    <row r="1" spans="1:39" ht="14.4">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4.4">
      <c r="A2" s="39"/>
      <c r="B2" s="39"/>
      <c r="C2" s="39"/>
      <c r="D2" s="39"/>
      <c r="E2" s="533"/>
      <c r="F2" s="533"/>
      <c r="G2" s="533"/>
      <c r="H2" s="533"/>
      <c r="I2" s="533"/>
      <c r="J2" s="533"/>
      <c r="K2" s="533"/>
      <c r="L2" s="533"/>
      <c r="M2" s="533"/>
      <c r="N2" s="533"/>
      <c r="O2" s="533"/>
      <c r="P2" s="534"/>
      <c r="Q2" s="529" t="str">
        <f>'Translate&amp;Prices&amp;Logo'!$B$540</f>
        <v>Wprowadzenie</v>
      </c>
      <c r="R2" s="530"/>
      <c r="S2" s="530"/>
      <c r="T2" s="530"/>
      <c r="AJ2" s="417">
        <v>800</v>
      </c>
      <c r="AK2" s="417">
        <v>800</v>
      </c>
      <c r="AL2" s="520">
        <v>750</v>
      </c>
      <c r="AM2" s="521"/>
    </row>
    <row r="3" spans="1:39" ht="14.4">
      <c r="A3" s="39"/>
      <c r="B3" s="39"/>
      <c r="C3" s="39"/>
      <c r="D3" s="39"/>
      <c r="E3" s="533"/>
      <c r="F3" s="533"/>
      <c r="G3" s="533"/>
      <c r="H3" s="533"/>
      <c r="I3" s="533"/>
      <c r="J3" s="533"/>
      <c r="K3" s="533"/>
      <c r="L3" s="533"/>
      <c r="M3" s="533"/>
      <c r="N3" s="533"/>
      <c r="O3" s="533"/>
      <c r="P3" s="534"/>
      <c r="Q3" s="529"/>
      <c r="R3" s="530"/>
      <c r="S3" s="530"/>
      <c r="T3" s="530"/>
      <c r="W3" s="133" t="e">
        <f>VLOOKUP(I24,V5:W7,2,0)</f>
        <v>#N/A</v>
      </c>
      <c r="AJ3" s="356" t="s">
        <v>4392</v>
      </c>
      <c r="AK3" s="356" t="s">
        <v>4393</v>
      </c>
      <c r="AL3" s="357" t="s">
        <v>4394</v>
      </c>
      <c r="AM3" s="357" t="s">
        <v>4395</v>
      </c>
    </row>
    <row r="4" spans="1:39" ht="14.4">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Bez modyfikacji</v>
      </c>
      <c r="W5" s="133">
        <v>1</v>
      </c>
      <c r="AE5" s="1"/>
      <c r="AF5" s="1"/>
      <c r="AG5" s="1"/>
      <c r="AH5" s="1"/>
      <c r="AI5" s="1"/>
      <c r="AJ5" s="1">
        <v>3</v>
      </c>
      <c r="AK5" s="133">
        <v>2</v>
      </c>
      <c r="AL5" s="525">
        <v>20</v>
      </c>
      <c r="AM5" s="525"/>
    </row>
    <row r="6" spans="1:39" ht="14.85" customHeight="1">
      <c r="A6" s="1"/>
      <c r="B6" s="1"/>
      <c r="C6" s="1"/>
      <c r="D6" s="1"/>
      <c r="E6" s="1"/>
      <c r="F6" s="1"/>
      <c r="G6" s="1"/>
      <c r="H6" s="1"/>
      <c r="I6" s="1"/>
      <c r="J6" s="1"/>
      <c r="K6" s="1"/>
      <c r="L6" s="1"/>
      <c r="M6" s="1"/>
      <c r="N6" s="1"/>
      <c r="O6" s="1"/>
      <c r="P6" s="1"/>
      <c r="Q6" s="1"/>
      <c r="R6" s="1"/>
      <c r="S6" s="1"/>
      <c r="T6" s="1"/>
      <c r="V6" s="133" t="str">
        <f>'Translate&amp;Prices&amp;Logo'!B639</f>
        <v>Hartowane (termin dostawy 4 tygodnie)</v>
      </c>
      <c r="W6" s="133">
        <v>2</v>
      </c>
      <c r="AC6" s="133" t="s">
        <v>4488</v>
      </c>
      <c r="AD6" s="133" t="s">
        <v>4489</v>
      </c>
      <c r="AE6" s="522" t="s">
        <v>4446</v>
      </c>
      <c r="AF6" s="523"/>
      <c r="AG6" s="523"/>
      <c r="AH6" s="524"/>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Folia</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4490</v>
      </c>
    </row>
    <row r="8" spans="1:39" ht="14.85" customHeight="1">
      <c r="A8" s="1"/>
      <c r="B8" s="1"/>
      <c r="C8" s="539" t="str">
        <f>'Translate&amp;Prices&amp;Logo'!$B$249</f>
        <v>Klient</v>
      </c>
      <c r="D8" s="539"/>
      <c r="E8" s="539"/>
      <c r="F8" s="539"/>
      <c r="G8" s="539"/>
      <c r="H8" s="290"/>
      <c r="I8" s="540"/>
      <c r="J8" s="540"/>
      <c r="K8" s="540"/>
      <c r="L8" s="540"/>
      <c r="M8" s="540"/>
      <c r="N8" s="540"/>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539" t="str">
        <f>'Translate&amp;Prices&amp;Logo'!$B$253</f>
        <v>NIP</v>
      </c>
      <c r="D10" s="539"/>
      <c r="E10" s="539"/>
      <c r="F10" s="539"/>
      <c r="G10" s="539"/>
      <c r="H10" s="290"/>
      <c r="I10" s="540"/>
      <c r="J10" s="540"/>
      <c r="K10" s="540"/>
      <c r="L10" s="540"/>
      <c r="M10" s="540"/>
      <c r="N10" s="540"/>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539" t="str">
        <f>'Translate&amp;Prices&amp;Logo'!$B$250</f>
        <v>Telefon kontaktowy</v>
      </c>
      <c r="D12" s="539"/>
      <c r="E12" s="539"/>
      <c r="F12" s="539"/>
      <c r="G12" s="539"/>
      <c r="H12" s="290"/>
      <c r="I12" s="540"/>
      <c r="J12" s="540"/>
      <c r="K12" s="540"/>
      <c r="L12" s="540"/>
      <c r="M12" s="540"/>
      <c r="N12" s="540"/>
      <c r="S12" s="1"/>
      <c r="T12" s="1"/>
      <c r="V12" s="133" t="str">
        <f>'Translate&amp;Prices&amp;Logo'!B95</f>
        <v>Połysk</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Matowy</v>
      </c>
      <c r="Z13" s="133" t="e">
        <v>#N/A</v>
      </c>
    </row>
    <row r="14" spans="1:39" ht="14.85" customHeight="1">
      <c r="A14" s="1"/>
      <c r="B14" s="1"/>
      <c r="C14" s="539" t="str">
        <f>'Translate&amp;Prices&amp;Logo'!$B$723</f>
        <v>Rabat</v>
      </c>
      <c r="D14" s="539"/>
      <c r="E14" s="539"/>
      <c r="F14" s="539"/>
      <c r="G14" s="539"/>
      <c r="H14" s="290"/>
      <c r="I14" s="540"/>
      <c r="J14" s="540"/>
      <c r="K14" s="540"/>
      <c r="L14" s="540"/>
      <c r="M14" s="540"/>
      <c r="N14" s="540"/>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536" t="str">
        <f>IF(Hlavní!V39=3,"Dostawa","")</f>
        <v>Dostawa</v>
      </c>
      <c r="D16" s="536"/>
      <c r="E16" s="536"/>
      <c r="F16" s="536"/>
      <c r="G16" s="536"/>
      <c r="H16" s="31"/>
      <c r="I16" s="535"/>
      <c r="J16" s="535"/>
      <c r="K16" s="535"/>
      <c r="L16" s="535"/>
      <c r="M16" s="535"/>
      <c r="N16" s="535"/>
      <c r="P16" s="294"/>
      <c r="Q16" s="294"/>
      <c r="R16" s="294"/>
      <c r="S16" s="294"/>
      <c r="T16" s="294"/>
      <c r="V16" s="133" t="e">
        <f>VLOOKUP(I29,'Translate&amp;Prices&amp;Logo'!B95:C96,2,0)</f>
        <v>#N/A</v>
      </c>
      <c r="W16" s="133" t="e">
        <f>V16*(2*(I21/1000))*(2*(I22/1000))</f>
        <v>#N/A</v>
      </c>
      <c r="Z16" s="133" t="e">
        <v>#N/A</v>
      </c>
    </row>
    <row r="17" spans="1:26" ht="48.75" customHeight="1">
      <c r="A17" s="1"/>
      <c r="B17" s="1"/>
      <c r="C17" s="554" t="str">
        <f>IF(I16="Dostawa na adres","W przypadku wyboru DOSTAWA NA ADRES do zamówienia zostanie automatycznie doliczona opłata transportowa","")</f>
        <v/>
      </c>
      <c r="D17" s="554"/>
      <c r="E17" s="554"/>
      <c r="F17" s="554"/>
      <c r="G17" s="554"/>
      <c r="H17" s="554"/>
      <c r="I17" s="554"/>
      <c r="J17" s="554"/>
      <c r="K17" s="554"/>
      <c r="L17" s="554"/>
      <c r="M17" s="554"/>
      <c r="N17" s="554"/>
      <c r="P17" s="294"/>
      <c r="R17" s="550" t="str">
        <f>IF(I16="Dostawa na adres","Cennik transportu - kliknij tutaj","")</f>
        <v/>
      </c>
      <c r="S17" s="550"/>
      <c r="T17" s="550"/>
      <c r="Z17" s="133" t="e">
        <v>#N/A</v>
      </c>
    </row>
    <row r="18" spans="1:26" ht="14.85" customHeight="1">
      <c r="A18" s="1"/>
      <c r="B18" s="1"/>
      <c r="C18" s="536" t="str">
        <f>IF(Hlavní!V39=3,"Adres","")</f>
        <v>Adres</v>
      </c>
      <c r="D18" s="536"/>
      <c r="E18" s="536"/>
      <c r="F18" s="536"/>
      <c r="G18" s="536"/>
      <c r="H18" s="31"/>
      <c r="I18" s="528"/>
      <c r="J18" s="528"/>
      <c r="K18" s="528"/>
      <c r="L18" s="528"/>
      <c r="M18" s="528"/>
      <c r="N18" s="528"/>
      <c r="O18" s="528"/>
      <c r="P18" s="528"/>
      <c r="Q18" s="528"/>
      <c r="R18" s="528"/>
      <c r="S18" s="1"/>
      <c r="T18" s="1"/>
      <c r="Z18" s="133" t="e">
        <v>#N/A</v>
      </c>
    </row>
    <row r="19" spans="1:26" ht="14.85" customHeight="1">
      <c r="A19" s="1"/>
      <c r="B19" s="1"/>
      <c r="I19" s="528"/>
      <c r="J19" s="528"/>
      <c r="K19" s="528"/>
      <c r="L19" s="528"/>
      <c r="M19" s="528"/>
      <c r="N19" s="528"/>
      <c r="O19" s="528"/>
      <c r="P19" s="528"/>
      <c r="Q19" s="528"/>
      <c r="R19" s="528"/>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537" t="str">
        <f>'Translate&amp;Prices&amp;Logo'!$B$175</f>
        <v>Szerokość</v>
      </c>
      <c r="D21" s="538"/>
      <c r="E21" s="538"/>
      <c r="F21" s="538"/>
      <c r="G21" s="538"/>
      <c r="H21" s="98"/>
      <c r="I21" s="548"/>
      <c r="J21" s="548"/>
      <c r="K21" s="548"/>
      <c r="L21" s="548"/>
      <c r="M21" s="548"/>
      <c r="N21" s="548"/>
      <c r="O21" s="548"/>
      <c r="P21" s="548"/>
      <c r="Q21" s="548"/>
      <c r="R21" s="549"/>
      <c r="S21" s="1"/>
      <c r="T21" s="1"/>
      <c r="Z21" s="133" t="e">
        <v>#N/A</v>
      </c>
    </row>
    <row r="22" spans="1:26" ht="14.85" customHeight="1">
      <c r="A22" s="1"/>
      <c r="B22" s="1"/>
      <c r="C22" s="537" t="str">
        <f>'Translate&amp;Prices&amp;Logo'!$B$176</f>
        <v>Wysokość</v>
      </c>
      <c r="D22" s="538"/>
      <c r="E22" s="538"/>
      <c r="F22" s="538"/>
      <c r="G22" s="538"/>
      <c r="H22" s="98"/>
      <c r="I22" s="548"/>
      <c r="J22" s="548"/>
      <c r="K22" s="548"/>
      <c r="L22" s="548"/>
      <c r="M22" s="548"/>
      <c r="N22" s="548"/>
      <c r="O22" s="548"/>
      <c r="P22" s="548"/>
      <c r="Q22" s="548"/>
      <c r="R22" s="549"/>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transparentna</v>
      </c>
      <c r="Z23" s="133" t="e">
        <v>#N/A</v>
      </c>
    </row>
    <row r="24" spans="1:26" ht="14.85" customHeight="1">
      <c r="C24" s="537" t="str">
        <f>'Translate&amp;Prices&amp;Logo'!$B$173</f>
        <v>Rodzaj szkła</v>
      </c>
      <c r="D24" s="538"/>
      <c r="E24" s="538"/>
      <c r="F24" s="538"/>
      <c r="G24" s="538"/>
      <c r="H24" s="98"/>
      <c r="I24" s="541"/>
      <c r="J24" s="541"/>
      <c r="K24" s="541"/>
      <c r="L24" s="541"/>
      <c r="M24" s="541"/>
      <c r="N24" s="541"/>
      <c r="O24" s="541"/>
      <c r="P24" s="541"/>
      <c r="Q24" s="541"/>
      <c r="R24" s="542"/>
      <c r="V24" s="133" t="str">
        <f>'Translate&amp;Prices&amp;Logo'!B92</f>
        <v>Biała</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czarna</v>
      </c>
      <c r="Z25" s="133" t="e">
        <v>#N/A</v>
      </c>
    </row>
    <row r="26" spans="1:26" ht="14.85" customHeight="1">
      <c r="C26" s="119"/>
      <c r="D26" s="115"/>
      <c r="E26" s="115"/>
      <c r="F26" s="115"/>
      <c r="G26" s="115"/>
      <c r="H26" s="99"/>
      <c r="I26" s="531" t="str">
        <f>"↥↥"&amp;"   "&amp;'Translate&amp;Prices&amp;Logo'!$B$573&amp;" "&amp;C28&amp;"   "&amp;"↥↥"</f>
        <v>↥↥   Nie zmieniaj po wybraniu rodzaj szkła/siatka Rodzaj szkła/siatka   ↥↥</v>
      </c>
      <c r="J26" s="531"/>
      <c r="K26" s="531"/>
      <c r="L26" s="531"/>
      <c r="M26" s="531"/>
      <c r="N26" s="531"/>
      <c r="O26" s="531"/>
      <c r="P26" s="531"/>
      <c r="Q26" s="531"/>
      <c r="R26" s="532"/>
      <c r="Z26" s="133" t="e">
        <v>#N/A</v>
      </c>
    </row>
    <row r="27" spans="1:26" ht="14.85" customHeight="1">
      <c r="C27" s="537" t="str">
        <f>'Translate&amp;Prices&amp;Logo'!$B$562</f>
        <v>Rodzaj folii</v>
      </c>
      <c r="D27" s="538"/>
      <c r="E27" s="538"/>
      <c r="F27" s="538"/>
      <c r="G27" s="538"/>
      <c r="H27" s="98"/>
      <c r="I27" s="526"/>
      <c r="J27" s="526"/>
      <c r="K27" s="526"/>
      <c r="L27" s="526"/>
      <c r="M27" s="526"/>
      <c r="N27" s="526"/>
      <c r="O27" s="526"/>
      <c r="P27" s="526"/>
      <c r="Q27" s="526"/>
      <c r="R27" s="527"/>
      <c r="Z27" s="133" t="e">
        <v>#N/A</v>
      </c>
    </row>
    <row r="28" spans="1:26" ht="14.85" customHeight="1">
      <c r="C28" s="537" t="str">
        <f>'Translate&amp;Prices&amp;Logo'!$B$625</f>
        <v>Rodzaj szkła/siatka</v>
      </c>
      <c r="D28" s="538"/>
      <c r="E28" s="538"/>
      <c r="F28" s="538"/>
      <c r="G28" s="538"/>
      <c r="H28" s="98"/>
      <c r="I28" s="526"/>
      <c r="J28" s="526"/>
      <c r="K28" s="526"/>
      <c r="L28" s="526"/>
      <c r="M28" s="526"/>
      <c r="N28" s="526"/>
      <c r="O28" s="526"/>
      <c r="P28" s="526"/>
      <c r="Q28" s="526"/>
      <c r="R28" s="527"/>
      <c r="Z28" s="133" t="e">
        <v>#N/A</v>
      </c>
    </row>
    <row r="29" spans="1:26" ht="14.85" customHeight="1">
      <c r="C29" s="537" t="str">
        <f>'Translate&amp;Prices&amp;Logo'!$B$658</f>
        <v>Szlifowanie krawędzi</v>
      </c>
      <c r="D29" s="538"/>
      <c r="E29" s="538"/>
      <c r="F29" s="538"/>
      <c r="G29" s="538"/>
      <c r="H29" s="98"/>
      <c r="I29" s="526"/>
      <c r="J29" s="526"/>
      <c r="K29" s="526"/>
      <c r="L29" s="526"/>
      <c r="M29" s="526"/>
      <c r="N29" s="526"/>
      <c r="O29" s="526"/>
      <c r="P29" s="526"/>
      <c r="Q29" s="526"/>
      <c r="R29" s="527"/>
      <c r="Z29" s="133" t="e">
        <v>#N/A</v>
      </c>
    </row>
    <row r="30" spans="1:26" ht="14.85" customHeight="1">
      <c r="C30" s="537" t="str">
        <f>('Translate&amp;Prices&amp;Logo'!$B$174)</f>
        <v>Ilość sztuk</v>
      </c>
      <c r="D30" s="538"/>
      <c r="E30" s="538"/>
      <c r="F30" s="538"/>
      <c r="G30" s="538"/>
      <c r="H30" s="98"/>
      <c r="I30" s="526"/>
      <c r="J30" s="526"/>
      <c r="K30" s="526"/>
      <c r="L30" s="526"/>
      <c r="M30" s="526"/>
      <c r="N30" s="526"/>
      <c r="O30" s="526"/>
      <c r="P30" s="526"/>
      <c r="Q30" s="526"/>
      <c r="R30" s="527"/>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555" t="str">
        <f>'Translate&amp;Prices&amp;Logo'!$B$692</f>
        <v>Suma</v>
      </c>
      <c r="D32" s="556"/>
      <c r="E32" s="556"/>
      <c r="F32" s="556"/>
      <c r="G32" s="556"/>
      <c r="H32" s="556"/>
      <c r="I32" s="556"/>
      <c r="J32" s="556"/>
      <c r="K32" s="556"/>
      <c r="L32" s="559"/>
      <c r="M32" s="543">
        <f>V19*I30*(1-I14/100)</f>
        <v>0</v>
      </c>
      <c r="N32" s="543"/>
      <c r="O32" s="543"/>
      <c r="P32" s="543"/>
      <c r="Q32" s="543"/>
      <c r="R32" s="545" t="str">
        <f>VLOOKUP('Translate&amp;Prices&amp;Logo'!D1,'závěsy dle výklopu'!A204:B209,2,0)</f>
        <v>zl</v>
      </c>
      <c r="Z32" s="133" t="e">
        <v>#N/A</v>
      </c>
    </row>
    <row r="33" spans="3:26" ht="14.85" customHeight="1">
      <c r="C33" s="557"/>
      <c r="D33" s="558"/>
      <c r="E33" s="558"/>
      <c r="F33" s="558"/>
      <c r="G33" s="558"/>
      <c r="H33" s="558"/>
      <c r="I33" s="558"/>
      <c r="J33" s="558"/>
      <c r="K33" s="558"/>
      <c r="L33" s="560"/>
      <c r="M33" s="544"/>
      <c r="N33" s="544"/>
      <c r="O33" s="544"/>
      <c r="P33" s="544"/>
      <c r="Q33" s="544"/>
      <c r="R33" s="546"/>
      <c r="Z33" s="133" t="e">
        <v>#N/A</v>
      </c>
    </row>
    <row r="34" spans="3:26" ht="14.85" customHeight="1">
      <c r="Z34" s="133" t="e">
        <v>#N/A</v>
      </c>
    </row>
    <row r="35" spans="3:26" ht="14.85" customHeight="1">
      <c r="C35" s="552" t="str">
        <f>IF(I16="Dostawa na adres","Koszt transportu","")</f>
        <v/>
      </c>
      <c r="D35" s="552"/>
      <c r="E35" s="552"/>
      <c r="F35" s="552"/>
      <c r="G35" s="552"/>
      <c r="H35" s="552"/>
      <c r="I35" s="552"/>
      <c r="J35" s="552"/>
      <c r="K35" s="552"/>
      <c r="L35" s="553"/>
      <c r="M35" s="547" t="str">
        <f>IF(AND(I16="Dostawa na adres",I30&gt;0),AJ11,"")</f>
        <v/>
      </c>
      <c r="N35" s="547"/>
      <c r="O35" s="547"/>
      <c r="P35" s="547"/>
      <c r="Q35" s="547"/>
      <c r="R35" s="551" t="str">
        <f>VLOOKUP('Translate&amp;Prices&amp;Logo'!D1,'závěsy dle výklopu'!A204:B209,2,0)</f>
        <v>zl</v>
      </c>
      <c r="Z35" s="133" t="e">
        <v>#N/A</v>
      </c>
    </row>
    <row r="36" spans="3:26" ht="14.85" customHeight="1">
      <c r="C36" s="552"/>
      <c r="D36" s="552"/>
      <c r="E36" s="552"/>
      <c r="F36" s="552"/>
      <c r="G36" s="552"/>
      <c r="H36" s="552"/>
      <c r="I36" s="552"/>
      <c r="J36" s="552"/>
      <c r="K36" s="552"/>
      <c r="L36" s="553"/>
      <c r="M36" s="547"/>
      <c r="N36" s="547"/>
      <c r="O36" s="547"/>
      <c r="P36" s="547"/>
      <c r="Q36" s="547"/>
      <c r="R36" s="551"/>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C10:G10"/>
    <mergeCell ref="I10:N10"/>
    <mergeCell ref="C12:G12"/>
    <mergeCell ref="I12:N12"/>
    <mergeCell ref="C14:G14"/>
    <mergeCell ref="I14:N14"/>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546875" defaultRowHeight="16.350000000000001" customHeight="1"/>
  <cols>
    <col min="1" max="2" width="31.5546875" style="34" bestFit="1" customWidth="1"/>
    <col min="3" max="3" width="14" style="34" bestFit="1" customWidth="1"/>
    <col min="4" max="4" width="43.44140625" style="34" customWidth="1"/>
    <col min="5" max="5" width="29.5546875" style="34" bestFit="1" customWidth="1"/>
    <col min="6" max="6" width="11.5546875" style="34" bestFit="1" customWidth="1"/>
    <col min="7" max="7" width="54.44140625" style="34" bestFit="1" customWidth="1"/>
    <col min="8" max="23" width="22.5546875" style="35" customWidth="1"/>
    <col min="27" max="28" width="15.5546875" style="34"/>
    <col min="29" max="29" width="21.5546875" style="34" bestFit="1" customWidth="1"/>
    <col min="30" max="30" width="5.5546875" style="34" customWidth="1"/>
    <col min="31" max="31" width="36.109375" style="34" customWidth="1"/>
    <col min="32" max="16384" width="15.554687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krzyżakowy, wkręt</v>
      </c>
      <c r="L1" s="33">
        <v>6</v>
      </c>
      <c r="M1" s="33" t="str">
        <f>'Translate&amp;Prices&amp;Logo'!$B$629</f>
        <v>na wkręt (z mimośrodem)</v>
      </c>
      <c r="N1" s="33">
        <v>8</v>
      </c>
      <c r="O1" s="33" t="str">
        <f>'Translate&amp;Prices&amp;Logo'!$B$630</f>
        <v>krzyżakowy eurowkręt</v>
      </c>
      <c r="P1" s="33">
        <v>10</v>
      </c>
      <c r="Q1" s="33" t="str">
        <f>'Translate&amp;Prices&amp;Logo'!$B$631</f>
        <v>krzyżakowy expando</v>
      </c>
      <c r="R1" s="33">
        <v>12</v>
      </c>
      <c r="S1" s="33" t="str">
        <f>'Translate&amp;Prices&amp;Logo'!$B$632</f>
        <v>prosty wkręt</v>
      </c>
      <c r="T1" s="33">
        <v>14</v>
      </c>
      <c r="U1" s="33" t="str">
        <f>'Translate&amp;Prices&amp;Logo'!$B$633</f>
        <v>prosty eurowkręt</v>
      </c>
      <c r="V1" s="33">
        <v>16</v>
      </c>
      <c r="W1" s="33" t="str">
        <f>'Translate&amp;Prices&amp;Logo'!$B$634</f>
        <v>prosty expando</v>
      </c>
      <c r="X1" s="32">
        <v>18</v>
      </c>
      <c r="AC1" s="33" t="str">
        <f>$K$1</f>
        <v>krzyżakowy, wkręt</v>
      </c>
      <c r="AD1" s="159">
        <v>6</v>
      </c>
      <c r="AE1" s="32" t="e">
        <f>VLOOKUP(Ram_1!$H$15,$G:$X,AD1,0)</f>
        <v>#N/A</v>
      </c>
    </row>
    <row r="2" spans="1:31" ht="16.350000000000001" customHeight="1">
      <c r="A2" s="37" t="s">
        <v>1101</v>
      </c>
      <c r="B2" s="37" t="s">
        <v>2</v>
      </c>
      <c r="C2" s="37" t="str">
        <f>'Translate&amp;Prices&amp;Logo'!B553</f>
        <v>Nakładany</v>
      </c>
      <c r="D2" s="32" t="str">
        <f>VLOOKUP(CONCATENATE(A2,"_",B2,"_",C2),$A$69:$B$383,2,0)</f>
        <v>úzký_BLUM_Naložený</v>
      </c>
      <c r="E2" s="37" t="str">
        <f>'Translate&amp;Prices&amp;Logo'!$B$582</f>
        <v>ze sprężyną z tłumieniem</v>
      </c>
      <c r="F2" s="34" t="str">
        <f>'Translate&amp;Prices&amp;Logo'!$B$585</f>
        <v>srebro</v>
      </c>
      <c r="G2" s="34" t="str">
        <f>CONCATENATE(H2," ","-"," ",C2," ",E2," - ",F2)</f>
        <v>118033 - Nakładany ze sprężyną z tłumieniem - srebro</v>
      </c>
      <c r="H2" s="35">
        <v>118033</v>
      </c>
      <c r="I2" s="35" t="s">
        <v>1103</v>
      </c>
      <c r="J2" s="35" t="s">
        <v>1103</v>
      </c>
      <c r="K2" s="35">
        <v>12306</v>
      </c>
      <c r="L2" s="35" t="str">
        <f>CONCATENATE($K$1," - ",K2)</f>
        <v>krzyżakowy, wkręt - 12306</v>
      </c>
      <c r="M2" s="35" t="s">
        <v>2122</v>
      </c>
      <c r="N2" s="35" t="str">
        <f>CONCATENATE($M$1," - ",M2)</f>
        <v>na wkręt (z mimośrodem) - N/A</v>
      </c>
      <c r="O2" s="35">
        <v>12318</v>
      </c>
      <c r="P2" s="35" t="str">
        <f>CONCATENATE($O$1," - ",O2)</f>
        <v>krzyżakowy eurowkręt - 12318</v>
      </c>
      <c r="Q2" s="35">
        <v>12302</v>
      </c>
      <c r="R2" s="35" t="str">
        <f>CONCATENATE($Q$1," - ",Q2)</f>
        <v>krzyżakowy expando - 12302</v>
      </c>
      <c r="S2" s="35">
        <v>203387</v>
      </c>
      <c r="T2" s="35" t="str">
        <f>CONCATENATE($S$1," - ",S2)</f>
        <v>prosty wkręt - 203387</v>
      </c>
      <c r="U2" s="35">
        <v>346624</v>
      </c>
      <c r="V2" s="35" t="str">
        <f>CONCATENATE($U$1," - ",U2)</f>
        <v>prosty eurowkręt - 346624</v>
      </c>
      <c r="W2" s="35">
        <v>211476</v>
      </c>
      <c r="X2" s="35" t="str">
        <f>CONCATENATE($W$1," - ",W2)</f>
        <v>prosty expando - 211476</v>
      </c>
      <c r="Y2" s="34"/>
      <c r="Z2" s="34"/>
      <c r="AC2" s="33" t="str">
        <f>$M$1</f>
        <v>na wkręt (z mimośrodem)</v>
      </c>
      <c r="AD2" s="34">
        <v>8</v>
      </c>
      <c r="AE2" s="32" t="e">
        <f>VLOOKUP(Ram_1!$H$15,$G:$X,AD2,0)</f>
        <v>#N/A</v>
      </c>
    </row>
    <row r="3" spans="1:31" ht="16.350000000000001" customHeight="1">
      <c r="A3" s="37" t="s">
        <v>1101</v>
      </c>
      <c r="B3" s="37" t="s">
        <v>2</v>
      </c>
      <c r="C3" s="37" t="str">
        <f>'Translate&amp;Prices&amp;Logo'!B553</f>
        <v>Nakładany</v>
      </c>
      <c r="D3" s="32" t="str">
        <f t="shared" ref="D3:D66" si="0">VLOOKUP(CONCATENATE(A3,"_",B3,"_",C3),$A$69:$B$383,2,0)</f>
        <v>úzký_BLUM_Naložený</v>
      </c>
      <c r="E3" s="37" t="str">
        <f>'Translate&amp;Prices&amp;Logo'!$B$583</f>
        <v>ze sprężyną bez tłumienia</v>
      </c>
      <c r="F3" s="34" t="str">
        <f>'Translate&amp;Prices&amp;Logo'!$B$585</f>
        <v>srebro</v>
      </c>
      <c r="G3" s="34" t="str">
        <f t="shared" ref="G3:G20" si="1">CONCATENATE(H3," ","-"," ",C3," ",E3," - ",F3)</f>
        <v>12106 - Nakładany ze sprężyną bez tłumienia - srebro</v>
      </c>
      <c r="H3" s="35">
        <v>12106</v>
      </c>
      <c r="I3" s="35" t="s">
        <v>1103</v>
      </c>
      <c r="J3" s="35" t="s">
        <v>1103</v>
      </c>
      <c r="K3" s="35">
        <v>12306</v>
      </c>
      <c r="L3" s="35" t="str">
        <f t="shared" ref="L3:L66" si="2">CONCATENATE($K$1," - ",K3)</f>
        <v>krzyżakowy, wkręt - 12306</v>
      </c>
      <c r="M3" s="35" t="s">
        <v>2122</v>
      </c>
      <c r="N3" s="35" t="str">
        <f t="shared" ref="N3:N66" si="3">CONCATENATE($M$1," - ",M3)</f>
        <v>na wkręt (z mimośrodem) - N/A</v>
      </c>
      <c r="O3" s="35">
        <v>12318</v>
      </c>
      <c r="P3" s="35" t="str">
        <f t="shared" ref="P3:P66" si="4">CONCATENATE($O$1," - ",O3)</f>
        <v>krzyżakowy eurowkręt - 12318</v>
      </c>
      <c r="Q3" s="35">
        <v>12302</v>
      </c>
      <c r="R3" s="35" t="str">
        <f t="shared" ref="R3:R66" si="5">CONCATENATE($Q$1," - ",Q3)</f>
        <v>krzyżakowy expando - 12302</v>
      </c>
      <c r="S3" s="35">
        <v>203387</v>
      </c>
      <c r="T3" s="35" t="str">
        <f t="shared" ref="T3:T66" si="6">CONCATENATE($S$1," - ",S3)</f>
        <v>prosty wkręt - 203387</v>
      </c>
      <c r="U3" s="35">
        <v>346624</v>
      </c>
      <c r="V3" s="35" t="str">
        <f t="shared" ref="V3:V66" si="7">CONCATENATE($U$1," - ",U3)</f>
        <v>prosty eurowkręt - 346624</v>
      </c>
      <c r="W3" s="35">
        <v>211476</v>
      </c>
      <c r="X3" s="35" t="str">
        <f t="shared" ref="X3:X66" si="8">CONCATENATE($W$1," - ",W3)</f>
        <v>prosty expando - 211476</v>
      </c>
      <c r="Y3" s="34"/>
      <c r="Z3" s="34"/>
      <c r="AC3" s="33" t="str">
        <f>$O$1</f>
        <v>krzyżakowy eurowkręt</v>
      </c>
      <c r="AD3" s="159">
        <v>10</v>
      </c>
      <c r="AE3" s="32" t="e">
        <f>VLOOKUP(Ram_1!$H$15,$G:$X,AD3,0)</f>
        <v>#N/A</v>
      </c>
    </row>
    <row r="4" spans="1:31" ht="16.350000000000001" customHeight="1">
      <c r="A4" s="37" t="s">
        <v>1101</v>
      </c>
      <c r="B4" s="37" t="s">
        <v>2</v>
      </c>
      <c r="C4" s="37" t="str">
        <f>'Translate&amp;Prices&amp;Logo'!B553</f>
        <v>Nakładany</v>
      </c>
      <c r="D4" s="32" t="str">
        <f t="shared" si="0"/>
        <v>úzký_BLUM_Naložený</v>
      </c>
      <c r="E4" s="37" t="str">
        <f>'Translate&amp;Prices&amp;Logo'!$B$583</f>
        <v>ze sprężyną bez tłumienia</v>
      </c>
      <c r="F4" s="34" t="s">
        <v>2569</v>
      </c>
      <c r="G4" s="34" t="str">
        <f t="shared" si="1"/>
        <v>306329 - Nakładany ze sprężyną bez tłumienia - onyx</v>
      </c>
      <c r="H4" s="35">
        <v>306329</v>
      </c>
      <c r="I4" s="35" t="s">
        <v>1103</v>
      </c>
      <c r="J4" s="35" t="s">
        <v>1103</v>
      </c>
      <c r="K4" s="35">
        <v>458360</v>
      </c>
      <c r="L4" s="35" t="str">
        <f t="shared" si="2"/>
        <v>krzyżakowy, wkręt - 458360</v>
      </c>
      <c r="M4" s="35" t="s">
        <v>2122</v>
      </c>
      <c r="N4" s="35" t="str">
        <f t="shared" si="3"/>
        <v>na wkręt (z mimośrodem) - N/A</v>
      </c>
      <c r="O4" s="35" t="s">
        <v>2122</v>
      </c>
      <c r="P4" s="35" t="str">
        <f t="shared" si="4"/>
        <v>krzyżakowy eurowkręt - N/A</v>
      </c>
      <c r="Q4" s="35">
        <v>347124</v>
      </c>
      <c r="R4" s="35" t="str">
        <f t="shared" si="5"/>
        <v>krzyżakowy expando - 347124</v>
      </c>
      <c r="S4" s="35">
        <v>306320</v>
      </c>
      <c r="T4" s="35" t="str">
        <f t="shared" si="6"/>
        <v>prosty wkręt - 306320</v>
      </c>
      <c r="U4" s="35" t="s">
        <v>2122</v>
      </c>
      <c r="V4" s="35" t="str">
        <f t="shared" si="7"/>
        <v>prosty eurowkręt - N/A</v>
      </c>
      <c r="W4" s="35">
        <v>409651</v>
      </c>
      <c r="X4" s="35" t="str">
        <f t="shared" si="8"/>
        <v>prosty expando - 409651</v>
      </c>
      <c r="Y4" s="34"/>
      <c r="Z4" s="34"/>
      <c r="AC4" s="33" t="str">
        <f>$Q$1</f>
        <v>krzyżakowy expando</v>
      </c>
      <c r="AD4" s="34">
        <v>12</v>
      </c>
      <c r="AE4" s="32" t="e">
        <f>VLOOKUP(Ram_1!$H$15,$G:$X,AD4,0)</f>
        <v>#N/A</v>
      </c>
    </row>
    <row r="5" spans="1:31" ht="16.350000000000001" customHeight="1">
      <c r="A5" s="37" t="s">
        <v>1101</v>
      </c>
      <c r="B5" s="37" t="s">
        <v>2</v>
      </c>
      <c r="C5" s="37" t="str">
        <f>'Translate&amp;Prices&amp;Logo'!B553</f>
        <v>Nakładany</v>
      </c>
      <c r="D5" s="32" t="str">
        <f t="shared" si="0"/>
        <v>úzký_BLUM_Naložený</v>
      </c>
      <c r="E5" s="37" t="str">
        <f>'Translate&amp;Prices&amp;Logo'!$B$584</f>
        <v>tip-on bez sprężyny/tłumienie</v>
      </c>
      <c r="F5" s="34" t="str">
        <f>'Translate&amp;Prices&amp;Logo'!$B$585</f>
        <v>srebro</v>
      </c>
      <c r="G5" s="34" t="str">
        <f t="shared" si="1"/>
        <v>12109 - Nakładany tip-on bez sprężyny/tłumienie - srebro</v>
      </c>
      <c r="H5" s="35">
        <v>12109</v>
      </c>
      <c r="I5" s="35" t="s">
        <v>1103</v>
      </c>
      <c r="J5" s="35">
        <v>13764</v>
      </c>
      <c r="K5" s="35">
        <v>12306</v>
      </c>
      <c r="L5" s="35" t="str">
        <f t="shared" si="2"/>
        <v>krzyżakowy, wkręt - 12306</v>
      </c>
      <c r="M5" s="35" t="s">
        <v>2122</v>
      </c>
      <c r="N5" s="35" t="str">
        <f t="shared" si="3"/>
        <v>na wkręt (z mimośrodem) - N/A</v>
      </c>
      <c r="O5" s="35">
        <v>12318</v>
      </c>
      <c r="P5" s="35" t="str">
        <f t="shared" si="4"/>
        <v>krzyżakowy eurowkręt - 12318</v>
      </c>
      <c r="Q5" s="35">
        <v>12302</v>
      </c>
      <c r="R5" s="35" t="str">
        <f t="shared" si="5"/>
        <v>krzyżakowy expando - 12302</v>
      </c>
      <c r="S5" s="35">
        <v>203387</v>
      </c>
      <c r="T5" s="35" t="str">
        <f t="shared" si="6"/>
        <v>prosty wkręt - 203387</v>
      </c>
      <c r="U5" s="35">
        <v>346624</v>
      </c>
      <c r="V5" s="35" t="str">
        <f t="shared" si="7"/>
        <v>prosty eurowkręt - 346624</v>
      </c>
      <c r="W5" s="35">
        <v>211476</v>
      </c>
      <c r="X5" s="35" t="str">
        <f t="shared" si="8"/>
        <v>prosty expando - 211476</v>
      </c>
      <c r="Y5" s="34"/>
      <c r="Z5" s="34"/>
      <c r="AC5" s="33" t="str">
        <f>$S$1</f>
        <v>prosty wkręt</v>
      </c>
      <c r="AD5" s="159">
        <v>14</v>
      </c>
      <c r="AE5" s="32" t="e">
        <f>VLOOKUP(Ram_1!$H$15,$G:$X,AD5,0)</f>
        <v>#N/A</v>
      </c>
    </row>
    <row r="6" spans="1:31" ht="16.350000000000001" customHeight="1">
      <c r="A6" s="37" t="s">
        <v>1101</v>
      </c>
      <c r="B6" s="37" t="s">
        <v>2</v>
      </c>
      <c r="C6" s="37" t="str">
        <f>'Translate&amp;Prices&amp;Logo'!B553</f>
        <v>Nakładany</v>
      </c>
      <c r="D6" s="32" t="str">
        <f t="shared" ref="D6" si="9">VLOOKUP(CONCATENATE(A6,"_",B6,"_",C6),$A$69:$B$383,2,0)</f>
        <v>úzký_BLUM_Naložený</v>
      </c>
      <c r="E6" s="37" t="str">
        <f>'Translate&amp;Prices&amp;Logo'!$B$584</f>
        <v>tip-on bez sprężyny/tłumienie</v>
      </c>
      <c r="F6" s="34" t="s">
        <v>2569</v>
      </c>
      <c r="G6" s="34" t="str">
        <f t="shared" si="1"/>
        <v>497120 - Nakładany tip-on bez sprężyny/tłumienie - onyx</v>
      </c>
      <c r="H6" s="35">
        <v>497120</v>
      </c>
      <c r="Q6" s="35">
        <v>347124</v>
      </c>
      <c r="R6" s="35" t="str">
        <f t="shared" si="5"/>
        <v>krzyżakowy expando - 347124</v>
      </c>
      <c r="S6" s="35">
        <v>306320</v>
      </c>
      <c r="T6" s="35" t="str">
        <f>CONCATENATE($S$1," - ",S6)</f>
        <v>prosty wkręt - 306320</v>
      </c>
      <c r="X6" s="35"/>
      <c r="Y6" s="34"/>
      <c r="Z6" s="34"/>
      <c r="AC6" s="33"/>
      <c r="AD6" s="159"/>
      <c r="AE6" s="32"/>
    </row>
    <row r="7" spans="1:31" ht="16.350000000000001" customHeight="1">
      <c r="A7" s="34" t="s">
        <v>1101</v>
      </c>
      <c r="B7" s="34" t="s">
        <v>2</v>
      </c>
      <c r="C7" s="34" t="str">
        <f>'Translate&amp;Prices&amp;Logo'!B554</f>
        <v>Półnakładany</v>
      </c>
      <c r="D7" s="32" t="str">
        <f t="shared" si="0"/>
        <v>úzký_BLUM_Polonaložený</v>
      </c>
      <c r="E7" s="34" t="str">
        <f>'Translate&amp;Prices&amp;Logo'!$B$582</f>
        <v>ze sprężyną z tłumieniem</v>
      </c>
      <c r="F7" s="34" t="str">
        <f>'Translate&amp;Prices&amp;Logo'!$B$585</f>
        <v>srebro</v>
      </c>
      <c r="G7" s="34" t="str">
        <f t="shared" si="1"/>
        <v>118120 - Półnakładany ze sprężyną z tłumieniem - srebro</v>
      </c>
      <c r="H7" s="35">
        <v>118120</v>
      </c>
      <c r="I7" s="35" t="s">
        <v>1103</v>
      </c>
      <c r="J7" s="35" t="s">
        <v>1103</v>
      </c>
      <c r="K7" s="35">
        <v>12306</v>
      </c>
      <c r="L7" s="35" t="str">
        <f t="shared" si="2"/>
        <v>krzyżakowy, wkręt - 12306</v>
      </c>
      <c r="M7" s="35" t="s">
        <v>2122</v>
      </c>
      <c r="N7" s="35" t="str">
        <f t="shared" si="3"/>
        <v>na wkręt (z mimośrodem) - N/A</v>
      </c>
      <c r="O7" s="35">
        <v>12318</v>
      </c>
      <c r="P7" s="35" t="str">
        <f t="shared" si="4"/>
        <v>krzyżakowy eurowkręt - 12318</v>
      </c>
      <c r="Q7" s="35">
        <v>12302</v>
      </c>
      <c r="R7" s="35" t="str">
        <f t="shared" si="5"/>
        <v>krzyżakowy expando - 12302</v>
      </c>
      <c r="S7" s="35">
        <v>203387</v>
      </c>
      <c r="T7" s="35" t="str">
        <f t="shared" si="6"/>
        <v>prosty wkręt - 203387</v>
      </c>
      <c r="U7" s="35">
        <v>346624</v>
      </c>
      <c r="V7" s="35" t="str">
        <f t="shared" si="7"/>
        <v>prosty eurowkręt - 346624</v>
      </c>
      <c r="W7" s="35">
        <v>211476</v>
      </c>
      <c r="X7" s="35" t="str">
        <f t="shared" si="8"/>
        <v>prosty expando - 211476</v>
      </c>
      <c r="Y7" s="34"/>
      <c r="Z7" s="34"/>
      <c r="AC7" s="33" t="str">
        <f>$U$1</f>
        <v>prosty eurowkręt</v>
      </c>
      <c r="AD7" s="34">
        <v>16</v>
      </c>
      <c r="AE7" s="32" t="e">
        <f>VLOOKUP(Ram_1!$H$15,$G:$X,AD7,0)</f>
        <v>#N/A</v>
      </c>
    </row>
    <row r="8" spans="1:31" ht="16.350000000000001" customHeight="1">
      <c r="A8" s="34" t="s">
        <v>1101</v>
      </c>
      <c r="B8" s="34" t="s">
        <v>2</v>
      </c>
      <c r="C8" s="34" t="str">
        <f>'Translate&amp;Prices&amp;Logo'!B554</f>
        <v>Półnakładany</v>
      </c>
      <c r="D8" s="32" t="str">
        <f t="shared" si="0"/>
        <v>úzký_BLUM_Polonaložený</v>
      </c>
      <c r="E8" s="34" t="str">
        <f>'Translate&amp;Prices&amp;Logo'!$B$583</f>
        <v>ze sprężyną bez tłumienia</v>
      </c>
      <c r="F8" s="34" t="str">
        <f>'Translate&amp;Prices&amp;Logo'!$B$585</f>
        <v>srebro</v>
      </c>
      <c r="G8" s="34" t="str">
        <f t="shared" si="1"/>
        <v>12107 - Półnakładany ze sprężyną bez tłumienia - srebro</v>
      </c>
      <c r="H8" s="35">
        <v>12107</v>
      </c>
      <c r="I8" s="35" t="s">
        <v>1103</v>
      </c>
      <c r="J8" s="35" t="s">
        <v>1103</v>
      </c>
      <c r="K8" s="35">
        <v>12306</v>
      </c>
      <c r="L8" s="35" t="str">
        <f t="shared" si="2"/>
        <v>krzyżakowy, wkręt - 12306</v>
      </c>
      <c r="M8" s="35" t="s">
        <v>2122</v>
      </c>
      <c r="N8" s="35" t="str">
        <f t="shared" si="3"/>
        <v>na wkręt (z mimośrodem) - N/A</v>
      </c>
      <c r="O8" s="35">
        <v>12318</v>
      </c>
      <c r="P8" s="35" t="str">
        <f t="shared" si="4"/>
        <v>krzyżakowy eurowkręt - 12318</v>
      </c>
      <c r="Q8" s="35">
        <v>12302</v>
      </c>
      <c r="R8" s="35" t="str">
        <f t="shared" si="5"/>
        <v>krzyżakowy expando - 12302</v>
      </c>
      <c r="S8" s="35">
        <v>203387</v>
      </c>
      <c r="T8" s="35" t="str">
        <f t="shared" si="6"/>
        <v>prosty wkręt - 203387</v>
      </c>
      <c r="U8" s="35">
        <v>346624</v>
      </c>
      <c r="V8" s="35" t="str">
        <f t="shared" si="7"/>
        <v>prosty eurowkręt - 346624</v>
      </c>
      <c r="W8" s="35">
        <v>211476</v>
      </c>
      <c r="X8" s="35" t="str">
        <f t="shared" si="8"/>
        <v>prosty expando - 211476</v>
      </c>
      <c r="Y8" s="34"/>
      <c r="Z8" s="34"/>
      <c r="AC8" s="33" t="str">
        <f>$W$1</f>
        <v>prosty expando</v>
      </c>
      <c r="AD8" s="159">
        <v>18</v>
      </c>
      <c r="AE8" s="32" t="e">
        <f>VLOOKUP(Ram_1!$H$15,$G:$X,AD8,0)</f>
        <v>#N/A</v>
      </c>
    </row>
    <row r="9" spans="1:31" ht="16.350000000000001" customHeight="1">
      <c r="A9" s="37" t="s">
        <v>1101</v>
      </c>
      <c r="B9" s="37" t="s">
        <v>2</v>
      </c>
      <c r="C9" s="37" t="str">
        <f>'Translate&amp;Prices&amp;Logo'!B555</f>
        <v>Wpuszczany</v>
      </c>
      <c r="D9" s="32" t="str">
        <f t="shared" si="0"/>
        <v>úzký_BLUM_Vložený</v>
      </c>
      <c r="E9" s="37" t="str">
        <f>'Translate&amp;Prices&amp;Logo'!$B$582</f>
        <v>ze sprężyną z tłumieniem</v>
      </c>
      <c r="F9" s="34" t="str">
        <f>'Translate&amp;Prices&amp;Logo'!$B$585</f>
        <v>srebro</v>
      </c>
      <c r="G9" s="34" t="str">
        <f t="shared" si="1"/>
        <v>118121 - Wpuszczany ze sprężyną z tłumieniem - srebro</v>
      </c>
      <c r="H9" s="35">
        <v>118121</v>
      </c>
      <c r="I9" s="35" t="s">
        <v>1103</v>
      </c>
      <c r="J9" s="35" t="s">
        <v>1103</v>
      </c>
      <c r="K9" s="35">
        <v>12306</v>
      </c>
      <c r="L9" s="35" t="str">
        <f t="shared" si="2"/>
        <v>krzyżakowy, wkręt - 12306</v>
      </c>
      <c r="M9" s="35" t="s">
        <v>2122</v>
      </c>
      <c r="N9" s="35" t="str">
        <f t="shared" si="3"/>
        <v>na wkręt (z mimośrodem) - N/A</v>
      </c>
      <c r="O9" s="35">
        <v>12318</v>
      </c>
      <c r="P9" s="35" t="str">
        <f t="shared" si="4"/>
        <v>krzyżakowy eurowkręt - 12318</v>
      </c>
      <c r="Q9" s="35">
        <v>12302</v>
      </c>
      <c r="R9" s="35" t="str">
        <f t="shared" si="5"/>
        <v>krzyżakowy expando - 12302</v>
      </c>
      <c r="S9" s="35">
        <v>203387</v>
      </c>
      <c r="T9" s="35" t="str">
        <f t="shared" si="6"/>
        <v>prosty wkręt - 203387</v>
      </c>
      <c r="U9" s="35">
        <v>346624</v>
      </c>
      <c r="V9" s="35" t="str">
        <f t="shared" si="7"/>
        <v>prosty eurowkręt - 346624</v>
      </c>
      <c r="W9" s="35">
        <v>211476</v>
      </c>
      <c r="X9" s="35" t="str">
        <f t="shared" si="8"/>
        <v>prosty expando - 211476</v>
      </c>
      <c r="Y9" s="34"/>
      <c r="Z9" s="34"/>
    </row>
    <row r="10" spans="1:31" ht="14.4">
      <c r="A10" s="37" t="s">
        <v>1101</v>
      </c>
      <c r="B10" s="37" t="s">
        <v>2</v>
      </c>
      <c r="C10" s="37" t="str">
        <f>'Translate&amp;Prices&amp;Logo'!B555</f>
        <v>Wpuszczany</v>
      </c>
      <c r="D10" s="32" t="str">
        <f t="shared" si="0"/>
        <v>úzký_BLUM_Vložený</v>
      </c>
      <c r="E10" s="37" t="str">
        <f>'Translate&amp;Prices&amp;Logo'!$B$583</f>
        <v>ze sprężyną bez tłumienia</v>
      </c>
      <c r="F10" s="34" t="str">
        <f>'Translate&amp;Prices&amp;Logo'!$B$585</f>
        <v>srebro</v>
      </c>
      <c r="G10" s="34" t="str">
        <f t="shared" si="1"/>
        <v>12108 - Wpuszczany ze sprężyną bez tłumienia - srebro</v>
      </c>
      <c r="H10" s="35">
        <v>12108</v>
      </c>
      <c r="I10" s="35" t="s">
        <v>1103</v>
      </c>
      <c r="J10" s="35" t="s">
        <v>1103</v>
      </c>
      <c r="K10" s="35">
        <v>12306</v>
      </c>
      <c r="L10" s="35" t="str">
        <f t="shared" si="2"/>
        <v>krzyżakowy, wkręt - 12306</v>
      </c>
      <c r="M10" s="35" t="s">
        <v>2122</v>
      </c>
      <c r="N10" s="35" t="str">
        <f t="shared" si="3"/>
        <v>na wkręt (z mimośrodem) - N/A</v>
      </c>
      <c r="O10" s="35">
        <v>12318</v>
      </c>
      <c r="P10" s="35" t="str">
        <f t="shared" si="4"/>
        <v>krzyżakowy eurowkręt - 12318</v>
      </c>
      <c r="Q10" s="35">
        <v>12302</v>
      </c>
      <c r="R10" s="35" t="str">
        <f t="shared" si="5"/>
        <v>krzyżakowy expando - 12302</v>
      </c>
      <c r="S10" s="35">
        <v>203387</v>
      </c>
      <c r="T10" s="35" t="str">
        <f t="shared" si="6"/>
        <v>prosty wkręt - 203387</v>
      </c>
      <c r="U10" s="35">
        <v>346624</v>
      </c>
      <c r="V10" s="35" t="str">
        <f t="shared" si="7"/>
        <v>prosty eurowkręt - 346624</v>
      </c>
      <c r="W10" s="35">
        <v>211476</v>
      </c>
      <c r="X10" s="35" t="str">
        <f t="shared" si="8"/>
        <v>prosty expando - 211476</v>
      </c>
      <c r="Y10" s="34"/>
      <c r="Z10" s="34"/>
    </row>
    <row r="11" spans="1:31" ht="14.4">
      <c r="A11" s="34" t="s">
        <v>1101</v>
      </c>
      <c r="B11" s="34" t="s">
        <v>567</v>
      </c>
      <c r="C11" s="34" t="str">
        <f>'Translate&amp;Prices&amp;Logo'!B553</f>
        <v>Nakładany</v>
      </c>
      <c r="D11" s="32" t="str">
        <f t="shared" si="0"/>
        <v>úzký_HETTICH_Naložený</v>
      </c>
      <c r="E11" s="34" t="str">
        <f>'Translate&amp;Prices&amp;Logo'!$B$582</f>
        <v>ze sprężyną z tłumieniem</v>
      </c>
      <c r="F11" s="34" t="str">
        <f>'Translate&amp;Prices&amp;Logo'!$B$585</f>
        <v>srebro</v>
      </c>
      <c r="G11" s="34" t="str">
        <f t="shared" si="1"/>
        <v>300279 - Nakładany ze sprężyną z tłumieniem - srebro</v>
      </c>
      <c r="H11" s="35">
        <v>300279</v>
      </c>
      <c r="I11" s="35" t="s">
        <v>1103</v>
      </c>
      <c r="J11" s="35" t="s">
        <v>1103</v>
      </c>
      <c r="K11" s="35">
        <v>106403</v>
      </c>
      <c r="L11" s="35" t="str">
        <f t="shared" si="2"/>
        <v>krzyżakowy, wkręt - 106403</v>
      </c>
      <c r="M11" s="35" t="s">
        <v>2122</v>
      </c>
      <c r="N11" s="35" t="str">
        <f t="shared" si="3"/>
        <v>na wkręt (z mimośrodem) - N/A</v>
      </c>
      <c r="O11" s="35">
        <v>119240</v>
      </c>
      <c r="P11" s="35" t="str">
        <f t="shared" si="4"/>
        <v>krzyżakowy eurowkręt - 119240</v>
      </c>
      <c r="Q11" s="35">
        <v>136276</v>
      </c>
      <c r="R11" s="35" t="str">
        <f t="shared" si="5"/>
        <v>krzyżakowy expando - 136276</v>
      </c>
      <c r="S11" s="35">
        <v>300319</v>
      </c>
      <c r="T11" s="35" t="str">
        <f t="shared" si="6"/>
        <v>prosty wkręt - 300319</v>
      </c>
      <c r="U11" s="35" t="s">
        <v>2122</v>
      </c>
      <c r="V11" s="35" t="str">
        <f t="shared" si="7"/>
        <v>prosty eurowkręt - N/A</v>
      </c>
      <c r="W11" s="35" t="s">
        <v>2122</v>
      </c>
      <c r="X11" s="35" t="str">
        <f t="shared" si="8"/>
        <v>prosty expando - N/A</v>
      </c>
      <c r="Y11" s="34"/>
      <c r="Z11" s="34"/>
    </row>
    <row r="12" spans="1:31" ht="14.4">
      <c r="A12" s="34" t="s">
        <v>1101</v>
      </c>
      <c r="B12" s="34" t="s">
        <v>567</v>
      </c>
      <c r="C12" s="34" t="str">
        <f>'Translate&amp;Prices&amp;Logo'!B553</f>
        <v>Nakładany</v>
      </c>
      <c r="D12" s="32" t="str">
        <f t="shared" si="0"/>
        <v>úzký_HETTICH_Naložený</v>
      </c>
      <c r="E12" s="34" t="str">
        <f>'Translate&amp;Prices&amp;Logo'!$B$582</f>
        <v>ze sprężyną z tłumieniem</v>
      </c>
      <c r="F12" s="34" t="str">
        <f>'Translate&amp;Prices&amp;Logo'!$B$586</f>
        <v>czarny</v>
      </c>
      <c r="G12" s="34" t="str">
        <f t="shared" si="1"/>
        <v>344697 - Nakładany ze sprężyną z tłumieniem - czarny</v>
      </c>
      <c r="H12" s="35">
        <v>344697</v>
      </c>
      <c r="I12" s="35" t="s">
        <v>1103</v>
      </c>
      <c r="J12" s="35" t="s">
        <v>1103</v>
      </c>
      <c r="K12" s="35" t="s">
        <v>2122</v>
      </c>
      <c r="L12" s="35" t="str">
        <f t="shared" si="2"/>
        <v>krzyżakowy, wkręt - N/A</v>
      </c>
      <c r="M12" s="35" t="s">
        <v>2122</v>
      </c>
      <c r="N12" s="35" t="str">
        <f t="shared" si="3"/>
        <v>na wkręt (z mimośrodem) - N/A</v>
      </c>
      <c r="O12" s="35">
        <v>344723</v>
      </c>
      <c r="P12" s="35" t="str">
        <f t="shared" si="4"/>
        <v>krzyżakowy eurowkręt - 344723</v>
      </c>
      <c r="Q12" s="35">
        <v>344727</v>
      </c>
      <c r="R12" s="35" t="str">
        <f t="shared" si="5"/>
        <v>krzyżakowy expando - 344727</v>
      </c>
      <c r="S12" s="35">
        <v>397949</v>
      </c>
      <c r="T12" s="35" t="str">
        <f t="shared" si="6"/>
        <v>prosty wkręt - 397949</v>
      </c>
      <c r="U12" s="35" t="s">
        <v>2122</v>
      </c>
      <c r="V12" s="35" t="str">
        <f t="shared" si="7"/>
        <v>prosty eurowkręt - N/A</v>
      </c>
      <c r="W12" s="35" t="s">
        <v>2122</v>
      </c>
      <c r="X12" s="35" t="str">
        <f t="shared" si="8"/>
        <v>prosty expando - N/A</v>
      </c>
      <c r="Y12" s="34"/>
      <c r="Z12" s="34"/>
    </row>
    <row r="13" spans="1:31" ht="14.4">
      <c r="A13" s="34" t="s">
        <v>1101</v>
      </c>
      <c r="B13" s="34" t="s">
        <v>567</v>
      </c>
      <c r="C13" s="34" t="str">
        <f>'Translate&amp;Prices&amp;Logo'!B553</f>
        <v>Nakładany</v>
      </c>
      <c r="D13" s="32" t="str">
        <f t="shared" si="0"/>
        <v>úzký_HETTICH_Naložený</v>
      </c>
      <c r="E13" s="34" t="str">
        <f>'Translate&amp;Prices&amp;Logo'!$B$583</f>
        <v>ze sprężyną bez tłumienia</v>
      </c>
      <c r="F13" s="34" t="str">
        <f>'Translate&amp;Prices&amp;Logo'!$B$585</f>
        <v>srebro</v>
      </c>
      <c r="G13" s="34" t="str">
        <f t="shared" si="1"/>
        <v>300282 - Nakładany ze sprężyną bez tłumienia - srebro</v>
      </c>
      <c r="H13" s="35">
        <v>300282</v>
      </c>
      <c r="I13" s="35" t="s">
        <v>1103</v>
      </c>
      <c r="J13" s="35" t="s">
        <v>1103</v>
      </c>
      <c r="K13" s="35">
        <v>106403</v>
      </c>
      <c r="L13" s="35" t="str">
        <f t="shared" si="2"/>
        <v>krzyżakowy, wkręt - 106403</v>
      </c>
      <c r="M13" s="35" t="s">
        <v>2122</v>
      </c>
      <c r="N13" s="35" t="str">
        <f t="shared" si="3"/>
        <v>na wkręt (z mimośrodem) - N/A</v>
      </c>
      <c r="O13" s="35">
        <v>119240</v>
      </c>
      <c r="P13" s="35" t="str">
        <f t="shared" si="4"/>
        <v>krzyżakowy eurowkręt - 119240</v>
      </c>
      <c r="Q13" s="35">
        <v>136276</v>
      </c>
      <c r="R13" s="35" t="str">
        <f t="shared" si="5"/>
        <v>krzyżakowy expando - 136276</v>
      </c>
      <c r="S13" s="35">
        <v>300319</v>
      </c>
      <c r="T13" s="35" t="str">
        <f t="shared" si="6"/>
        <v>prosty wkręt - 300319</v>
      </c>
      <c r="U13" s="35" t="s">
        <v>2122</v>
      </c>
      <c r="V13" s="35" t="str">
        <f t="shared" si="7"/>
        <v>prosty eurowkręt - N/A</v>
      </c>
      <c r="W13" s="35" t="s">
        <v>2122</v>
      </c>
      <c r="X13" s="35" t="str">
        <f t="shared" si="8"/>
        <v>prosty expando - N/A</v>
      </c>
      <c r="Y13" s="34"/>
      <c r="Z13" s="34"/>
    </row>
    <row r="14" spans="1:31" ht="14.4">
      <c r="A14" s="34" t="s">
        <v>1101</v>
      </c>
      <c r="B14" s="34" t="s">
        <v>567</v>
      </c>
      <c r="C14" s="34" t="str">
        <f>'Translate&amp;Prices&amp;Logo'!B553</f>
        <v>Nakładany</v>
      </c>
      <c r="D14" s="32" t="str">
        <f t="shared" si="0"/>
        <v>úzký_HETTICH_Naložený</v>
      </c>
      <c r="E14" s="34" t="str">
        <f>'Translate&amp;Prices&amp;Logo'!$B$584</f>
        <v>tip-on bez sprężyny/tłumienie</v>
      </c>
      <c r="F14" s="34" t="str">
        <f>'Translate&amp;Prices&amp;Logo'!$B$585</f>
        <v>srebro</v>
      </c>
      <c r="G14" s="34" t="str">
        <f t="shared" si="1"/>
        <v>300285 - Nakładany tip-on bez sprężyny/tłumienie - srebro</v>
      </c>
      <c r="H14" s="35">
        <v>300285</v>
      </c>
      <c r="I14" s="35" t="s">
        <v>1103</v>
      </c>
      <c r="J14" s="35" t="s">
        <v>1103</v>
      </c>
      <c r="K14" s="35">
        <v>106403</v>
      </c>
      <c r="L14" s="35" t="str">
        <f t="shared" si="2"/>
        <v>krzyżakowy, wkręt - 106403</v>
      </c>
      <c r="M14" s="35" t="s">
        <v>2122</v>
      </c>
      <c r="N14" s="35" t="str">
        <f t="shared" si="3"/>
        <v>na wkręt (z mimośrodem) - N/A</v>
      </c>
      <c r="O14" s="35">
        <v>119240</v>
      </c>
      <c r="P14" s="35" t="str">
        <f t="shared" si="4"/>
        <v>krzyżakowy eurowkręt - 119240</v>
      </c>
      <c r="Q14" s="35">
        <v>136276</v>
      </c>
      <c r="R14" s="35" t="str">
        <f t="shared" si="5"/>
        <v>krzyżakowy expando - 136276</v>
      </c>
      <c r="S14" s="35">
        <v>300319</v>
      </c>
      <c r="T14" s="35" t="str">
        <f t="shared" si="6"/>
        <v>prosty wkręt - 300319</v>
      </c>
      <c r="U14" s="35" t="s">
        <v>2122</v>
      </c>
      <c r="V14" s="35" t="str">
        <f t="shared" si="7"/>
        <v>prosty eurowkręt - N/A</v>
      </c>
      <c r="W14" s="35" t="s">
        <v>2122</v>
      </c>
      <c r="X14" s="35" t="str">
        <f t="shared" si="8"/>
        <v>prosty expando - N/A</v>
      </c>
      <c r="Y14" s="34"/>
      <c r="Z14" s="34"/>
    </row>
    <row r="15" spans="1:31" ht="14.4">
      <c r="A15" s="37" t="s">
        <v>1101</v>
      </c>
      <c r="B15" s="37" t="s">
        <v>567</v>
      </c>
      <c r="C15" s="37" t="str">
        <f>'Translate&amp;Prices&amp;Logo'!B554</f>
        <v>Półnakładany</v>
      </c>
      <c r="D15" s="32" t="str">
        <f t="shared" si="0"/>
        <v>úzký_HETTICH_Polonaložený</v>
      </c>
      <c r="E15" s="37" t="str">
        <f>'Translate&amp;Prices&amp;Logo'!$B$582</f>
        <v>ze sprężyną z tłumieniem</v>
      </c>
      <c r="F15" s="34" t="str">
        <f>'Translate&amp;Prices&amp;Logo'!$B$585</f>
        <v>srebro</v>
      </c>
      <c r="G15" s="34" t="str">
        <f t="shared" si="1"/>
        <v>300280 - Półnakładany ze sprężyną z tłumieniem - srebro</v>
      </c>
      <c r="H15" s="35">
        <v>300280</v>
      </c>
      <c r="I15" s="35" t="s">
        <v>1103</v>
      </c>
      <c r="J15" s="35" t="s">
        <v>1103</v>
      </c>
      <c r="K15" s="35">
        <v>106403</v>
      </c>
      <c r="L15" s="35" t="str">
        <f t="shared" si="2"/>
        <v>krzyżakowy, wkręt - 106403</v>
      </c>
      <c r="M15" s="35" t="s">
        <v>2122</v>
      </c>
      <c r="N15" s="35" t="str">
        <f t="shared" si="3"/>
        <v>na wkręt (z mimośrodem) - N/A</v>
      </c>
      <c r="O15" s="35">
        <v>119240</v>
      </c>
      <c r="P15" s="35" t="str">
        <f t="shared" si="4"/>
        <v>krzyżakowy eurowkręt - 119240</v>
      </c>
      <c r="Q15" s="35">
        <v>136276</v>
      </c>
      <c r="R15" s="35" t="str">
        <f t="shared" si="5"/>
        <v>krzyżakowy expando - 136276</v>
      </c>
      <c r="S15" s="35">
        <v>300319</v>
      </c>
      <c r="T15" s="35" t="str">
        <f t="shared" si="6"/>
        <v>prosty wkręt - 300319</v>
      </c>
      <c r="U15" s="35" t="s">
        <v>2122</v>
      </c>
      <c r="V15" s="35" t="str">
        <f t="shared" si="7"/>
        <v>prosty eurowkręt - N/A</v>
      </c>
      <c r="W15" s="35" t="s">
        <v>2122</v>
      </c>
      <c r="X15" s="35" t="str">
        <f t="shared" si="8"/>
        <v>prosty expando - N/A</v>
      </c>
      <c r="Y15" s="34"/>
      <c r="Z15" s="34"/>
    </row>
    <row r="16" spans="1:31" ht="14.4">
      <c r="A16" s="37" t="s">
        <v>1101</v>
      </c>
      <c r="B16" s="37" t="s">
        <v>567</v>
      </c>
      <c r="C16" s="37" t="str">
        <f>'Translate&amp;Prices&amp;Logo'!B554</f>
        <v>Półnakładany</v>
      </c>
      <c r="D16" s="32" t="str">
        <f t="shared" si="0"/>
        <v>úzký_HETTICH_Polonaložený</v>
      </c>
      <c r="E16" s="37" t="str">
        <f>'Translate&amp;Prices&amp;Logo'!$B$583</f>
        <v>ze sprężyną bez tłumienia</v>
      </c>
      <c r="F16" s="34" t="str">
        <f>'Translate&amp;Prices&amp;Logo'!$B$585</f>
        <v>srebro</v>
      </c>
      <c r="G16" s="34" t="str">
        <f t="shared" si="1"/>
        <v>300283 - Półnakładany ze sprężyną bez tłumienia - srebro</v>
      </c>
      <c r="H16" s="35">
        <v>300283</v>
      </c>
      <c r="I16" s="35" t="s">
        <v>1103</v>
      </c>
      <c r="J16" s="35" t="s">
        <v>1103</v>
      </c>
      <c r="K16" s="35">
        <v>106403</v>
      </c>
      <c r="L16" s="35" t="str">
        <f t="shared" si="2"/>
        <v>krzyżakowy, wkręt - 106403</v>
      </c>
      <c r="M16" s="35" t="s">
        <v>2122</v>
      </c>
      <c r="N16" s="35" t="str">
        <f t="shared" si="3"/>
        <v>na wkręt (z mimośrodem) - N/A</v>
      </c>
      <c r="O16" s="35">
        <v>119240</v>
      </c>
      <c r="P16" s="35" t="str">
        <f t="shared" si="4"/>
        <v>krzyżakowy eurowkręt - 119240</v>
      </c>
      <c r="Q16" s="35">
        <v>136276</v>
      </c>
      <c r="R16" s="35" t="str">
        <f t="shared" si="5"/>
        <v>krzyżakowy expando - 136276</v>
      </c>
      <c r="S16" s="35">
        <v>300319</v>
      </c>
      <c r="T16" s="35" t="str">
        <f t="shared" si="6"/>
        <v>prosty wkręt - 300319</v>
      </c>
      <c r="U16" s="35" t="s">
        <v>2122</v>
      </c>
      <c r="V16" s="35" t="str">
        <f t="shared" si="7"/>
        <v>prosty eurowkręt - N/A</v>
      </c>
      <c r="W16" s="35" t="s">
        <v>2122</v>
      </c>
      <c r="X16" s="35" t="str">
        <f t="shared" si="8"/>
        <v>prosty expando - N/A</v>
      </c>
      <c r="Y16" s="34"/>
      <c r="Z16" s="34"/>
    </row>
    <row r="17" spans="1:26" ht="14.4">
      <c r="A17" s="37" t="s">
        <v>1101</v>
      </c>
      <c r="B17" s="37" t="s">
        <v>567</v>
      </c>
      <c r="C17" s="37" t="str">
        <f>'Translate&amp;Prices&amp;Logo'!B554</f>
        <v>Półnakładany</v>
      </c>
      <c r="D17" s="32" t="str">
        <f t="shared" si="0"/>
        <v>úzký_HETTICH_Polonaložený</v>
      </c>
      <c r="E17" s="37" t="str">
        <f>'Translate&amp;Prices&amp;Logo'!$B$584</f>
        <v>tip-on bez sprężyny/tłumienie</v>
      </c>
      <c r="F17" s="34" t="str">
        <f>'Translate&amp;Prices&amp;Logo'!$B$585</f>
        <v>srebro</v>
      </c>
      <c r="G17" s="34" t="str">
        <f t="shared" si="1"/>
        <v>300286 - Półnakładany tip-on bez sprężyny/tłumienie - srebro</v>
      </c>
      <c r="H17" s="35">
        <v>300286</v>
      </c>
      <c r="I17" s="35" t="s">
        <v>1103</v>
      </c>
      <c r="J17" s="35" t="s">
        <v>1103</v>
      </c>
      <c r="K17" s="35">
        <v>106403</v>
      </c>
      <c r="L17" s="35" t="str">
        <f t="shared" si="2"/>
        <v>krzyżakowy, wkręt - 106403</v>
      </c>
      <c r="M17" s="35" t="s">
        <v>2122</v>
      </c>
      <c r="N17" s="35" t="str">
        <f t="shared" si="3"/>
        <v>na wkręt (z mimośrodem) - N/A</v>
      </c>
      <c r="O17" s="35">
        <v>119240</v>
      </c>
      <c r="P17" s="35" t="str">
        <f t="shared" si="4"/>
        <v>krzyżakowy eurowkręt - 119240</v>
      </c>
      <c r="Q17" s="35">
        <v>136276</v>
      </c>
      <c r="R17" s="35" t="str">
        <f t="shared" si="5"/>
        <v>krzyżakowy expando - 136276</v>
      </c>
      <c r="S17" s="35">
        <v>300319</v>
      </c>
      <c r="T17" s="35" t="str">
        <f t="shared" si="6"/>
        <v>prosty wkręt - 300319</v>
      </c>
      <c r="U17" s="35" t="s">
        <v>2122</v>
      </c>
      <c r="V17" s="35" t="str">
        <f t="shared" si="7"/>
        <v>prosty eurowkręt - N/A</v>
      </c>
      <c r="W17" s="35" t="s">
        <v>2122</v>
      </c>
      <c r="X17" s="35" t="str">
        <f t="shared" si="8"/>
        <v>prosty expando - N/A</v>
      </c>
      <c r="Y17" s="34"/>
      <c r="Z17" s="34"/>
    </row>
    <row r="18" spans="1:26" ht="14.4">
      <c r="A18" s="34" t="s">
        <v>1101</v>
      </c>
      <c r="B18" s="34" t="s">
        <v>567</v>
      </c>
      <c r="C18" s="34" t="str">
        <f>'Translate&amp;Prices&amp;Logo'!B555</f>
        <v>Wpuszczany</v>
      </c>
      <c r="D18" s="32" t="str">
        <f t="shared" si="0"/>
        <v>úzký_HETTICH_Vložený</v>
      </c>
      <c r="E18" s="34" t="str">
        <f>'Translate&amp;Prices&amp;Logo'!$B$582</f>
        <v>ze sprężyną z tłumieniem</v>
      </c>
      <c r="F18" s="34" t="str">
        <f>'Translate&amp;Prices&amp;Logo'!$B$585</f>
        <v>srebro</v>
      </c>
      <c r="G18" s="34" t="str">
        <f t="shared" si="1"/>
        <v>300281 - Wpuszczany ze sprężyną z tłumieniem - srebro</v>
      </c>
      <c r="H18" s="35">
        <v>300281</v>
      </c>
      <c r="I18" s="35" t="s">
        <v>1103</v>
      </c>
      <c r="J18" s="35" t="s">
        <v>1103</v>
      </c>
      <c r="K18" s="35">
        <v>106403</v>
      </c>
      <c r="L18" s="35" t="str">
        <f t="shared" si="2"/>
        <v>krzyżakowy, wkręt - 106403</v>
      </c>
      <c r="M18" s="35" t="s">
        <v>2122</v>
      </c>
      <c r="N18" s="35" t="str">
        <f t="shared" si="3"/>
        <v>na wkręt (z mimośrodem) - N/A</v>
      </c>
      <c r="O18" s="35">
        <v>119240</v>
      </c>
      <c r="P18" s="35" t="str">
        <f t="shared" si="4"/>
        <v>krzyżakowy eurowkręt - 119240</v>
      </c>
      <c r="Q18" s="35">
        <v>136276</v>
      </c>
      <c r="R18" s="35" t="str">
        <f t="shared" si="5"/>
        <v>krzyżakowy expando - 136276</v>
      </c>
      <c r="S18" s="35">
        <v>300319</v>
      </c>
      <c r="T18" s="35" t="str">
        <f t="shared" si="6"/>
        <v>prosty wkręt - 300319</v>
      </c>
      <c r="U18" s="35" t="s">
        <v>2122</v>
      </c>
      <c r="V18" s="35" t="str">
        <f t="shared" si="7"/>
        <v>prosty eurowkręt - N/A</v>
      </c>
      <c r="W18" s="35" t="s">
        <v>2122</v>
      </c>
      <c r="X18" s="35" t="str">
        <f t="shared" si="8"/>
        <v>prosty expando - N/A</v>
      </c>
      <c r="Y18" s="34"/>
      <c r="Z18" s="34"/>
    </row>
    <row r="19" spans="1:26" ht="14.4">
      <c r="A19" s="34" t="s">
        <v>1101</v>
      </c>
      <c r="B19" s="34" t="s">
        <v>567</v>
      </c>
      <c r="C19" s="34" t="str">
        <f>'Translate&amp;Prices&amp;Logo'!B555</f>
        <v>Wpuszczany</v>
      </c>
      <c r="D19" s="32" t="str">
        <f t="shared" si="0"/>
        <v>úzký_HETTICH_Vložený</v>
      </c>
      <c r="E19" s="34" t="str">
        <f>'Translate&amp;Prices&amp;Logo'!$B$583</f>
        <v>ze sprężyną bez tłumienia</v>
      </c>
      <c r="F19" s="34" t="str">
        <f>'Translate&amp;Prices&amp;Logo'!$B$585</f>
        <v>srebro</v>
      </c>
      <c r="G19" s="34" t="str">
        <f t="shared" si="1"/>
        <v>300284 - Wpuszczany ze sprężyną bez tłumienia - srebro</v>
      </c>
      <c r="H19" s="35">
        <v>300284</v>
      </c>
      <c r="I19" s="35" t="s">
        <v>1103</v>
      </c>
      <c r="J19" s="35" t="s">
        <v>1103</v>
      </c>
      <c r="K19" s="35">
        <v>106403</v>
      </c>
      <c r="L19" s="35" t="str">
        <f t="shared" si="2"/>
        <v>krzyżakowy, wkręt - 106403</v>
      </c>
      <c r="M19" s="35" t="s">
        <v>2122</v>
      </c>
      <c r="N19" s="35" t="str">
        <f t="shared" si="3"/>
        <v>na wkręt (z mimośrodem) - N/A</v>
      </c>
      <c r="O19" s="35">
        <v>119240</v>
      </c>
      <c r="P19" s="35" t="str">
        <f t="shared" si="4"/>
        <v>krzyżakowy eurowkręt - 119240</v>
      </c>
      <c r="Q19" s="35">
        <v>136276</v>
      </c>
      <c r="R19" s="35" t="str">
        <f t="shared" si="5"/>
        <v>krzyżakowy expando - 136276</v>
      </c>
      <c r="S19" s="35">
        <v>300319</v>
      </c>
      <c r="T19" s="35" t="str">
        <f t="shared" si="6"/>
        <v>prosty wkręt - 300319</v>
      </c>
      <c r="U19" s="35" t="s">
        <v>2122</v>
      </c>
      <c r="V19" s="35" t="str">
        <f t="shared" si="7"/>
        <v>prosty eurowkręt - N/A</v>
      </c>
      <c r="W19" s="35" t="s">
        <v>2122</v>
      </c>
      <c r="X19" s="35" t="str">
        <f t="shared" si="8"/>
        <v>prosty expando - N/A</v>
      </c>
      <c r="Y19" s="34"/>
      <c r="Z19" s="34"/>
    </row>
    <row r="20" spans="1:26" ht="14.4">
      <c r="A20" s="34" t="s">
        <v>1101</v>
      </c>
      <c r="B20" s="34" t="s">
        <v>567</v>
      </c>
      <c r="C20" s="34" t="str">
        <f>'Translate&amp;Prices&amp;Logo'!B555</f>
        <v>Wpuszczany</v>
      </c>
      <c r="D20" s="32" t="str">
        <f t="shared" si="0"/>
        <v>úzký_HETTICH_Vložený</v>
      </c>
      <c r="E20" s="34" t="str">
        <f>'Translate&amp;Prices&amp;Logo'!$B$584</f>
        <v>tip-on bez sprężyny/tłumienie</v>
      </c>
      <c r="F20" s="34" t="str">
        <f>'Translate&amp;Prices&amp;Logo'!$B$585</f>
        <v>srebro</v>
      </c>
      <c r="G20" s="34" t="str">
        <f t="shared" si="1"/>
        <v>300287 - Wpuszczany tip-on bez sprężyny/tłumienie - srebro</v>
      </c>
      <c r="H20" s="35">
        <v>300287</v>
      </c>
      <c r="I20" s="35" t="s">
        <v>1103</v>
      </c>
      <c r="J20" s="35" t="s">
        <v>1103</v>
      </c>
      <c r="K20" s="35">
        <v>106403</v>
      </c>
      <c r="L20" s="35" t="str">
        <f t="shared" si="2"/>
        <v>krzyżakowy, wkręt - 106403</v>
      </c>
      <c r="M20" s="35" t="s">
        <v>2122</v>
      </c>
      <c r="N20" s="35" t="str">
        <f t="shared" si="3"/>
        <v>na wkręt (z mimośrodem) - N/A</v>
      </c>
      <c r="O20" s="35">
        <v>119240</v>
      </c>
      <c r="P20" s="35" t="str">
        <f t="shared" si="4"/>
        <v>krzyżakowy eurowkręt - 119240</v>
      </c>
      <c r="Q20" s="35">
        <v>136276</v>
      </c>
      <c r="R20" s="35" t="str">
        <f t="shared" si="5"/>
        <v>krzyżakowy expando - 136276</v>
      </c>
      <c r="S20" s="35">
        <v>300319</v>
      </c>
      <c r="T20" s="35" t="str">
        <f t="shared" si="6"/>
        <v>prosty wkręt - 300319</v>
      </c>
      <c r="U20" s="35" t="s">
        <v>2122</v>
      </c>
      <c r="V20" s="35" t="str">
        <f t="shared" si="7"/>
        <v>prosty eurowkręt - N/A</v>
      </c>
      <c r="W20" s="35" t="s">
        <v>2122</v>
      </c>
      <c r="X20" s="35" t="str">
        <f t="shared" si="8"/>
        <v>prosty expando - N/A</v>
      </c>
      <c r="Y20" s="34"/>
      <c r="Z20" s="34"/>
    </row>
    <row r="21" spans="1:26" ht="14.4">
      <c r="A21" s="37" t="s">
        <v>1101</v>
      </c>
      <c r="B21" s="37" t="s">
        <v>57</v>
      </c>
      <c r="C21" s="37" t="str">
        <f>'Translate&amp;Prices&amp;Logo'!B553</f>
        <v>Nakładany</v>
      </c>
      <c r="D21" s="32" t="str">
        <f t="shared" si="0"/>
        <v>úzký_STRONG_Naložený</v>
      </c>
      <c r="E21" s="37" t="str">
        <f>'Translate&amp;Prices&amp;Logo'!$B$582</f>
        <v>ze sprężyną z tłumieniem</v>
      </c>
      <c r="F21" s="34" t="str">
        <f>'Translate&amp;Prices&amp;Logo'!$B$585</f>
        <v>srebro</v>
      </c>
      <c r="G21" s="34" t="str">
        <f>CONCATENATE(I21," ","-"," ",C21," ",E21," - ",F21)</f>
        <v>92584T - Nakładany ze sprężyną z tłumieniem - srebro</v>
      </c>
      <c r="H21" s="35" t="s">
        <v>1103</v>
      </c>
      <c r="I21" s="35" t="s">
        <v>429</v>
      </c>
      <c r="J21" s="35" t="s">
        <v>1103</v>
      </c>
      <c r="K21" s="35" t="s">
        <v>58</v>
      </c>
      <c r="L21" s="35" t="str">
        <f t="shared" si="2"/>
        <v>krzyżakowy, wkręt - 92590T</v>
      </c>
      <c r="M21" s="35" t="s">
        <v>62</v>
      </c>
      <c r="N21" s="35" t="str">
        <f t="shared" si="3"/>
        <v>na wkręt (z mimośrodem) - 92594T</v>
      </c>
      <c r="O21" s="35" t="s">
        <v>63</v>
      </c>
      <c r="P21" s="35" t="str">
        <f t="shared" si="4"/>
        <v>krzyżakowy eurowkręt - 92591T</v>
      </c>
      <c r="Q21" s="35" t="s">
        <v>2122</v>
      </c>
      <c r="R21" s="35" t="str">
        <f t="shared" si="5"/>
        <v>krzyżakowy expando - N/A</v>
      </c>
      <c r="S21" s="35" t="s">
        <v>2122</v>
      </c>
      <c r="T21" s="35" t="str">
        <f t="shared" si="6"/>
        <v>prosty wkręt - N/A</v>
      </c>
      <c r="U21" s="35" t="s">
        <v>2122</v>
      </c>
      <c r="V21" s="35" t="str">
        <f t="shared" si="7"/>
        <v>prosty eurowkręt - N/A</v>
      </c>
      <c r="W21" s="35" t="s">
        <v>2122</v>
      </c>
      <c r="X21" s="35" t="str">
        <f t="shared" si="8"/>
        <v>prosty expando - N/A</v>
      </c>
      <c r="Y21" s="34"/>
      <c r="Z21" s="34"/>
    </row>
    <row r="22" spans="1:26" ht="14.4">
      <c r="A22" s="34" t="s">
        <v>1101</v>
      </c>
      <c r="B22" s="34" t="s">
        <v>2352</v>
      </c>
      <c r="C22" s="34" t="str">
        <f>'Translate&amp;Prices&amp;Logo'!B553</f>
        <v>Nakładany</v>
      </c>
      <c r="D22" s="32" t="e">
        <f t="shared" si="0"/>
        <v>#N/A</v>
      </c>
      <c r="E22" s="34" t="str">
        <f>'Translate&amp;Prices&amp;Logo'!$B$582</f>
        <v>ze sprężyną z tłumieniem</v>
      </c>
      <c r="F22" s="34" t="str">
        <f>'Translate&amp;Prices&amp;Logo'!$B$585</f>
        <v>srebro</v>
      </c>
      <c r="G22" s="34" t="str">
        <f t="shared" ref="G22:G66" si="10">CONCATENATE(I22," ","-"," ",C22," ",E22," - ",F22)</f>
        <v>350863 - Nakładany ze sprężyną z tłumieniem - srebro</v>
      </c>
      <c r="H22" s="35" t="s">
        <v>1103</v>
      </c>
      <c r="I22" s="35">
        <v>350863</v>
      </c>
      <c r="J22" s="35" t="s">
        <v>1103</v>
      </c>
      <c r="K22" s="35">
        <v>92596</v>
      </c>
      <c r="L22" s="35" t="str">
        <f t="shared" si="2"/>
        <v>krzyżakowy, wkręt - 92596</v>
      </c>
      <c r="M22" s="35">
        <v>315856</v>
      </c>
      <c r="N22" s="35" t="str">
        <f t="shared" si="3"/>
        <v>na wkręt (z mimośrodem) - 315856</v>
      </c>
      <c r="O22" s="35">
        <v>92597</v>
      </c>
      <c r="P22" s="35" t="str">
        <f t="shared" si="4"/>
        <v>krzyżakowy eurowkręt - 92597</v>
      </c>
      <c r="Q22" s="35" t="s">
        <v>2122</v>
      </c>
      <c r="R22" s="35" t="str">
        <f t="shared" si="5"/>
        <v>krzyżakowy expando - N/A</v>
      </c>
      <c r="S22" s="35" t="s">
        <v>2122</v>
      </c>
      <c r="T22" s="35" t="str">
        <f t="shared" si="6"/>
        <v>prosty wkręt - N/A</v>
      </c>
      <c r="U22" s="35" t="s">
        <v>2122</v>
      </c>
      <c r="V22" s="35" t="str">
        <f t="shared" si="7"/>
        <v>prosty eurowkręt - N/A</v>
      </c>
      <c r="W22" s="35" t="s">
        <v>2122</v>
      </c>
      <c r="X22" s="35" t="str">
        <f t="shared" si="8"/>
        <v>prosty expando - N/A</v>
      </c>
      <c r="Y22" s="34"/>
      <c r="Z22" s="34"/>
    </row>
    <row r="23" spans="1:26" ht="14.4">
      <c r="A23" s="34" t="s">
        <v>1101</v>
      </c>
      <c r="B23" s="34" t="s">
        <v>2352</v>
      </c>
      <c r="C23" s="34" t="str">
        <f>'Translate&amp;Prices&amp;Logo'!B553</f>
        <v>Nakładany</v>
      </c>
      <c r="D23" s="32" t="e">
        <f t="shared" si="0"/>
        <v>#N/A</v>
      </c>
      <c r="E23" s="34" t="str">
        <f>'Translate&amp;Prices&amp;Logo'!$B$584</f>
        <v>tip-on bez sprężyny/tłumienie</v>
      </c>
      <c r="F23" s="34" t="str">
        <f>'Translate&amp;Prices&amp;Logo'!$B$585</f>
        <v>srebro</v>
      </c>
      <c r="G23" s="34" t="str">
        <f t="shared" si="10"/>
        <v>350864 - Nakładany tip-on bez sprężyny/tłumienie - srebro</v>
      </c>
      <c r="H23" s="35" t="s">
        <v>1103</v>
      </c>
      <c r="I23" s="35">
        <v>350864</v>
      </c>
      <c r="J23" s="35" t="s">
        <v>1103</v>
      </c>
      <c r="K23" s="35">
        <v>92596</v>
      </c>
      <c r="L23" s="35" t="str">
        <f t="shared" si="2"/>
        <v>krzyżakowy, wkręt - 92596</v>
      </c>
      <c r="M23" s="35">
        <v>315856</v>
      </c>
      <c r="N23" s="35" t="str">
        <f t="shared" si="3"/>
        <v>na wkręt (z mimośrodem) - 315856</v>
      </c>
      <c r="O23" s="35">
        <v>92597</v>
      </c>
      <c r="P23" s="35" t="str">
        <f t="shared" si="4"/>
        <v>krzyżakowy eurowkręt - 92597</v>
      </c>
      <c r="Q23" s="35" t="s">
        <v>2122</v>
      </c>
      <c r="R23" s="35" t="str">
        <f t="shared" si="5"/>
        <v>krzyżakowy expando - N/A</v>
      </c>
      <c r="S23" s="35" t="s">
        <v>2122</v>
      </c>
      <c r="T23" s="35" t="str">
        <f t="shared" si="6"/>
        <v>prosty wkręt - N/A</v>
      </c>
      <c r="U23" s="35" t="s">
        <v>2122</v>
      </c>
      <c r="V23" s="35" t="str">
        <f t="shared" si="7"/>
        <v>prosty eurowkręt - N/A</v>
      </c>
      <c r="W23" s="35" t="s">
        <v>2122</v>
      </c>
      <c r="X23" s="35" t="str">
        <f t="shared" si="8"/>
        <v>prosty expando - N/A</v>
      </c>
      <c r="Y23" s="34"/>
      <c r="Z23" s="34"/>
    </row>
    <row r="24" spans="1:26" ht="14.4">
      <c r="A24" s="37" t="s">
        <v>1105</v>
      </c>
      <c r="B24" s="37" t="s">
        <v>2</v>
      </c>
      <c r="C24" s="37" t="str">
        <f>'Translate&amp;Prices&amp;Logo'!B553</f>
        <v>Nakładany</v>
      </c>
      <c r="D24" s="32" t="str">
        <f t="shared" si="0"/>
        <v>široký_BLUM_Naložený</v>
      </c>
      <c r="E24" s="37" t="str">
        <f>'Translate&amp;Prices&amp;Logo'!$B$582</f>
        <v>ze sprężyną z tłumieniem</v>
      </c>
      <c r="F24" s="34" t="str">
        <f>'Translate&amp;Prices&amp;Logo'!$B$585</f>
        <v>srebro</v>
      </c>
      <c r="G24" s="34" t="str">
        <f t="shared" si="10"/>
        <v>12047 - Nakładany ze sprężyną z tłumieniem - srebro</v>
      </c>
      <c r="H24" s="35" t="s">
        <v>1103</v>
      </c>
      <c r="I24" s="35">
        <v>12047</v>
      </c>
      <c r="J24" s="35" t="s">
        <v>1103</v>
      </c>
      <c r="K24" s="35">
        <v>12306</v>
      </c>
      <c r="L24" s="35" t="str">
        <f t="shared" si="2"/>
        <v>krzyżakowy, wkręt - 12306</v>
      </c>
      <c r="M24" s="35" t="s">
        <v>2122</v>
      </c>
      <c r="N24" s="35" t="str">
        <f t="shared" si="3"/>
        <v>na wkręt (z mimośrodem) - N/A</v>
      </c>
      <c r="O24" s="35">
        <v>12318</v>
      </c>
      <c r="P24" s="35" t="str">
        <f t="shared" si="4"/>
        <v>krzyżakowy eurowkręt - 12318</v>
      </c>
      <c r="Q24" s="35">
        <v>12302</v>
      </c>
      <c r="R24" s="35" t="str">
        <f t="shared" si="5"/>
        <v>krzyżakowy expando - 12302</v>
      </c>
      <c r="S24" s="35">
        <v>203387</v>
      </c>
      <c r="T24" s="35" t="str">
        <f t="shared" si="6"/>
        <v>prosty wkręt - 203387</v>
      </c>
      <c r="U24" s="35">
        <v>346624</v>
      </c>
      <c r="V24" s="35" t="str">
        <f t="shared" si="7"/>
        <v>prosty eurowkręt - 346624</v>
      </c>
      <c r="W24" s="35">
        <v>211476</v>
      </c>
      <c r="X24" s="35" t="str">
        <f t="shared" si="8"/>
        <v>prosty expando - 211476</v>
      </c>
      <c r="Y24" s="34"/>
      <c r="Z24" s="34"/>
    </row>
    <row r="25" spans="1:26" ht="16.350000000000001" customHeight="1">
      <c r="A25" s="37" t="s">
        <v>1105</v>
      </c>
      <c r="B25" s="37" t="s">
        <v>2</v>
      </c>
      <c r="C25" s="37" t="str">
        <f>'Translate&amp;Prices&amp;Logo'!B553</f>
        <v>Nakładany</v>
      </c>
      <c r="D25" s="32" t="str">
        <f t="shared" si="0"/>
        <v>široký_BLUM_Naložený</v>
      </c>
      <c r="E25" s="37" t="str">
        <f>'Translate&amp;Prices&amp;Logo'!$B$582</f>
        <v>ze sprężyną z tłumieniem</v>
      </c>
      <c r="F25" s="34" t="str">
        <f>'Translate&amp;Prices&amp;Logo'!$B$586</f>
        <v>czarny</v>
      </c>
      <c r="G25" s="34" t="str">
        <f t="shared" si="10"/>
        <v>306317 - Nakładany ze sprężyną z tłumieniem - czarny</v>
      </c>
      <c r="H25" s="35" t="s">
        <v>1103</v>
      </c>
      <c r="I25" s="35">
        <v>306317</v>
      </c>
      <c r="J25" s="35" t="s">
        <v>1103</v>
      </c>
      <c r="K25" s="35">
        <v>458360</v>
      </c>
      <c r="L25" s="35" t="str">
        <f t="shared" si="2"/>
        <v>krzyżakowy, wkręt - 458360</v>
      </c>
      <c r="M25" s="35" t="s">
        <v>2122</v>
      </c>
      <c r="N25" s="35" t="str">
        <f t="shared" si="3"/>
        <v>na wkręt (z mimośrodem) - N/A</v>
      </c>
      <c r="O25" s="35" t="s">
        <v>2122</v>
      </c>
      <c r="P25" s="35" t="str">
        <f t="shared" si="4"/>
        <v>krzyżakowy eurowkręt - N/A</v>
      </c>
      <c r="Q25" s="35">
        <v>347124</v>
      </c>
      <c r="R25" s="35" t="str">
        <f t="shared" si="5"/>
        <v>krzyżakowy expando - 347124</v>
      </c>
      <c r="S25" s="35">
        <v>306320</v>
      </c>
      <c r="T25" s="35" t="str">
        <f t="shared" si="6"/>
        <v>prosty wkręt - 306320</v>
      </c>
      <c r="U25" s="35" t="s">
        <v>2122</v>
      </c>
      <c r="V25" s="35" t="str">
        <f t="shared" si="7"/>
        <v>prosty eurowkręt - N/A</v>
      </c>
      <c r="W25" s="35">
        <v>409651</v>
      </c>
      <c r="X25" s="35" t="str">
        <f t="shared" si="8"/>
        <v>prosty expando - 409651</v>
      </c>
      <c r="Y25" s="34"/>
      <c r="Z25" s="34"/>
    </row>
    <row r="26" spans="1:26" ht="16.350000000000001" customHeight="1">
      <c r="A26" s="37" t="s">
        <v>1105</v>
      </c>
      <c r="B26" s="37" t="s">
        <v>2</v>
      </c>
      <c r="C26" s="37" t="str">
        <f>'Translate&amp;Prices&amp;Logo'!B553</f>
        <v>Nakładany</v>
      </c>
      <c r="D26" s="32" t="str">
        <f t="shared" si="0"/>
        <v>široký_BLUM_Naložený</v>
      </c>
      <c r="E26" s="37" t="str">
        <f>'Translate&amp;Prices&amp;Logo'!$B$583</f>
        <v>ze sprężyną bez tłumienia</v>
      </c>
      <c r="F26" s="34" t="str">
        <f>'Translate&amp;Prices&amp;Logo'!$B$585</f>
        <v>srebro</v>
      </c>
      <c r="G26" s="34" t="str">
        <f t="shared" si="10"/>
        <v>12052 - Nakładany ze sprężyną bez tłumienia - srebro</v>
      </c>
      <c r="H26" s="35" t="s">
        <v>1103</v>
      </c>
      <c r="I26" s="35">
        <v>12052</v>
      </c>
      <c r="J26" s="35" t="s">
        <v>1103</v>
      </c>
      <c r="K26" s="35">
        <v>12306</v>
      </c>
      <c r="L26" s="35" t="str">
        <f t="shared" si="2"/>
        <v>krzyżakowy, wkręt - 12306</v>
      </c>
      <c r="M26" s="35" t="s">
        <v>2122</v>
      </c>
      <c r="N26" s="35" t="str">
        <f t="shared" si="3"/>
        <v>na wkręt (z mimośrodem) - N/A</v>
      </c>
      <c r="O26" s="35">
        <v>12318</v>
      </c>
      <c r="P26" s="35" t="str">
        <f t="shared" si="4"/>
        <v>krzyżakowy eurowkręt - 12318</v>
      </c>
      <c r="Q26" s="35">
        <v>12302</v>
      </c>
      <c r="R26" s="35" t="str">
        <f t="shared" si="5"/>
        <v>krzyżakowy expando - 12302</v>
      </c>
      <c r="S26" s="35">
        <v>203387</v>
      </c>
      <c r="T26" s="35" t="str">
        <f t="shared" si="6"/>
        <v>prosty wkręt - 203387</v>
      </c>
      <c r="U26" s="35">
        <v>346624</v>
      </c>
      <c r="V26" s="35" t="str">
        <f t="shared" si="7"/>
        <v>prosty eurowkręt - 346624</v>
      </c>
      <c r="W26" s="35">
        <v>211476</v>
      </c>
      <c r="X26" s="35" t="str">
        <f t="shared" si="8"/>
        <v>prosty expando - 211476</v>
      </c>
      <c r="Y26" s="34"/>
      <c r="Z26" s="34"/>
    </row>
    <row r="27" spans="1:26" ht="16.350000000000001" customHeight="1">
      <c r="A27" s="37" t="s">
        <v>1105</v>
      </c>
      <c r="B27" s="37" t="s">
        <v>2</v>
      </c>
      <c r="C27" s="37" t="str">
        <f>'Translate&amp;Prices&amp;Logo'!B553</f>
        <v>Nakładany</v>
      </c>
      <c r="D27" s="32" t="str">
        <f t="shared" si="0"/>
        <v>široký_BLUM_Naložený</v>
      </c>
      <c r="E27" s="37" t="str">
        <f>'Translate&amp;Prices&amp;Logo'!$B$584</f>
        <v>tip-on bez sprężyny/tłumienie</v>
      </c>
      <c r="F27" s="34" t="str">
        <f>'Translate&amp;Prices&amp;Logo'!$B$585</f>
        <v>srebro</v>
      </c>
      <c r="G27" s="34" t="str">
        <f t="shared" si="10"/>
        <v>226668 - Nakładany tip-on bez sprężyny/tłumienie - srebro</v>
      </c>
      <c r="H27" s="35" t="s">
        <v>1103</v>
      </c>
      <c r="I27" s="35">
        <v>226668</v>
      </c>
      <c r="J27" s="35" t="s">
        <v>1103</v>
      </c>
      <c r="K27" s="35">
        <v>12306</v>
      </c>
      <c r="L27" s="35" t="str">
        <f t="shared" si="2"/>
        <v>krzyżakowy, wkręt - 12306</v>
      </c>
      <c r="M27" s="35" t="s">
        <v>2122</v>
      </c>
      <c r="N27" s="35" t="str">
        <f t="shared" si="3"/>
        <v>na wkręt (z mimośrodem) - N/A</v>
      </c>
      <c r="O27" s="35">
        <v>12318</v>
      </c>
      <c r="P27" s="35" t="str">
        <f t="shared" si="4"/>
        <v>krzyżakowy eurowkręt - 12318</v>
      </c>
      <c r="Q27" s="35">
        <v>12302</v>
      </c>
      <c r="R27" s="35" t="str">
        <f t="shared" si="5"/>
        <v>krzyżakowy expando - 12302</v>
      </c>
      <c r="S27" s="35">
        <v>203387</v>
      </c>
      <c r="T27" s="35" t="str">
        <f t="shared" si="6"/>
        <v>prosty wkręt - 203387</v>
      </c>
      <c r="U27" s="35">
        <v>346624</v>
      </c>
      <c r="V27" s="35" t="str">
        <f t="shared" si="7"/>
        <v>prosty eurowkręt - 346624</v>
      </c>
      <c r="W27" s="35">
        <v>211476</v>
      </c>
      <c r="X27" s="35" t="str">
        <f t="shared" si="8"/>
        <v>prosty expando - 211476</v>
      </c>
      <c r="Y27" s="34"/>
      <c r="Z27" s="34"/>
    </row>
    <row r="28" spans="1:26" ht="16.350000000000001" customHeight="1">
      <c r="A28" s="37" t="s">
        <v>1105</v>
      </c>
      <c r="B28" s="37" t="s">
        <v>2</v>
      </c>
      <c r="C28" s="37" t="str">
        <f>'Translate&amp;Prices&amp;Logo'!B553</f>
        <v>Nakładany</v>
      </c>
      <c r="D28" s="32" t="str">
        <f t="shared" si="0"/>
        <v>široký_BLUM_Naložený</v>
      </c>
      <c r="E28" s="37" t="str">
        <f>'Translate&amp;Prices&amp;Logo'!$B$584</f>
        <v>tip-on bez sprężyny/tłumienie</v>
      </c>
      <c r="F28" s="34" t="s">
        <v>2569</v>
      </c>
      <c r="G28" s="34" t="str">
        <f>CONCATENATE(H28," ","-"," ",C28," ",E28," - ",F28)</f>
        <v>318173 - Nakładany tip-on bez sprężyny/tłumienie - onyx</v>
      </c>
      <c r="H28" s="35">
        <v>318173</v>
      </c>
      <c r="Q28" s="35">
        <v>347124</v>
      </c>
      <c r="R28" s="35" t="str">
        <f t="shared" si="5"/>
        <v>krzyżakowy expando - 347124</v>
      </c>
      <c r="S28" s="35">
        <v>306320</v>
      </c>
      <c r="T28" s="35" t="str">
        <f t="shared" ref="T28" si="11">CONCATENATE($S$1," - ",S28)</f>
        <v>prosty wkręt - 306320</v>
      </c>
      <c r="X28" s="35"/>
      <c r="Y28" s="34"/>
      <c r="Z28" s="34"/>
    </row>
    <row r="29" spans="1:26" ht="16.350000000000001" customHeight="1">
      <c r="A29" s="34" t="s">
        <v>1105</v>
      </c>
      <c r="B29" s="34" t="s">
        <v>2</v>
      </c>
      <c r="C29" s="34" t="str">
        <f>'Translate&amp;Prices&amp;Logo'!B554</f>
        <v>Półnakładany</v>
      </c>
      <c r="D29" s="32" t="str">
        <f t="shared" si="0"/>
        <v>široký_BLUM_Polonaložený</v>
      </c>
      <c r="E29" s="34" t="str">
        <f>'Translate&amp;Prices&amp;Logo'!$B$582</f>
        <v>ze sprężyną z tłumieniem</v>
      </c>
      <c r="F29" s="34" t="str">
        <f>'Translate&amp;Prices&amp;Logo'!$B$585</f>
        <v>srebro</v>
      </c>
      <c r="G29" s="34" t="str">
        <f t="shared" si="10"/>
        <v>12048 - Półnakładany ze sprężyną z tłumieniem - srebro</v>
      </c>
      <c r="H29" s="35" t="s">
        <v>1103</v>
      </c>
      <c r="I29" s="35">
        <v>12048</v>
      </c>
      <c r="J29" s="35" t="s">
        <v>1103</v>
      </c>
      <c r="K29" s="35">
        <v>12306</v>
      </c>
      <c r="L29" s="35" t="str">
        <f t="shared" si="2"/>
        <v>krzyżakowy, wkręt - 12306</v>
      </c>
      <c r="M29" s="35" t="s">
        <v>2122</v>
      </c>
      <c r="N29" s="35" t="str">
        <f t="shared" si="3"/>
        <v>na wkręt (z mimośrodem) - N/A</v>
      </c>
      <c r="O29" s="35">
        <v>12318</v>
      </c>
      <c r="P29" s="35" t="str">
        <f t="shared" si="4"/>
        <v>krzyżakowy eurowkręt - 12318</v>
      </c>
      <c r="Q29" s="35">
        <v>12302</v>
      </c>
      <c r="R29" s="35" t="str">
        <f t="shared" si="5"/>
        <v>krzyżakowy expando - 12302</v>
      </c>
      <c r="S29" s="35">
        <v>203387</v>
      </c>
      <c r="T29" s="35" t="str">
        <f t="shared" si="6"/>
        <v>prosty wkręt - 203387</v>
      </c>
      <c r="U29" s="35">
        <v>346624</v>
      </c>
      <c r="V29" s="35" t="str">
        <f t="shared" si="7"/>
        <v>prosty eurowkręt - 346624</v>
      </c>
      <c r="W29" s="35">
        <v>211476</v>
      </c>
      <c r="X29" s="35" t="str">
        <f t="shared" si="8"/>
        <v>prosty expando - 211476</v>
      </c>
      <c r="Y29" s="34"/>
      <c r="Z29" s="34"/>
    </row>
    <row r="30" spans="1:26" ht="16.350000000000001" customHeight="1">
      <c r="A30" s="34" t="s">
        <v>1105</v>
      </c>
      <c r="B30" s="34" t="s">
        <v>2</v>
      </c>
      <c r="C30" s="34" t="str">
        <f>'Translate&amp;Prices&amp;Logo'!B554</f>
        <v>Półnakładany</v>
      </c>
      <c r="D30" s="32" t="str">
        <f t="shared" si="0"/>
        <v>široký_BLUM_Polonaložený</v>
      </c>
      <c r="E30" s="34" t="str">
        <f>'Translate&amp;Prices&amp;Logo'!$B$582</f>
        <v>ze sprężyną z tłumieniem</v>
      </c>
      <c r="F30" s="34" t="str">
        <f>'Translate&amp;Prices&amp;Logo'!$B$586</f>
        <v>czarny</v>
      </c>
      <c r="G30" s="34" t="str">
        <f t="shared" si="10"/>
        <v>306318 - Półnakładany ze sprężyną z tłumieniem - czarny</v>
      </c>
      <c r="H30" s="35" t="s">
        <v>1103</v>
      </c>
      <c r="I30" s="35">
        <v>306318</v>
      </c>
      <c r="J30" s="35" t="s">
        <v>1103</v>
      </c>
      <c r="K30" s="35">
        <v>458360</v>
      </c>
      <c r="L30" s="35" t="str">
        <f t="shared" si="2"/>
        <v>krzyżakowy, wkręt - 458360</v>
      </c>
      <c r="M30" s="35" t="s">
        <v>2122</v>
      </c>
      <c r="N30" s="35" t="str">
        <f t="shared" si="3"/>
        <v>na wkręt (z mimośrodem) - N/A</v>
      </c>
      <c r="O30" s="35" t="s">
        <v>2122</v>
      </c>
      <c r="P30" s="35" t="str">
        <f t="shared" si="4"/>
        <v>krzyżakowy eurowkręt - N/A</v>
      </c>
      <c r="Q30" s="35">
        <v>347124</v>
      </c>
      <c r="R30" s="35" t="str">
        <f t="shared" si="5"/>
        <v>krzyżakowy expando - 347124</v>
      </c>
      <c r="S30" s="35">
        <v>306320</v>
      </c>
      <c r="T30" s="35" t="str">
        <f t="shared" si="6"/>
        <v>prosty wkręt - 306320</v>
      </c>
      <c r="U30" s="35" t="s">
        <v>2122</v>
      </c>
      <c r="V30" s="35" t="str">
        <f t="shared" si="7"/>
        <v>prosty eurowkręt - N/A</v>
      </c>
      <c r="W30" s="35">
        <v>409651</v>
      </c>
      <c r="X30" s="35" t="str">
        <f t="shared" si="8"/>
        <v>prosty expando - 409651</v>
      </c>
      <c r="Y30" s="34"/>
      <c r="Z30" s="34"/>
    </row>
    <row r="31" spans="1:26" ht="16.350000000000001" customHeight="1">
      <c r="A31" s="34" t="s">
        <v>1105</v>
      </c>
      <c r="B31" s="34" t="s">
        <v>2</v>
      </c>
      <c r="C31" s="34" t="str">
        <f>'Translate&amp;Prices&amp;Logo'!B554</f>
        <v>Półnakładany</v>
      </c>
      <c r="D31" s="32" t="str">
        <f t="shared" si="0"/>
        <v>široký_BLUM_Polonaložený</v>
      </c>
      <c r="E31" s="34" t="str">
        <f>'Translate&amp;Prices&amp;Logo'!$B$583</f>
        <v>ze sprężyną bez tłumienia</v>
      </c>
      <c r="F31" s="34" t="str">
        <f>'Translate&amp;Prices&amp;Logo'!$B$585</f>
        <v>srebro</v>
      </c>
      <c r="G31" s="34" t="str">
        <f t="shared" si="10"/>
        <v>12053 - Półnakładany ze sprężyną bez tłumienia - srebro</v>
      </c>
      <c r="H31" s="35" t="s">
        <v>1103</v>
      </c>
      <c r="I31" s="35">
        <v>12053</v>
      </c>
      <c r="J31" s="35" t="s">
        <v>1103</v>
      </c>
      <c r="K31" s="35">
        <v>12306</v>
      </c>
      <c r="L31" s="35" t="str">
        <f t="shared" si="2"/>
        <v>krzyżakowy, wkręt - 12306</v>
      </c>
      <c r="M31" s="35" t="s">
        <v>2122</v>
      </c>
      <c r="N31" s="35" t="str">
        <f t="shared" si="3"/>
        <v>na wkręt (z mimośrodem) - N/A</v>
      </c>
      <c r="O31" s="35">
        <v>12318</v>
      </c>
      <c r="P31" s="35" t="str">
        <f t="shared" si="4"/>
        <v>krzyżakowy eurowkręt - 12318</v>
      </c>
      <c r="Q31" s="35">
        <v>12302</v>
      </c>
      <c r="R31" s="35" t="str">
        <f t="shared" si="5"/>
        <v>krzyżakowy expando - 12302</v>
      </c>
      <c r="S31" s="35">
        <v>203387</v>
      </c>
      <c r="T31" s="35" t="str">
        <f t="shared" si="6"/>
        <v>prosty wkręt - 203387</v>
      </c>
      <c r="U31" s="35">
        <v>346624</v>
      </c>
      <c r="V31" s="35" t="str">
        <f t="shared" si="7"/>
        <v>prosty eurowkręt - 346624</v>
      </c>
      <c r="W31" s="35">
        <v>211476</v>
      </c>
      <c r="X31" s="35" t="str">
        <f t="shared" si="8"/>
        <v>prosty expando - 211476</v>
      </c>
      <c r="Y31" s="34"/>
      <c r="Z31" s="34"/>
    </row>
    <row r="32" spans="1:26" ht="16.350000000000001" customHeight="1">
      <c r="A32" s="34" t="s">
        <v>1105</v>
      </c>
      <c r="B32" s="34" t="s">
        <v>2</v>
      </c>
      <c r="C32" s="34" t="str">
        <f>'Translate&amp;Prices&amp;Logo'!B554</f>
        <v>Półnakładany</v>
      </c>
      <c r="D32" s="32" t="str">
        <f t="shared" si="0"/>
        <v>široký_BLUM_Polonaložený</v>
      </c>
      <c r="E32" s="34" t="str">
        <f>'Translate&amp;Prices&amp;Logo'!$B$584</f>
        <v>tip-on bez sprężyny/tłumienie</v>
      </c>
      <c r="F32" s="34" t="str">
        <f>'Translate&amp;Prices&amp;Logo'!$B$585</f>
        <v>srebro</v>
      </c>
      <c r="G32" s="34" t="str">
        <f t="shared" si="10"/>
        <v>226670 - Półnakładany tip-on bez sprężyny/tłumienie - srebro</v>
      </c>
      <c r="H32" s="35" t="s">
        <v>1103</v>
      </c>
      <c r="I32" s="35">
        <v>226670</v>
      </c>
      <c r="J32" s="35" t="s">
        <v>1103</v>
      </c>
      <c r="K32" s="35">
        <v>12306</v>
      </c>
      <c r="L32" s="35" t="str">
        <f t="shared" si="2"/>
        <v>krzyżakowy, wkręt - 12306</v>
      </c>
      <c r="M32" s="35" t="s">
        <v>2122</v>
      </c>
      <c r="N32" s="35" t="str">
        <f t="shared" si="3"/>
        <v>na wkręt (z mimośrodem) - N/A</v>
      </c>
      <c r="O32" s="35">
        <v>12318</v>
      </c>
      <c r="P32" s="35" t="str">
        <f t="shared" si="4"/>
        <v>krzyżakowy eurowkręt - 12318</v>
      </c>
      <c r="Q32" s="35">
        <v>12302</v>
      </c>
      <c r="R32" s="35" t="str">
        <f t="shared" si="5"/>
        <v>krzyżakowy expando - 12302</v>
      </c>
      <c r="S32" s="35">
        <v>203387</v>
      </c>
      <c r="T32" s="35" t="str">
        <f t="shared" si="6"/>
        <v>prosty wkręt - 203387</v>
      </c>
      <c r="U32" s="35">
        <v>346624</v>
      </c>
      <c r="V32" s="35" t="str">
        <f t="shared" si="7"/>
        <v>prosty eurowkręt - 346624</v>
      </c>
      <c r="W32" s="35">
        <v>211476</v>
      </c>
      <c r="X32" s="35" t="str">
        <f t="shared" si="8"/>
        <v>prosty expando - 211476</v>
      </c>
      <c r="Y32" s="34"/>
      <c r="Z32" s="34"/>
    </row>
    <row r="33" spans="1:26" ht="16.350000000000001" customHeight="1">
      <c r="A33" s="37" t="s">
        <v>1105</v>
      </c>
      <c r="B33" s="37" t="s">
        <v>2</v>
      </c>
      <c r="C33" s="37" t="str">
        <f>'Translate&amp;Prices&amp;Logo'!B555</f>
        <v>Wpuszczany</v>
      </c>
      <c r="D33" s="32" t="str">
        <f t="shared" si="0"/>
        <v>široký_BLUM_Vložený</v>
      </c>
      <c r="E33" s="37" t="str">
        <f>'Translate&amp;Prices&amp;Logo'!$B$582</f>
        <v>ze sprężyną z tłumieniem</v>
      </c>
      <c r="F33" s="34" t="str">
        <f>'Translate&amp;Prices&amp;Logo'!$B$585</f>
        <v>srebro</v>
      </c>
      <c r="G33" s="34" t="str">
        <f t="shared" si="10"/>
        <v>12049 - Wpuszczany ze sprężyną z tłumieniem - srebro</v>
      </c>
      <c r="H33" s="35" t="s">
        <v>1103</v>
      </c>
      <c r="I33" s="35">
        <v>12049</v>
      </c>
      <c r="J33" s="35" t="s">
        <v>1103</v>
      </c>
      <c r="K33" s="35">
        <v>12306</v>
      </c>
      <c r="L33" s="35" t="str">
        <f t="shared" si="2"/>
        <v>krzyżakowy, wkręt - 12306</v>
      </c>
      <c r="M33" s="35" t="s">
        <v>2122</v>
      </c>
      <c r="N33" s="35" t="str">
        <f t="shared" si="3"/>
        <v>na wkręt (z mimośrodem) - N/A</v>
      </c>
      <c r="O33" s="35">
        <v>12318</v>
      </c>
      <c r="P33" s="35" t="str">
        <f t="shared" si="4"/>
        <v>krzyżakowy eurowkręt - 12318</v>
      </c>
      <c r="Q33" s="35">
        <v>12302</v>
      </c>
      <c r="R33" s="35" t="str">
        <f t="shared" si="5"/>
        <v>krzyżakowy expando - 12302</v>
      </c>
      <c r="S33" s="35">
        <v>203387</v>
      </c>
      <c r="T33" s="35" t="str">
        <f t="shared" si="6"/>
        <v>prosty wkręt - 203387</v>
      </c>
      <c r="U33" s="35">
        <v>346624</v>
      </c>
      <c r="V33" s="35" t="str">
        <f t="shared" si="7"/>
        <v>prosty eurowkręt - 346624</v>
      </c>
      <c r="W33" s="35">
        <v>211476</v>
      </c>
      <c r="X33" s="35" t="str">
        <f t="shared" si="8"/>
        <v>prosty expando - 211476</v>
      </c>
      <c r="Y33" s="34"/>
      <c r="Z33" s="34"/>
    </row>
    <row r="34" spans="1:26" ht="16.350000000000001" customHeight="1">
      <c r="A34" s="37" t="s">
        <v>1105</v>
      </c>
      <c r="B34" s="37" t="s">
        <v>2</v>
      </c>
      <c r="C34" s="37" t="str">
        <f>'Translate&amp;Prices&amp;Logo'!B555</f>
        <v>Wpuszczany</v>
      </c>
      <c r="D34" s="32" t="str">
        <f t="shared" si="0"/>
        <v>široký_BLUM_Vložený</v>
      </c>
      <c r="E34" s="37" t="str">
        <f>'Translate&amp;Prices&amp;Logo'!$B$582</f>
        <v>ze sprężyną z tłumieniem</v>
      </c>
      <c r="F34" s="34" t="str">
        <f>'Translate&amp;Prices&amp;Logo'!$B$586</f>
        <v>czarny</v>
      </c>
      <c r="G34" s="34" t="str">
        <f t="shared" si="10"/>
        <v>306319 - Wpuszczany ze sprężyną z tłumieniem - czarny</v>
      </c>
      <c r="H34" s="35" t="s">
        <v>1103</v>
      </c>
      <c r="I34" s="35">
        <v>306319</v>
      </c>
      <c r="J34" s="35" t="s">
        <v>1103</v>
      </c>
      <c r="K34" s="35">
        <v>458360</v>
      </c>
      <c r="L34" s="35" t="str">
        <f t="shared" si="2"/>
        <v>krzyżakowy, wkręt - 458360</v>
      </c>
      <c r="M34" s="35" t="s">
        <v>2122</v>
      </c>
      <c r="N34" s="35" t="str">
        <f t="shared" si="3"/>
        <v>na wkręt (z mimośrodem) - N/A</v>
      </c>
      <c r="O34" s="35" t="s">
        <v>2122</v>
      </c>
      <c r="P34" s="35" t="str">
        <f t="shared" si="4"/>
        <v>krzyżakowy eurowkręt - N/A</v>
      </c>
      <c r="Q34" s="35">
        <v>347124</v>
      </c>
      <c r="R34" s="35" t="str">
        <f t="shared" si="5"/>
        <v>krzyżakowy expando - 347124</v>
      </c>
      <c r="S34" s="35">
        <v>306320</v>
      </c>
      <c r="T34" s="35" t="str">
        <f t="shared" si="6"/>
        <v>prosty wkręt - 306320</v>
      </c>
      <c r="U34" s="35" t="s">
        <v>2122</v>
      </c>
      <c r="V34" s="35" t="str">
        <f t="shared" si="7"/>
        <v>prosty eurowkręt - N/A</v>
      </c>
      <c r="W34" s="35">
        <v>409651</v>
      </c>
      <c r="X34" s="35" t="str">
        <f t="shared" si="8"/>
        <v>prosty expando - 409651</v>
      </c>
      <c r="Y34" s="34"/>
      <c r="Z34" s="34"/>
    </row>
    <row r="35" spans="1:26" ht="16.350000000000001" customHeight="1">
      <c r="A35" s="37" t="s">
        <v>1105</v>
      </c>
      <c r="B35" s="37" t="s">
        <v>2</v>
      </c>
      <c r="C35" s="37" t="str">
        <f>'Translate&amp;Prices&amp;Logo'!B555</f>
        <v>Wpuszczany</v>
      </c>
      <c r="D35" s="32" t="str">
        <f t="shared" si="0"/>
        <v>široký_BLUM_Vložený</v>
      </c>
      <c r="E35" s="37" t="str">
        <f>'Translate&amp;Prices&amp;Logo'!$B$583</f>
        <v>ze sprężyną bez tłumienia</v>
      </c>
      <c r="F35" s="34" t="str">
        <f>'Translate&amp;Prices&amp;Logo'!$B$585</f>
        <v>srebro</v>
      </c>
      <c r="G35" s="34" t="str">
        <f t="shared" si="10"/>
        <v>12059 - Wpuszczany ze sprężyną bez tłumienia - srebro</v>
      </c>
      <c r="H35" s="35" t="s">
        <v>1103</v>
      </c>
      <c r="I35" s="35">
        <v>12059</v>
      </c>
      <c r="J35" s="35" t="s">
        <v>1103</v>
      </c>
      <c r="K35" s="35">
        <v>12306</v>
      </c>
      <c r="L35" s="35" t="str">
        <f t="shared" si="2"/>
        <v>krzyżakowy, wkręt - 12306</v>
      </c>
      <c r="M35" s="35" t="s">
        <v>2122</v>
      </c>
      <c r="N35" s="35" t="str">
        <f t="shared" si="3"/>
        <v>na wkręt (z mimośrodem) - N/A</v>
      </c>
      <c r="O35" s="35">
        <v>12318</v>
      </c>
      <c r="P35" s="35" t="str">
        <f t="shared" si="4"/>
        <v>krzyżakowy eurowkręt - 12318</v>
      </c>
      <c r="Q35" s="35">
        <v>12302</v>
      </c>
      <c r="R35" s="35" t="str">
        <f t="shared" si="5"/>
        <v>krzyżakowy expando - 12302</v>
      </c>
      <c r="S35" s="35">
        <v>203387</v>
      </c>
      <c r="T35" s="35" t="str">
        <f t="shared" si="6"/>
        <v>prosty wkręt - 203387</v>
      </c>
      <c r="U35" s="35">
        <v>346624</v>
      </c>
      <c r="V35" s="35" t="str">
        <f t="shared" si="7"/>
        <v>prosty eurowkręt - 346624</v>
      </c>
      <c r="W35" s="35">
        <v>211476</v>
      </c>
      <c r="X35" s="35" t="str">
        <f t="shared" si="8"/>
        <v>prosty expando - 211476</v>
      </c>
      <c r="Y35" s="34"/>
      <c r="Z35" s="34"/>
    </row>
    <row r="36" spans="1:26" ht="14.4">
      <c r="A36" s="37" t="s">
        <v>1105</v>
      </c>
      <c r="B36" s="37" t="s">
        <v>2</v>
      </c>
      <c r="C36" s="37" t="str">
        <f>'Translate&amp;Prices&amp;Logo'!B555</f>
        <v>Wpuszczany</v>
      </c>
      <c r="D36" s="32" t="str">
        <f t="shared" si="0"/>
        <v>široký_BLUM_Vložený</v>
      </c>
      <c r="E36" s="37" t="str">
        <f>'Translate&amp;Prices&amp;Logo'!$B$584</f>
        <v>tip-on bez sprężyny/tłumienie</v>
      </c>
      <c r="F36" s="34" t="str">
        <f>'Translate&amp;Prices&amp;Logo'!$B$585</f>
        <v>srebro</v>
      </c>
      <c r="G36" s="34" t="str">
        <f t="shared" si="10"/>
        <v>226671 - Wpuszczany tip-on bez sprężyny/tłumienie - srebro</v>
      </c>
      <c r="H36" s="35" t="s">
        <v>1103</v>
      </c>
      <c r="I36" s="35">
        <v>226671</v>
      </c>
      <c r="J36" s="35" t="s">
        <v>1103</v>
      </c>
      <c r="K36" s="35">
        <v>12306</v>
      </c>
      <c r="L36" s="35" t="str">
        <f t="shared" si="2"/>
        <v>krzyżakowy, wkręt - 12306</v>
      </c>
      <c r="M36" s="35" t="s">
        <v>2122</v>
      </c>
      <c r="N36" s="35" t="str">
        <f t="shared" si="3"/>
        <v>na wkręt (z mimośrodem) - N/A</v>
      </c>
      <c r="O36" s="35">
        <v>12318</v>
      </c>
      <c r="P36" s="35" t="str">
        <f t="shared" si="4"/>
        <v>krzyżakowy eurowkręt - 12318</v>
      </c>
      <c r="Q36" s="35">
        <v>12302</v>
      </c>
      <c r="R36" s="35" t="str">
        <f t="shared" si="5"/>
        <v>krzyżakowy expando - 12302</v>
      </c>
      <c r="S36" s="35">
        <v>203387</v>
      </c>
      <c r="T36" s="35" t="str">
        <f t="shared" si="6"/>
        <v>prosty wkręt - 203387</v>
      </c>
      <c r="U36" s="35">
        <v>346624</v>
      </c>
      <c r="V36" s="35" t="str">
        <f t="shared" si="7"/>
        <v>prosty eurowkręt - 346624</v>
      </c>
      <c r="W36" s="35">
        <v>211476</v>
      </c>
      <c r="X36" s="35" t="str">
        <f t="shared" si="8"/>
        <v>prosty expando - 211476</v>
      </c>
      <c r="Y36" s="34"/>
      <c r="Z36" s="34"/>
    </row>
    <row r="37" spans="1:26" ht="14.4">
      <c r="A37" s="34" t="s">
        <v>1105</v>
      </c>
      <c r="B37" s="34" t="s">
        <v>567</v>
      </c>
      <c r="C37" s="34" t="str">
        <f>'Translate&amp;Prices&amp;Logo'!B553</f>
        <v>Nakładany</v>
      </c>
      <c r="D37" s="32" t="str">
        <f t="shared" si="0"/>
        <v>široký_HETTICH_Naložený</v>
      </c>
      <c r="E37" s="34" t="str">
        <f>'Translate&amp;Prices&amp;Logo'!$B$582</f>
        <v>ze sprężyną z tłumieniem</v>
      </c>
      <c r="F37" s="34" t="str">
        <f>'Translate&amp;Prices&amp;Logo'!$B$585</f>
        <v>srebro</v>
      </c>
      <c r="G37" s="34" t="str">
        <f t="shared" si="10"/>
        <v>104717 - Nakładany ze sprężyną z tłumieniem - srebro</v>
      </c>
      <c r="H37" s="35" t="s">
        <v>1103</v>
      </c>
      <c r="I37" s="35">
        <v>104717</v>
      </c>
      <c r="J37" s="35" t="s">
        <v>1103</v>
      </c>
      <c r="K37" s="35">
        <v>106403</v>
      </c>
      <c r="L37" s="35" t="str">
        <f t="shared" si="2"/>
        <v>krzyżakowy, wkręt - 106403</v>
      </c>
      <c r="M37" s="35" t="s">
        <v>2122</v>
      </c>
      <c r="N37" s="35" t="str">
        <f t="shared" si="3"/>
        <v>na wkręt (z mimośrodem) - N/A</v>
      </c>
      <c r="O37" s="35">
        <v>119240</v>
      </c>
      <c r="P37" s="35" t="str">
        <f t="shared" si="4"/>
        <v>krzyżakowy eurowkręt - 119240</v>
      </c>
      <c r="Q37" s="35">
        <v>136276</v>
      </c>
      <c r="R37" s="35" t="str">
        <f t="shared" si="5"/>
        <v>krzyżakowy expando - 136276</v>
      </c>
      <c r="S37" s="35">
        <v>300319</v>
      </c>
      <c r="T37" s="35" t="str">
        <f t="shared" si="6"/>
        <v>prosty wkręt - 300319</v>
      </c>
      <c r="U37" s="35" t="s">
        <v>2122</v>
      </c>
      <c r="V37" s="35" t="str">
        <f t="shared" si="7"/>
        <v>prosty eurowkręt - N/A</v>
      </c>
      <c r="W37" s="35" t="s">
        <v>2122</v>
      </c>
      <c r="X37" s="35" t="str">
        <f t="shared" si="8"/>
        <v>prosty expando - N/A</v>
      </c>
      <c r="Y37" s="34"/>
      <c r="Z37" s="34"/>
    </row>
    <row r="38" spans="1:26" ht="14.4">
      <c r="A38" s="34" t="s">
        <v>1105</v>
      </c>
      <c r="B38" s="34" t="s">
        <v>567</v>
      </c>
      <c r="C38" s="34" t="str">
        <f>'Translate&amp;Prices&amp;Logo'!B553</f>
        <v>Nakładany</v>
      </c>
      <c r="D38" s="32" t="str">
        <f t="shared" si="0"/>
        <v>široký_HETTICH_Naložený</v>
      </c>
      <c r="E38" s="34" t="str">
        <f>'Translate&amp;Prices&amp;Logo'!$B$582</f>
        <v>ze sprężyną z tłumieniem</v>
      </c>
      <c r="F38" s="34" t="str">
        <f>'Translate&amp;Prices&amp;Logo'!$B$586</f>
        <v>czarny</v>
      </c>
      <c r="G38" s="34" t="str">
        <f t="shared" si="10"/>
        <v>344691 - Nakładany ze sprężyną z tłumieniem - czarny</v>
      </c>
      <c r="H38" s="35" t="s">
        <v>1103</v>
      </c>
      <c r="I38" s="35">
        <v>344691</v>
      </c>
      <c r="J38" s="35" t="s">
        <v>1103</v>
      </c>
      <c r="K38" s="35" t="s">
        <v>2122</v>
      </c>
      <c r="L38" s="35" t="str">
        <f t="shared" si="2"/>
        <v>krzyżakowy, wkręt - N/A</v>
      </c>
      <c r="M38" s="35" t="s">
        <v>2122</v>
      </c>
      <c r="N38" s="35" t="str">
        <f t="shared" si="3"/>
        <v>na wkręt (z mimośrodem) - N/A</v>
      </c>
      <c r="O38" s="35">
        <v>344723</v>
      </c>
      <c r="P38" s="35" t="str">
        <f t="shared" si="4"/>
        <v>krzyżakowy eurowkręt - 344723</v>
      </c>
      <c r="Q38" s="35">
        <v>344727</v>
      </c>
      <c r="R38" s="35" t="str">
        <f t="shared" si="5"/>
        <v>krzyżakowy expando - 344727</v>
      </c>
      <c r="S38" s="35">
        <v>397949</v>
      </c>
      <c r="T38" s="35" t="str">
        <f t="shared" si="6"/>
        <v>prosty wkręt - 397949</v>
      </c>
      <c r="U38" s="35" t="s">
        <v>2122</v>
      </c>
      <c r="V38" s="35" t="str">
        <f t="shared" si="7"/>
        <v>prosty eurowkręt - N/A</v>
      </c>
      <c r="W38" s="35" t="s">
        <v>2122</v>
      </c>
      <c r="X38" s="35" t="str">
        <f t="shared" si="8"/>
        <v>prosty expando - N/A</v>
      </c>
      <c r="Y38" s="34"/>
      <c r="Z38" s="34"/>
    </row>
    <row r="39" spans="1:26" ht="14.4">
      <c r="A39" s="34" t="s">
        <v>1105</v>
      </c>
      <c r="B39" s="34" t="s">
        <v>567</v>
      </c>
      <c r="C39" s="34" t="str">
        <f>'Translate&amp;Prices&amp;Logo'!B553</f>
        <v>Nakładany</v>
      </c>
      <c r="D39" s="32" t="str">
        <f t="shared" si="0"/>
        <v>široký_HETTICH_Naložený</v>
      </c>
      <c r="E39" s="34" t="str">
        <f>'Translate&amp;Prices&amp;Logo'!$B$583</f>
        <v>ze sprężyną bez tłumienia</v>
      </c>
      <c r="F39" s="34" t="str">
        <f>'Translate&amp;Prices&amp;Logo'!$B$585</f>
        <v>srebro</v>
      </c>
      <c r="G39" s="34" t="str">
        <f t="shared" si="10"/>
        <v>232346 - Nakładany ze sprężyną bez tłumienia - srebro</v>
      </c>
      <c r="H39" s="35" t="s">
        <v>1103</v>
      </c>
      <c r="I39" s="35">
        <v>232346</v>
      </c>
      <c r="J39" s="35" t="s">
        <v>1103</v>
      </c>
      <c r="K39" s="35">
        <v>106403</v>
      </c>
      <c r="L39" s="35" t="str">
        <f t="shared" si="2"/>
        <v>krzyżakowy, wkręt - 106403</v>
      </c>
      <c r="M39" s="35" t="s">
        <v>2122</v>
      </c>
      <c r="N39" s="35" t="str">
        <f t="shared" si="3"/>
        <v>na wkręt (z mimośrodem) - N/A</v>
      </c>
      <c r="O39" s="35">
        <v>119240</v>
      </c>
      <c r="P39" s="35" t="str">
        <f t="shared" si="4"/>
        <v>krzyżakowy eurowkręt - 119240</v>
      </c>
      <c r="Q39" s="35">
        <v>136276</v>
      </c>
      <c r="R39" s="35" t="str">
        <f t="shared" si="5"/>
        <v>krzyżakowy expando - 136276</v>
      </c>
      <c r="S39" s="35">
        <v>300319</v>
      </c>
      <c r="T39" s="35" t="str">
        <f t="shared" si="6"/>
        <v>prosty wkręt - 300319</v>
      </c>
      <c r="U39" s="35" t="s">
        <v>2122</v>
      </c>
      <c r="V39" s="35" t="str">
        <f t="shared" si="7"/>
        <v>prosty eurowkręt - N/A</v>
      </c>
      <c r="W39" s="35" t="s">
        <v>2122</v>
      </c>
      <c r="X39" s="35" t="str">
        <f t="shared" si="8"/>
        <v>prosty expando - N/A</v>
      </c>
      <c r="Y39" s="34"/>
      <c r="Z39" s="34"/>
    </row>
    <row r="40" spans="1:26" ht="14.4">
      <c r="A40" s="34" t="s">
        <v>1105</v>
      </c>
      <c r="B40" s="34" t="s">
        <v>567</v>
      </c>
      <c r="C40" s="34" t="str">
        <f>'Translate&amp;Prices&amp;Logo'!B553</f>
        <v>Nakładany</v>
      </c>
      <c r="D40" s="32" t="str">
        <f t="shared" si="0"/>
        <v>široký_HETTICH_Naložený</v>
      </c>
      <c r="E40" s="34" t="str">
        <f>'Translate&amp;Prices&amp;Logo'!$B$584</f>
        <v>tip-on bez sprężyny/tłumienie</v>
      </c>
      <c r="F40" s="34" t="str">
        <f>'Translate&amp;Prices&amp;Logo'!$B$585</f>
        <v>srebro</v>
      </c>
      <c r="G40" s="34" t="str">
        <f t="shared" si="10"/>
        <v>245723 - Nakładany tip-on bez sprężyny/tłumienie - srebro</v>
      </c>
      <c r="H40" s="35" t="s">
        <v>1103</v>
      </c>
      <c r="I40" s="35">
        <v>245723</v>
      </c>
      <c r="J40" s="35" t="s">
        <v>1103</v>
      </c>
      <c r="K40" s="35">
        <v>106403</v>
      </c>
      <c r="L40" s="35" t="str">
        <f t="shared" si="2"/>
        <v>krzyżakowy, wkręt - 106403</v>
      </c>
      <c r="M40" s="35" t="s">
        <v>2122</v>
      </c>
      <c r="N40" s="35" t="str">
        <f t="shared" si="3"/>
        <v>na wkręt (z mimośrodem) - N/A</v>
      </c>
      <c r="O40" s="35">
        <v>119240</v>
      </c>
      <c r="P40" s="35" t="str">
        <f t="shared" si="4"/>
        <v>krzyżakowy eurowkręt - 119240</v>
      </c>
      <c r="Q40" s="35">
        <v>136276</v>
      </c>
      <c r="R40" s="35" t="str">
        <f t="shared" si="5"/>
        <v>krzyżakowy expando - 136276</v>
      </c>
      <c r="S40" s="35">
        <v>300319</v>
      </c>
      <c r="T40" s="35" t="str">
        <f t="shared" si="6"/>
        <v>prosty wkręt - 300319</v>
      </c>
      <c r="U40" s="35" t="s">
        <v>2122</v>
      </c>
      <c r="V40" s="35" t="str">
        <f t="shared" si="7"/>
        <v>prosty eurowkręt - N/A</v>
      </c>
      <c r="W40" s="35" t="s">
        <v>2122</v>
      </c>
      <c r="X40" s="35" t="str">
        <f t="shared" si="8"/>
        <v>prosty expando - N/A</v>
      </c>
      <c r="Y40" s="34"/>
      <c r="Z40" s="34"/>
    </row>
    <row r="41" spans="1:26" ht="14.4">
      <c r="A41" s="34" t="s">
        <v>1105</v>
      </c>
      <c r="B41" s="34" t="s">
        <v>567</v>
      </c>
      <c r="C41" s="34" t="str">
        <f>'Translate&amp;Prices&amp;Logo'!B553</f>
        <v>Nakładany</v>
      </c>
      <c r="D41" s="32" t="str">
        <f t="shared" si="0"/>
        <v>široký_HETTICH_Naložený</v>
      </c>
      <c r="E41" s="34" t="str">
        <f>'Translate&amp;Prices&amp;Logo'!$B$584</f>
        <v>tip-on bez sprężyny/tłumienie</v>
      </c>
      <c r="F41" s="34" t="str">
        <f>'Translate&amp;Prices&amp;Logo'!$B$586</f>
        <v>czarny</v>
      </c>
      <c r="G41" s="34" t="str">
        <f t="shared" si="10"/>
        <v>344694 - Nakładany tip-on bez sprężyny/tłumienie - czarny</v>
      </c>
      <c r="H41" s="35" t="s">
        <v>1103</v>
      </c>
      <c r="I41" s="35">
        <v>344694</v>
      </c>
      <c r="J41" s="35" t="s">
        <v>1103</v>
      </c>
      <c r="K41" s="35" t="s">
        <v>2122</v>
      </c>
      <c r="L41" s="35" t="str">
        <f t="shared" si="2"/>
        <v>krzyżakowy, wkręt - N/A</v>
      </c>
      <c r="M41" s="35" t="s">
        <v>2122</v>
      </c>
      <c r="N41" s="35" t="str">
        <f t="shared" si="3"/>
        <v>na wkręt (z mimośrodem) - N/A</v>
      </c>
      <c r="O41" s="35">
        <v>344723</v>
      </c>
      <c r="P41" s="35" t="str">
        <f t="shared" si="4"/>
        <v>krzyżakowy eurowkręt - 344723</v>
      </c>
      <c r="Q41" s="35">
        <v>344727</v>
      </c>
      <c r="R41" s="35" t="str">
        <f t="shared" si="5"/>
        <v>krzyżakowy expando - 344727</v>
      </c>
      <c r="S41" s="35">
        <v>397949</v>
      </c>
      <c r="T41" s="35" t="str">
        <f t="shared" si="6"/>
        <v>prosty wkręt - 397949</v>
      </c>
      <c r="U41" s="35" t="s">
        <v>2122</v>
      </c>
      <c r="V41" s="35" t="str">
        <f t="shared" si="7"/>
        <v>prosty eurowkręt - N/A</v>
      </c>
      <c r="W41" s="35" t="s">
        <v>2122</v>
      </c>
      <c r="X41" s="35" t="str">
        <f t="shared" si="8"/>
        <v>prosty expando - N/A</v>
      </c>
      <c r="Y41" s="34"/>
      <c r="Z41" s="34"/>
    </row>
    <row r="42" spans="1:26" ht="14.4">
      <c r="A42" s="37" t="s">
        <v>1105</v>
      </c>
      <c r="B42" s="37" t="s">
        <v>567</v>
      </c>
      <c r="C42" s="37" t="str">
        <f>'Translate&amp;Prices&amp;Logo'!B554</f>
        <v>Półnakładany</v>
      </c>
      <c r="D42" s="32" t="str">
        <f t="shared" si="0"/>
        <v>široký_HETTICH_Polonaložený</v>
      </c>
      <c r="E42" s="37" t="str">
        <f>'Translate&amp;Prices&amp;Logo'!$B$582</f>
        <v>ze sprężyną z tłumieniem</v>
      </c>
      <c r="F42" s="34" t="str">
        <f>'Translate&amp;Prices&amp;Logo'!$B$585</f>
        <v>srebro</v>
      </c>
      <c r="G42" s="34" t="str">
        <f t="shared" si="10"/>
        <v>104718 - Półnakładany ze sprężyną z tłumieniem - srebro</v>
      </c>
      <c r="H42" s="35" t="s">
        <v>1103</v>
      </c>
      <c r="I42" s="35">
        <v>104718</v>
      </c>
      <c r="J42" s="35" t="s">
        <v>1103</v>
      </c>
      <c r="K42" s="35">
        <v>106403</v>
      </c>
      <c r="L42" s="35" t="str">
        <f t="shared" si="2"/>
        <v>krzyżakowy, wkręt - 106403</v>
      </c>
      <c r="M42" s="35" t="s">
        <v>2122</v>
      </c>
      <c r="N42" s="35" t="str">
        <f t="shared" si="3"/>
        <v>na wkręt (z mimośrodem) - N/A</v>
      </c>
      <c r="O42" s="35">
        <v>119240</v>
      </c>
      <c r="P42" s="35" t="str">
        <f t="shared" si="4"/>
        <v>krzyżakowy eurowkręt - 119240</v>
      </c>
      <c r="Q42" s="35">
        <v>136276</v>
      </c>
      <c r="R42" s="35" t="str">
        <f t="shared" si="5"/>
        <v>krzyżakowy expando - 136276</v>
      </c>
      <c r="S42" s="35">
        <v>300319</v>
      </c>
      <c r="T42" s="35" t="str">
        <f t="shared" si="6"/>
        <v>prosty wkręt - 300319</v>
      </c>
      <c r="U42" s="35" t="s">
        <v>2122</v>
      </c>
      <c r="V42" s="35" t="str">
        <f t="shared" si="7"/>
        <v>prosty eurowkręt - N/A</v>
      </c>
      <c r="W42" s="35" t="s">
        <v>2122</v>
      </c>
      <c r="X42" s="35" t="str">
        <f t="shared" si="8"/>
        <v>prosty expando - N/A</v>
      </c>
      <c r="Y42" s="34"/>
      <c r="Z42" s="34"/>
    </row>
    <row r="43" spans="1:26" ht="14.4">
      <c r="A43" s="37" t="s">
        <v>1105</v>
      </c>
      <c r="B43" s="37" t="s">
        <v>567</v>
      </c>
      <c r="C43" s="37" t="str">
        <f>'Translate&amp;Prices&amp;Logo'!B554</f>
        <v>Półnakładany</v>
      </c>
      <c r="D43" s="32" t="str">
        <f t="shared" si="0"/>
        <v>široký_HETTICH_Polonaložený</v>
      </c>
      <c r="E43" s="37" t="str">
        <f>'Translate&amp;Prices&amp;Logo'!$B$582</f>
        <v>ze sprężyną z tłumieniem</v>
      </c>
      <c r="F43" s="34" t="str">
        <f>'Translate&amp;Prices&amp;Logo'!$B$586</f>
        <v>czarny</v>
      </c>
      <c r="G43" s="34" t="str">
        <f t="shared" si="10"/>
        <v>344692 - Półnakładany ze sprężyną z tłumieniem - czarny</v>
      </c>
      <c r="H43" s="35" t="s">
        <v>1103</v>
      </c>
      <c r="I43" s="35">
        <v>344692</v>
      </c>
      <c r="J43" s="35" t="s">
        <v>1103</v>
      </c>
      <c r="K43" s="35" t="s">
        <v>2122</v>
      </c>
      <c r="L43" s="35" t="str">
        <f t="shared" si="2"/>
        <v>krzyżakowy, wkręt - N/A</v>
      </c>
      <c r="M43" s="35" t="s">
        <v>2122</v>
      </c>
      <c r="N43" s="35" t="str">
        <f t="shared" si="3"/>
        <v>na wkręt (z mimośrodem) - N/A</v>
      </c>
      <c r="O43" s="35">
        <v>344723</v>
      </c>
      <c r="P43" s="35" t="str">
        <f t="shared" si="4"/>
        <v>krzyżakowy eurowkręt - 344723</v>
      </c>
      <c r="Q43" s="35">
        <v>344727</v>
      </c>
      <c r="R43" s="35" t="str">
        <f t="shared" si="5"/>
        <v>krzyżakowy expando - 344727</v>
      </c>
      <c r="S43" s="35">
        <v>397949</v>
      </c>
      <c r="T43" s="35" t="str">
        <f t="shared" si="6"/>
        <v>prosty wkręt - 397949</v>
      </c>
      <c r="U43" s="35" t="s">
        <v>2122</v>
      </c>
      <c r="V43" s="35" t="str">
        <f t="shared" si="7"/>
        <v>prosty eurowkręt - N/A</v>
      </c>
      <c r="W43" s="35" t="s">
        <v>2122</v>
      </c>
      <c r="X43" s="35" t="str">
        <f t="shared" si="8"/>
        <v>prosty expando - N/A</v>
      </c>
      <c r="Y43" s="34"/>
      <c r="Z43" s="34"/>
    </row>
    <row r="44" spans="1:26" ht="14.4">
      <c r="A44" s="37" t="s">
        <v>1105</v>
      </c>
      <c r="B44" s="37" t="s">
        <v>567</v>
      </c>
      <c r="C44" s="37" t="str">
        <f>'Translate&amp;Prices&amp;Logo'!B554</f>
        <v>Półnakładany</v>
      </c>
      <c r="D44" s="32" t="str">
        <f t="shared" si="0"/>
        <v>široký_HETTICH_Polonaložený</v>
      </c>
      <c r="E44" s="37" t="str">
        <f>'Translate&amp;Prices&amp;Logo'!$B$583</f>
        <v>ze sprężyną bez tłumienia</v>
      </c>
      <c r="F44" s="34" t="str">
        <f>'Translate&amp;Prices&amp;Logo'!$B$585</f>
        <v>srebro</v>
      </c>
      <c r="G44" s="34" t="str">
        <f t="shared" si="10"/>
        <v>232347 - Półnakładany ze sprężyną bez tłumienia - srebro</v>
      </c>
      <c r="H44" s="35" t="s">
        <v>1103</v>
      </c>
      <c r="I44" s="35">
        <v>232347</v>
      </c>
      <c r="J44" s="35" t="s">
        <v>1103</v>
      </c>
      <c r="K44" s="35">
        <v>106403</v>
      </c>
      <c r="L44" s="35" t="str">
        <f t="shared" si="2"/>
        <v>krzyżakowy, wkręt - 106403</v>
      </c>
      <c r="M44" s="35" t="s">
        <v>2122</v>
      </c>
      <c r="N44" s="35" t="str">
        <f t="shared" si="3"/>
        <v>na wkręt (z mimośrodem) - N/A</v>
      </c>
      <c r="O44" s="35">
        <v>119240</v>
      </c>
      <c r="P44" s="35" t="str">
        <f t="shared" si="4"/>
        <v>krzyżakowy eurowkręt - 119240</v>
      </c>
      <c r="Q44" s="35">
        <v>136276</v>
      </c>
      <c r="R44" s="35" t="str">
        <f t="shared" si="5"/>
        <v>krzyżakowy expando - 136276</v>
      </c>
      <c r="S44" s="35">
        <v>300319</v>
      </c>
      <c r="T44" s="35" t="str">
        <f t="shared" si="6"/>
        <v>prosty wkręt - 300319</v>
      </c>
      <c r="U44" s="35" t="s">
        <v>2122</v>
      </c>
      <c r="V44" s="35" t="str">
        <f t="shared" si="7"/>
        <v>prosty eurowkręt - N/A</v>
      </c>
      <c r="W44" s="35" t="s">
        <v>2122</v>
      </c>
      <c r="X44" s="35" t="str">
        <f t="shared" si="8"/>
        <v>prosty expando - N/A</v>
      </c>
      <c r="Y44" s="34"/>
      <c r="Z44" s="34"/>
    </row>
    <row r="45" spans="1:26" ht="14.4">
      <c r="A45" s="37" t="s">
        <v>1105</v>
      </c>
      <c r="B45" s="37" t="s">
        <v>567</v>
      </c>
      <c r="C45" s="37" t="str">
        <f>'Translate&amp;Prices&amp;Logo'!B554</f>
        <v>Półnakładany</v>
      </c>
      <c r="D45" s="32" t="str">
        <f t="shared" si="0"/>
        <v>široký_HETTICH_Polonaložený</v>
      </c>
      <c r="E45" s="37" t="str">
        <f>'Translate&amp;Prices&amp;Logo'!$B$584</f>
        <v>tip-on bez sprężyny/tłumienie</v>
      </c>
      <c r="F45" s="34" t="str">
        <f>'Translate&amp;Prices&amp;Logo'!$B$585</f>
        <v>srebro</v>
      </c>
      <c r="G45" s="34" t="str">
        <f t="shared" si="10"/>
        <v>245724 - Półnakładany tip-on bez sprężyny/tłumienie - srebro</v>
      </c>
      <c r="H45" s="35" t="s">
        <v>1103</v>
      </c>
      <c r="I45" s="35">
        <v>245724</v>
      </c>
      <c r="J45" s="35" t="s">
        <v>1103</v>
      </c>
      <c r="K45" s="35">
        <v>106403</v>
      </c>
      <c r="L45" s="35" t="str">
        <f t="shared" si="2"/>
        <v>krzyżakowy, wkręt - 106403</v>
      </c>
      <c r="M45" s="35" t="s">
        <v>2122</v>
      </c>
      <c r="N45" s="35" t="str">
        <f t="shared" si="3"/>
        <v>na wkręt (z mimośrodem) - N/A</v>
      </c>
      <c r="O45" s="35">
        <v>119240</v>
      </c>
      <c r="P45" s="35" t="str">
        <f t="shared" si="4"/>
        <v>krzyżakowy eurowkręt - 119240</v>
      </c>
      <c r="Q45" s="35">
        <v>136276</v>
      </c>
      <c r="R45" s="35" t="str">
        <f t="shared" si="5"/>
        <v>krzyżakowy expando - 136276</v>
      </c>
      <c r="S45" s="35">
        <v>300319</v>
      </c>
      <c r="T45" s="35" t="str">
        <f t="shared" si="6"/>
        <v>prosty wkręt - 300319</v>
      </c>
      <c r="U45" s="35" t="s">
        <v>2122</v>
      </c>
      <c r="V45" s="35" t="str">
        <f t="shared" si="7"/>
        <v>prosty eurowkręt - N/A</v>
      </c>
      <c r="W45" s="35" t="s">
        <v>2122</v>
      </c>
      <c r="X45" s="35" t="str">
        <f t="shared" si="8"/>
        <v>prosty expando - N/A</v>
      </c>
      <c r="Y45" s="34"/>
      <c r="Z45" s="34"/>
    </row>
    <row r="46" spans="1:26" ht="14.4">
      <c r="A46" s="37" t="s">
        <v>1105</v>
      </c>
      <c r="B46" s="37" t="s">
        <v>567</v>
      </c>
      <c r="C46" s="37" t="str">
        <f>'Translate&amp;Prices&amp;Logo'!B554</f>
        <v>Półnakładany</v>
      </c>
      <c r="D46" s="32" t="str">
        <f t="shared" si="0"/>
        <v>široký_HETTICH_Polonaložený</v>
      </c>
      <c r="E46" s="37" t="str">
        <f>'Translate&amp;Prices&amp;Logo'!$B$584</f>
        <v>tip-on bez sprężyny/tłumienie</v>
      </c>
      <c r="F46" s="34" t="str">
        <f>'Translate&amp;Prices&amp;Logo'!$B$586</f>
        <v>czarny</v>
      </c>
      <c r="G46" s="34" t="str">
        <f t="shared" si="10"/>
        <v>344695 - Półnakładany tip-on bez sprężyny/tłumienie - czarny</v>
      </c>
      <c r="H46" s="35" t="s">
        <v>1103</v>
      </c>
      <c r="I46" s="35">
        <v>344695</v>
      </c>
      <c r="J46" s="35" t="s">
        <v>1103</v>
      </c>
      <c r="K46" s="35" t="s">
        <v>2122</v>
      </c>
      <c r="L46" s="35" t="str">
        <f t="shared" si="2"/>
        <v>krzyżakowy, wkręt - N/A</v>
      </c>
      <c r="M46" s="35" t="s">
        <v>2122</v>
      </c>
      <c r="N46" s="35" t="str">
        <f t="shared" si="3"/>
        <v>na wkręt (z mimośrodem) - N/A</v>
      </c>
      <c r="O46" s="35">
        <v>344723</v>
      </c>
      <c r="P46" s="35" t="str">
        <f t="shared" si="4"/>
        <v>krzyżakowy eurowkręt - 344723</v>
      </c>
      <c r="Q46" s="35">
        <v>344727</v>
      </c>
      <c r="R46" s="35" t="str">
        <f t="shared" si="5"/>
        <v>krzyżakowy expando - 344727</v>
      </c>
      <c r="S46" s="35">
        <v>397949</v>
      </c>
      <c r="T46" s="35" t="str">
        <f t="shared" si="6"/>
        <v>prosty wkręt - 397949</v>
      </c>
      <c r="U46" s="35" t="s">
        <v>2122</v>
      </c>
      <c r="V46" s="35" t="str">
        <f t="shared" si="7"/>
        <v>prosty eurowkręt - N/A</v>
      </c>
      <c r="W46" s="35" t="s">
        <v>2122</v>
      </c>
      <c r="X46" s="35" t="str">
        <f t="shared" si="8"/>
        <v>prosty expando - N/A</v>
      </c>
      <c r="Y46" s="34"/>
      <c r="Z46" s="34"/>
    </row>
    <row r="47" spans="1:26" ht="14.4">
      <c r="A47" s="34" t="s">
        <v>1105</v>
      </c>
      <c r="B47" s="34" t="s">
        <v>567</v>
      </c>
      <c r="C47" s="34" t="str">
        <f>'Translate&amp;Prices&amp;Logo'!B555</f>
        <v>Wpuszczany</v>
      </c>
      <c r="D47" s="32" t="str">
        <f t="shared" si="0"/>
        <v>široký_HETTICH_Vložený</v>
      </c>
      <c r="E47" s="34" t="str">
        <f>'Translate&amp;Prices&amp;Logo'!$B$582</f>
        <v>ze sprężyną z tłumieniem</v>
      </c>
      <c r="F47" s="34" t="str">
        <f>'Translate&amp;Prices&amp;Logo'!$B$585</f>
        <v>srebro</v>
      </c>
      <c r="G47" s="34" t="str">
        <f t="shared" si="10"/>
        <v>104719 - Wpuszczany ze sprężyną z tłumieniem - srebro</v>
      </c>
      <c r="H47" s="35" t="s">
        <v>1103</v>
      </c>
      <c r="I47" s="35">
        <v>104719</v>
      </c>
      <c r="J47" s="35" t="s">
        <v>1103</v>
      </c>
      <c r="K47" s="35">
        <v>106403</v>
      </c>
      <c r="L47" s="35" t="str">
        <f t="shared" si="2"/>
        <v>krzyżakowy, wkręt - 106403</v>
      </c>
      <c r="M47" s="35" t="s">
        <v>2122</v>
      </c>
      <c r="N47" s="35" t="str">
        <f t="shared" si="3"/>
        <v>na wkręt (z mimośrodem) - N/A</v>
      </c>
      <c r="O47" s="35">
        <v>119240</v>
      </c>
      <c r="P47" s="35" t="str">
        <f t="shared" si="4"/>
        <v>krzyżakowy eurowkręt - 119240</v>
      </c>
      <c r="Q47" s="35">
        <v>136276</v>
      </c>
      <c r="R47" s="35" t="str">
        <f t="shared" si="5"/>
        <v>krzyżakowy expando - 136276</v>
      </c>
      <c r="S47" s="35">
        <v>300319</v>
      </c>
      <c r="T47" s="35" t="str">
        <f t="shared" si="6"/>
        <v>prosty wkręt - 300319</v>
      </c>
      <c r="U47" s="35" t="s">
        <v>2122</v>
      </c>
      <c r="V47" s="35" t="str">
        <f t="shared" si="7"/>
        <v>prosty eurowkręt - N/A</v>
      </c>
      <c r="W47" s="35" t="s">
        <v>2122</v>
      </c>
      <c r="X47" s="35" t="str">
        <f t="shared" si="8"/>
        <v>prosty expando - N/A</v>
      </c>
      <c r="Y47" s="34"/>
      <c r="Z47" s="34"/>
    </row>
    <row r="48" spans="1:26" ht="14.4">
      <c r="A48" s="34" t="s">
        <v>1105</v>
      </c>
      <c r="B48" s="34" t="s">
        <v>567</v>
      </c>
      <c r="C48" s="34" t="str">
        <f>'Translate&amp;Prices&amp;Logo'!B555</f>
        <v>Wpuszczany</v>
      </c>
      <c r="D48" s="32" t="str">
        <f t="shared" si="0"/>
        <v>široký_HETTICH_Vložený</v>
      </c>
      <c r="E48" s="34" t="str">
        <f>'Translate&amp;Prices&amp;Logo'!$B$582</f>
        <v>ze sprężyną z tłumieniem</v>
      </c>
      <c r="F48" s="34" t="str">
        <f>'Translate&amp;Prices&amp;Logo'!$B$586</f>
        <v>czarny</v>
      </c>
      <c r="G48" s="34" t="str">
        <f t="shared" si="10"/>
        <v>344693 - Wpuszczany ze sprężyną z tłumieniem - czarny</v>
      </c>
      <c r="H48" s="35" t="s">
        <v>1103</v>
      </c>
      <c r="I48" s="35">
        <v>344693</v>
      </c>
      <c r="J48" s="35" t="s">
        <v>1103</v>
      </c>
      <c r="K48" s="35" t="s">
        <v>2122</v>
      </c>
      <c r="L48" s="35" t="str">
        <f t="shared" si="2"/>
        <v>krzyżakowy, wkręt - N/A</v>
      </c>
      <c r="M48" s="35" t="s">
        <v>2122</v>
      </c>
      <c r="N48" s="35" t="str">
        <f t="shared" si="3"/>
        <v>na wkręt (z mimośrodem) - N/A</v>
      </c>
      <c r="O48" s="35">
        <v>344723</v>
      </c>
      <c r="P48" s="35" t="str">
        <f t="shared" si="4"/>
        <v>krzyżakowy eurowkręt - 344723</v>
      </c>
      <c r="Q48" s="35">
        <v>344727</v>
      </c>
      <c r="R48" s="35" t="str">
        <f t="shared" si="5"/>
        <v>krzyżakowy expando - 344727</v>
      </c>
      <c r="S48" s="35">
        <v>397949</v>
      </c>
      <c r="T48" s="35" t="str">
        <f t="shared" si="6"/>
        <v>prosty wkręt - 397949</v>
      </c>
      <c r="U48" s="35" t="s">
        <v>2122</v>
      </c>
      <c r="V48" s="35" t="str">
        <f t="shared" si="7"/>
        <v>prosty eurowkręt - N/A</v>
      </c>
      <c r="W48" s="35" t="s">
        <v>2122</v>
      </c>
      <c r="X48" s="35" t="str">
        <f t="shared" si="8"/>
        <v>prosty expando - N/A</v>
      </c>
      <c r="Y48" s="34"/>
      <c r="Z48" s="34"/>
    </row>
    <row r="49" spans="1:26" ht="14.4">
      <c r="A49" s="34" t="s">
        <v>1105</v>
      </c>
      <c r="B49" s="34" t="s">
        <v>567</v>
      </c>
      <c r="C49" s="34" t="str">
        <f>'Translate&amp;Prices&amp;Logo'!B555</f>
        <v>Wpuszczany</v>
      </c>
      <c r="D49" s="32" t="str">
        <f t="shared" si="0"/>
        <v>široký_HETTICH_Vložený</v>
      </c>
      <c r="E49" s="34" t="str">
        <f>'Translate&amp;Prices&amp;Logo'!$B$583</f>
        <v>ze sprężyną bez tłumienia</v>
      </c>
      <c r="F49" s="34" t="str">
        <f>'Translate&amp;Prices&amp;Logo'!$B$585</f>
        <v>srebro</v>
      </c>
      <c r="G49" s="34" t="str">
        <f t="shared" si="10"/>
        <v>232348 - Wpuszczany ze sprężyną bez tłumienia - srebro</v>
      </c>
      <c r="H49" s="35" t="s">
        <v>1103</v>
      </c>
      <c r="I49" s="35">
        <v>232348</v>
      </c>
      <c r="J49" s="35" t="s">
        <v>1103</v>
      </c>
      <c r="K49" s="35">
        <v>106403</v>
      </c>
      <c r="L49" s="35" t="str">
        <f t="shared" si="2"/>
        <v>krzyżakowy, wkręt - 106403</v>
      </c>
      <c r="M49" s="35" t="s">
        <v>2122</v>
      </c>
      <c r="N49" s="35" t="str">
        <f t="shared" si="3"/>
        <v>na wkręt (z mimośrodem) - N/A</v>
      </c>
      <c r="O49" s="35">
        <v>119240</v>
      </c>
      <c r="P49" s="35" t="str">
        <f t="shared" si="4"/>
        <v>krzyżakowy eurowkręt - 119240</v>
      </c>
      <c r="Q49" s="35">
        <v>136276</v>
      </c>
      <c r="R49" s="35" t="str">
        <f t="shared" si="5"/>
        <v>krzyżakowy expando - 136276</v>
      </c>
      <c r="S49" s="35">
        <v>300319</v>
      </c>
      <c r="T49" s="35" t="str">
        <f t="shared" si="6"/>
        <v>prosty wkręt - 300319</v>
      </c>
      <c r="U49" s="35" t="s">
        <v>2122</v>
      </c>
      <c r="V49" s="35" t="str">
        <f t="shared" si="7"/>
        <v>prosty eurowkręt - N/A</v>
      </c>
      <c r="W49" s="35" t="s">
        <v>2122</v>
      </c>
      <c r="X49" s="35" t="str">
        <f t="shared" si="8"/>
        <v>prosty expando - N/A</v>
      </c>
      <c r="Y49" s="34"/>
      <c r="Z49" s="34"/>
    </row>
    <row r="50" spans="1:26" ht="14.4">
      <c r="A50" s="34" t="s">
        <v>1105</v>
      </c>
      <c r="B50" s="34" t="s">
        <v>567</v>
      </c>
      <c r="C50" s="34" t="str">
        <f>'Translate&amp;Prices&amp;Logo'!B555</f>
        <v>Wpuszczany</v>
      </c>
      <c r="D50" s="32" t="str">
        <f t="shared" si="0"/>
        <v>široký_HETTICH_Vložený</v>
      </c>
      <c r="E50" s="34" t="str">
        <f>'Translate&amp;Prices&amp;Logo'!$B$584</f>
        <v>tip-on bez sprężyny/tłumienie</v>
      </c>
      <c r="F50" s="34" t="str">
        <f>'Translate&amp;Prices&amp;Logo'!$B$585</f>
        <v>srebro</v>
      </c>
      <c r="G50" s="34" t="str">
        <f t="shared" si="10"/>
        <v>245725 - Wpuszczany tip-on bez sprężyny/tłumienie - srebro</v>
      </c>
      <c r="H50" s="35" t="s">
        <v>1103</v>
      </c>
      <c r="I50" s="35">
        <v>245725</v>
      </c>
      <c r="J50" s="35" t="s">
        <v>1103</v>
      </c>
      <c r="K50" s="35">
        <v>106403</v>
      </c>
      <c r="L50" s="35" t="str">
        <f t="shared" si="2"/>
        <v>krzyżakowy, wkręt - 106403</v>
      </c>
      <c r="M50" s="35" t="s">
        <v>2122</v>
      </c>
      <c r="N50" s="35" t="str">
        <f t="shared" si="3"/>
        <v>na wkręt (z mimośrodem) - N/A</v>
      </c>
      <c r="O50" s="35">
        <v>119240</v>
      </c>
      <c r="P50" s="35" t="str">
        <f t="shared" si="4"/>
        <v>krzyżakowy eurowkręt - 119240</v>
      </c>
      <c r="Q50" s="35">
        <v>136276</v>
      </c>
      <c r="R50" s="35" t="str">
        <f t="shared" si="5"/>
        <v>krzyżakowy expando - 136276</v>
      </c>
      <c r="S50" s="35">
        <v>300319</v>
      </c>
      <c r="T50" s="35" t="str">
        <f t="shared" si="6"/>
        <v>prosty wkręt - 300319</v>
      </c>
      <c r="U50" s="35" t="s">
        <v>2122</v>
      </c>
      <c r="V50" s="35" t="str">
        <f t="shared" si="7"/>
        <v>prosty eurowkręt - N/A</v>
      </c>
      <c r="W50" s="35" t="s">
        <v>2122</v>
      </c>
      <c r="X50" s="35" t="str">
        <f t="shared" si="8"/>
        <v>prosty expando - N/A</v>
      </c>
      <c r="Y50" s="34"/>
      <c r="Z50" s="34"/>
    </row>
    <row r="51" spans="1:26" ht="14.4">
      <c r="A51" s="34" t="s">
        <v>1105</v>
      </c>
      <c r="B51" s="34" t="s">
        <v>567</v>
      </c>
      <c r="C51" s="34" t="str">
        <f>'Translate&amp;Prices&amp;Logo'!B555</f>
        <v>Wpuszczany</v>
      </c>
      <c r="D51" s="32" t="str">
        <f t="shared" si="0"/>
        <v>široký_HETTICH_Vložený</v>
      </c>
      <c r="E51" s="34" t="str">
        <f>'Translate&amp;Prices&amp;Logo'!$B$584</f>
        <v>tip-on bez sprężyny/tłumienie</v>
      </c>
      <c r="F51" s="34" t="str">
        <f>'Translate&amp;Prices&amp;Logo'!$B$586</f>
        <v>czarny</v>
      </c>
      <c r="G51" s="34" t="str">
        <f t="shared" si="10"/>
        <v>344696 - Wpuszczany tip-on bez sprężyny/tłumienie - czarny</v>
      </c>
      <c r="H51" s="35" t="s">
        <v>1103</v>
      </c>
      <c r="I51" s="35">
        <v>344696</v>
      </c>
      <c r="J51" s="35" t="s">
        <v>1103</v>
      </c>
      <c r="K51" s="35" t="s">
        <v>2122</v>
      </c>
      <c r="L51" s="35" t="str">
        <f t="shared" si="2"/>
        <v>krzyżakowy, wkręt - N/A</v>
      </c>
      <c r="M51" s="35" t="s">
        <v>2122</v>
      </c>
      <c r="N51" s="35" t="str">
        <f t="shared" si="3"/>
        <v>na wkręt (z mimośrodem) - N/A</v>
      </c>
      <c r="O51" s="35">
        <v>344723</v>
      </c>
      <c r="P51" s="35" t="str">
        <f t="shared" si="4"/>
        <v>krzyżakowy eurowkręt - 344723</v>
      </c>
      <c r="Q51" s="35">
        <v>344727</v>
      </c>
      <c r="R51" s="35" t="str">
        <f t="shared" si="5"/>
        <v>krzyżakowy expando - 344727</v>
      </c>
      <c r="S51" s="35">
        <v>397949</v>
      </c>
      <c r="T51" s="35" t="str">
        <f t="shared" si="6"/>
        <v>prosty wkręt - 397949</v>
      </c>
      <c r="U51" s="35" t="s">
        <v>2122</v>
      </c>
      <c r="V51" s="35" t="str">
        <f t="shared" si="7"/>
        <v>prosty eurowkręt - N/A</v>
      </c>
      <c r="W51" s="35" t="s">
        <v>2122</v>
      </c>
      <c r="X51" s="35" t="str">
        <f t="shared" si="8"/>
        <v>prosty expando - N/A</v>
      </c>
      <c r="Y51" s="34"/>
      <c r="Z51" s="34"/>
    </row>
    <row r="52" spans="1:26" ht="14.4">
      <c r="A52" s="37" t="s">
        <v>1105</v>
      </c>
      <c r="B52" s="37" t="s">
        <v>57</v>
      </c>
      <c r="C52" s="37" t="str">
        <f>'Translate&amp;Prices&amp;Logo'!B553</f>
        <v>Nakładany</v>
      </c>
      <c r="D52" s="32" t="str">
        <f t="shared" si="0"/>
        <v>široký_STRONG_Naložený</v>
      </c>
      <c r="E52" s="37" t="str">
        <f>'Translate&amp;Prices&amp;Logo'!$B$582</f>
        <v>ze sprężyną z tłumieniem</v>
      </c>
      <c r="F52" s="34" t="str">
        <f>'Translate&amp;Prices&amp;Logo'!$B$585</f>
        <v>srebro</v>
      </c>
      <c r="G52" s="34" t="str">
        <f t="shared" si="10"/>
        <v>92580T - Nakładany ze sprężyną z tłumieniem - srebro</v>
      </c>
      <c r="H52" s="35" t="s">
        <v>1103</v>
      </c>
      <c r="I52" s="35" t="s">
        <v>59</v>
      </c>
      <c r="J52" s="35" t="s">
        <v>1103</v>
      </c>
      <c r="K52" s="35" t="s">
        <v>58</v>
      </c>
      <c r="L52" s="35" t="str">
        <f>CONCATENATE($K$1," - ",K52)</f>
        <v>krzyżakowy, wkręt - 92590T</v>
      </c>
      <c r="M52" s="35" t="s">
        <v>62</v>
      </c>
      <c r="N52" s="35" t="str">
        <f t="shared" si="3"/>
        <v>na wkręt (z mimośrodem) - 92594T</v>
      </c>
      <c r="O52" s="35" t="s">
        <v>63</v>
      </c>
      <c r="P52" s="35" t="str">
        <f t="shared" si="4"/>
        <v>krzyżakowy eurowkręt - 92591T</v>
      </c>
      <c r="Q52" s="35" t="s">
        <v>2122</v>
      </c>
      <c r="R52" s="35" t="str">
        <f t="shared" si="5"/>
        <v>krzyżakowy expando - N/A</v>
      </c>
      <c r="S52" s="35" t="s">
        <v>2122</v>
      </c>
      <c r="T52" s="35" t="str">
        <f t="shared" si="6"/>
        <v>prosty wkręt - N/A</v>
      </c>
      <c r="U52" s="35" t="s">
        <v>2122</v>
      </c>
      <c r="V52" s="35" t="str">
        <f t="shared" si="7"/>
        <v>prosty eurowkręt - N/A</v>
      </c>
      <c r="W52" s="35" t="s">
        <v>2122</v>
      </c>
      <c r="X52" s="35" t="str">
        <f t="shared" si="8"/>
        <v>prosty expando - N/A</v>
      </c>
      <c r="Y52" s="34"/>
      <c r="Z52" s="34"/>
    </row>
    <row r="53" spans="1:26" ht="14.4">
      <c r="A53" s="37" t="s">
        <v>1105</v>
      </c>
      <c r="B53" s="37" t="s">
        <v>57</v>
      </c>
      <c r="C53" s="37" t="str">
        <f>'Translate&amp;Prices&amp;Logo'!B553</f>
        <v>Nakładany</v>
      </c>
      <c r="D53" s="32" t="str">
        <f t="shared" si="0"/>
        <v>široký_STRONG_Naložený</v>
      </c>
      <c r="E53" s="37" t="str">
        <f>'Translate&amp;Prices&amp;Logo'!$B$583</f>
        <v>ze sprężyną bez tłumienia</v>
      </c>
      <c r="F53" s="34" t="str">
        <f>'Translate&amp;Prices&amp;Logo'!$B$585</f>
        <v>srebro</v>
      </c>
      <c r="G53" s="34" t="str">
        <f t="shared" si="10"/>
        <v>198818 - Nakładany ze sprężyną bez tłumienia - srebro</v>
      </c>
      <c r="H53" s="35" t="s">
        <v>1103</v>
      </c>
      <c r="I53" s="35">
        <v>198818</v>
      </c>
      <c r="J53" s="35" t="s">
        <v>1103</v>
      </c>
      <c r="K53" s="35" t="s">
        <v>58</v>
      </c>
      <c r="L53" s="35" t="str">
        <f>CONCATENATE($K$1," - ",K53)</f>
        <v>krzyżakowy, wkręt - 92590T</v>
      </c>
      <c r="M53" s="35" t="s">
        <v>62</v>
      </c>
      <c r="N53" s="35" t="str">
        <f t="shared" si="3"/>
        <v>na wkręt (z mimośrodem) - 92594T</v>
      </c>
      <c r="O53" s="35" t="s">
        <v>63</v>
      </c>
      <c r="P53" s="35" t="str">
        <f t="shared" si="4"/>
        <v>krzyżakowy eurowkręt - 92591T</v>
      </c>
      <c r="Q53" s="35" t="s">
        <v>2122</v>
      </c>
      <c r="R53" s="35" t="str">
        <f t="shared" si="5"/>
        <v>krzyżakowy expando - N/A</v>
      </c>
      <c r="S53" s="35" t="s">
        <v>2122</v>
      </c>
      <c r="T53" s="35" t="str">
        <f t="shared" si="6"/>
        <v>prosty wkręt - N/A</v>
      </c>
      <c r="U53" s="35" t="s">
        <v>2122</v>
      </c>
      <c r="V53" s="35" t="str">
        <f t="shared" si="7"/>
        <v>prosty eurowkręt - N/A</v>
      </c>
      <c r="W53" s="35" t="s">
        <v>2122</v>
      </c>
      <c r="X53" s="35" t="str">
        <f t="shared" si="8"/>
        <v>prosty expando - N/A</v>
      </c>
      <c r="Y53" s="34"/>
      <c r="Z53" s="34"/>
    </row>
    <row r="54" spans="1:26" ht="14.4">
      <c r="A54" s="34" t="s">
        <v>1105</v>
      </c>
      <c r="B54" s="34" t="s">
        <v>57</v>
      </c>
      <c r="C54" s="34" t="str">
        <f>'Translate&amp;Prices&amp;Logo'!B554</f>
        <v>Półnakładany</v>
      </c>
      <c r="D54" s="32" t="str">
        <f t="shared" si="0"/>
        <v>široký_STRONG_Polonaložený</v>
      </c>
      <c r="E54" s="34" t="str">
        <f>'Translate&amp;Prices&amp;Logo'!$B$582</f>
        <v>ze sprężyną z tłumieniem</v>
      </c>
      <c r="F54" s="34" t="str">
        <f>'Translate&amp;Prices&amp;Logo'!$B$585</f>
        <v>srebro</v>
      </c>
      <c r="G54" s="34" t="str">
        <f t="shared" si="10"/>
        <v>92581T - Półnakładany ze sprężyną z tłumieniem - srebro</v>
      </c>
      <c r="H54" s="35" t="s">
        <v>1103</v>
      </c>
      <c r="I54" s="35" t="s">
        <v>60</v>
      </c>
      <c r="J54" s="35" t="s">
        <v>1103</v>
      </c>
      <c r="K54" s="35" t="s">
        <v>58</v>
      </c>
      <c r="L54" s="35" t="str">
        <f>CONCATENATE($K$1," - ",K54)</f>
        <v>krzyżakowy, wkręt - 92590T</v>
      </c>
      <c r="M54" s="35" t="s">
        <v>62</v>
      </c>
      <c r="N54" s="35" t="str">
        <f t="shared" si="3"/>
        <v>na wkręt (z mimośrodem) - 92594T</v>
      </c>
      <c r="O54" s="35" t="s">
        <v>63</v>
      </c>
      <c r="P54" s="35" t="str">
        <f t="shared" si="4"/>
        <v>krzyżakowy eurowkręt - 92591T</v>
      </c>
      <c r="Q54" s="35" t="s">
        <v>2122</v>
      </c>
      <c r="R54" s="35" t="str">
        <f t="shared" si="5"/>
        <v>krzyżakowy expando - N/A</v>
      </c>
      <c r="S54" s="35" t="s">
        <v>2122</v>
      </c>
      <c r="T54" s="35" t="str">
        <f t="shared" si="6"/>
        <v>prosty wkręt - N/A</v>
      </c>
      <c r="U54" s="35" t="s">
        <v>2122</v>
      </c>
      <c r="V54" s="35" t="str">
        <f t="shared" si="7"/>
        <v>prosty eurowkręt - N/A</v>
      </c>
      <c r="W54" s="35" t="s">
        <v>2122</v>
      </c>
      <c r="X54" s="35" t="str">
        <f t="shared" si="8"/>
        <v>prosty expando - N/A</v>
      </c>
      <c r="Y54" s="34"/>
      <c r="Z54" s="34"/>
    </row>
    <row r="55" spans="1:26" ht="14.4">
      <c r="A55" s="34" t="s">
        <v>1105</v>
      </c>
      <c r="B55" s="34" t="s">
        <v>57</v>
      </c>
      <c r="C55" s="34" t="str">
        <f>'Translate&amp;Prices&amp;Logo'!B554</f>
        <v>Półnakładany</v>
      </c>
      <c r="D55" s="32" t="str">
        <f t="shared" si="0"/>
        <v>široký_STRONG_Polonaložený</v>
      </c>
      <c r="E55" s="34" t="str">
        <f>'Translate&amp;Prices&amp;Logo'!$B$583</f>
        <v>ze sprężyną bez tłumienia</v>
      </c>
      <c r="F55" s="34" t="str">
        <f>'Translate&amp;Prices&amp;Logo'!$B$585</f>
        <v>srebro</v>
      </c>
      <c r="G55" s="34" t="str">
        <f t="shared" si="10"/>
        <v>198819 - Półnakładany ze sprężyną bez tłumienia - srebro</v>
      </c>
      <c r="H55" s="35" t="s">
        <v>1103</v>
      </c>
      <c r="I55" s="35">
        <v>198819</v>
      </c>
      <c r="J55" s="35" t="s">
        <v>1103</v>
      </c>
      <c r="K55" s="35" t="s">
        <v>58</v>
      </c>
      <c r="L55" s="35" t="str">
        <f>CONCATENATE($K$1," - ",K55)</f>
        <v>krzyżakowy, wkręt - 92590T</v>
      </c>
      <c r="M55" s="35" t="s">
        <v>62</v>
      </c>
      <c r="N55" s="35" t="str">
        <f t="shared" si="3"/>
        <v>na wkręt (z mimośrodem) - 92594T</v>
      </c>
      <c r="O55" s="35" t="s">
        <v>63</v>
      </c>
      <c r="P55" s="35" t="str">
        <f t="shared" si="4"/>
        <v>krzyżakowy eurowkręt - 92591T</v>
      </c>
      <c r="Q55" s="35" t="s">
        <v>2122</v>
      </c>
      <c r="R55" s="35" t="str">
        <f t="shared" si="5"/>
        <v>krzyżakowy expando - N/A</v>
      </c>
      <c r="S55" s="35" t="s">
        <v>2122</v>
      </c>
      <c r="T55" s="35" t="str">
        <f t="shared" si="6"/>
        <v>prosty wkręt - N/A</v>
      </c>
      <c r="U55" s="35" t="s">
        <v>2122</v>
      </c>
      <c r="V55" s="35" t="str">
        <f t="shared" si="7"/>
        <v>prosty eurowkręt - N/A</v>
      </c>
      <c r="W55" s="35" t="s">
        <v>2122</v>
      </c>
      <c r="X55" s="35" t="str">
        <f t="shared" si="8"/>
        <v>prosty expando - N/A</v>
      </c>
      <c r="Y55" s="34"/>
      <c r="Z55" s="34"/>
    </row>
    <row r="56" spans="1:26" ht="14.4">
      <c r="A56" s="37" t="s">
        <v>1105</v>
      </c>
      <c r="B56" s="37" t="s">
        <v>57</v>
      </c>
      <c r="C56" s="37" t="str">
        <f>'Translate&amp;Prices&amp;Logo'!B555</f>
        <v>Wpuszczany</v>
      </c>
      <c r="D56" s="32" t="str">
        <f t="shared" si="0"/>
        <v>široký_STRONG_Vložený</v>
      </c>
      <c r="E56" s="37" t="str">
        <f>'Translate&amp;Prices&amp;Logo'!$B$582</f>
        <v>ze sprężyną z tłumieniem</v>
      </c>
      <c r="F56" s="34" t="str">
        <f>'Translate&amp;Prices&amp;Logo'!$B$585</f>
        <v>srebro</v>
      </c>
      <c r="G56" s="34" t="str">
        <f t="shared" si="10"/>
        <v>92582T - Wpuszczany ze sprężyną z tłumieniem - srebro</v>
      </c>
      <c r="H56" s="35" t="s">
        <v>1103</v>
      </c>
      <c r="I56" s="35" t="s">
        <v>61</v>
      </c>
      <c r="J56" s="35" t="s">
        <v>1103</v>
      </c>
      <c r="K56" s="35" t="s">
        <v>77</v>
      </c>
      <c r="L56" s="35" t="str">
        <f t="shared" si="2"/>
        <v>krzyżakowy, wkręt - 92592T</v>
      </c>
      <c r="M56" s="35">
        <v>397954</v>
      </c>
      <c r="N56" s="35" t="str">
        <f t="shared" si="3"/>
        <v>na wkręt (z mimośrodem) - 397954</v>
      </c>
      <c r="O56" s="35" t="s">
        <v>76</v>
      </c>
      <c r="P56" s="35" t="str">
        <f t="shared" si="4"/>
        <v>krzyżakowy eurowkręt - 92593T</v>
      </c>
      <c r="Q56" s="35" t="s">
        <v>2122</v>
      </c>
      <c r="R56" s="35" t="str">
        <f t="shared" si="5"/>
        <v>krzyżakowy expando - N/A</v>
      </c>
      <c r="S56" s="35" t="s">
        <v>2122</v>
      </c>
      <c r="T56" s="35" t="str">
        <f t="shared" si="6"/>
        <v>prosty wkręt - N/A</v>
      </c>
      <c r="U56" s="35" t="s">
        <v>2122</v>
      </c>
      <c r="V56" s="35" t="str">
        <f t="shared" si="7"/>
        <v>prosty eurowkręt - N/A</v>
      </c>
      <c r="W56" s="35" t="s">
        <v>2122</v>
      </c>
      <c r="X56" s="35" t="str">
        <f t="shared" si="8"/>
        <v>prosty expando - N/A</v>
      </c>
      <c r="Y56" s="34"/>
      <c r="Z56" s="34"/>
    </row>
    <row r="57" spans="1:26" ht="14.4">
      <c r="A57" s="37" t="s">
        <v>1105</v>
      </c>
      <c r="B57" s="37" t="s">
        <v>57</v>
      </c>
      <c r="C57" s="37" t="str">
        <f>'Translate&amp;Prices&amp;Logo'!B555</f>
        <v>Wpuszczany</v>
      </c>
      <c r="D57" s="32" t="str">
        <f t="shared" si="0"/>
        <v>široký_STRONG_Vložený</v>
      </c>
      <c r="E57" s="37" t="str">
        <f>'Translate&amp;Prices&amp;Logo'!$B$583</f>
        <v>ze sprężyną bez tłumienia</v>
      </c>
      <c r="F57" s="34" t="str">
        <f>'Translate&amp;Prices&amp;Logo'!$B$585</f>
        <v>srebro</v>
      </c>
      <c r="G57" s="34" t="str">
        <f t="shared" si="10"/>
        <v>198820 - Wpuszczany ze sprężyną bez tłumienia - srebro</v>
      </c>
      <c r="H57" s="35" t="s">
        <v>1103</v>
      </c>
      <c r="I57" s="35">
        <v>198820</v>
      </c>
      <c r="J57" s="35" t="s">
        <v>1103</v>
      </c>
      <c r="K57" s="35" t="s">
        <v>77</v>
      </c>
      <c r="L57" s="35" t="str">
        <f t="shared" si="2"/>
        <v>krzyżakowy, wkręt - 92592T</v>
      </c>
      <c r="M57" s="35">
        <v>397954</v>
      </c>
      <c r="N57" s="35" t="str">
        <f t="shared" si="3"/>
        <v>na wkręt (z mimośrodem) - 397954</v>
      </c>
      <c r="O57" s="35" t="s">
        <v>76</v>
      </c>
      <c r="P57" s="35" t="str">
        <f t="shared" si="4"/>
        <v>krzyżakowy eurowkręt - 92593T</v>
      </c>
      <c r="Q57" s="35" t="s">
        <v>2122</v>
      </c>
      <c r="R57" s="35" t="str">
        <f t="shared" si="5"/>
        <v>krzyżakowy expando - N/A</v>
      </c>
      <c r="S57" s="35" t="s">
        <v>2122</v>
      </c>
      <c r="T57" s="35" t="str">
        <f t="shared" si="6"/>
        <v>prosty wkręt - N/A</v>
      </c>
      <c r="U57" s="35" t="s">
        <v>2122</v>
      </c>
      <c r="V57" s="35" t="str">
        <f t="shared" si="7"/>
        <v>prosty eurowkręt - N/A</v>
      </c>
      <c r="W57" s="35" t="s">
        <v>2122</v>
      </c>
      <c r="X57" s="35" t="str">
        <f t="shared" si="8"/>
        <v>prosty expando - N/A</v>
      </c>
      <c r="Y57" s="34"/>
      <c r="Z57" s="34"/>
    </row>
    <row r="58" spans="1:26" ht="14.4">
      <c r="A58" s="34" t="s">
        <v>1105</v>
      </c>
      <c r="B58" s="34" t="s">
        <v>2352</v>
      </c>
      <c r="C58" s="34" t="str">
        <f>'Translate&amp;Prices&amp;Logo'!B553</f>
        <v>Nakładany</v>
      </c>
      <c r="D58" s="32" t="str">
        <f t="shared" si="0"/>
        <v>široký_STRONGHINGES_Naložený</v>
      </c>
      <c r="E58" s="34" t="str">
        <f>'Translate&amp;Prices&amp;Logo'!$B$582</f>
        <v>ze sprężyną z tłumieniem</v>
      </c>
      <c r="F58" s="34" t="str">
        <f>'Translate&amp;Prices&amp;Logo'!$B$585</f>
        <v>srebro</v>
      </c>
      <c r="G58" s="34" t="str">
        <f t="shared" si="10"/>
        <v>350827 - Nakładany ze sprężyną z tłumieniem - srebro</v>
      </c>
      <c r="H58" s="35" t="s">
        <v>1103</v>
      </c>
      <c r="I58" s="35">
        <v>350827</v>
      </c>
      <c r="J58" s="35" t="s">
        <v>1103</v>
      </c>
      <c r="K58" s="35">
        <v>92596</v>
      </c>
      <c r="L58" s="35" t="str">
        <f t="shared" si="2"/>
        <v>krzyżakowy, wkręt - 92596</v>
      </c>
      <c r="M58" s="35">
        <v>315856</v>
      </c>
      <c r="N58" s="35" t="str">
        <f t="shared" si="3"/>
        <v>na wkręt (z mimośrodem) - 315856</v>
      </c>
      <c r="O58" s="35">
        <v>92597</v>
      </c>
      <c r="P58" s="35" t="str">
        <f t="shared" si="4"/>
        <v>krzyżakowy eurowkręt - 92597</v>
      </c>
      <c r="Q58" s="35" t="s">
        <v>2122</v>
      </c>
      <c r="R58" s="35" t="str">
        <f t="shared" si="5"/>
        <v>krzyżakowy expando - N/A</v>
      </c>
      <c r="S58" s="35" t="s">
        <v>2122</v>
      </c>
      <c r="T58" s="35" t="str">
        <f t="shared" si="6"/>
        <v>prosty wkręt - N/A</v>
      </c>
      <c r="U58" s="35" t="s">
        <v>2122</v>
      </c>
      <c r="V58" s="35" t="str">
        <f t="shared" si="7"/>
        <v>prosty eurowkręt - N/A</v>
      </c>
      <c r="W58" s="35" t="s">
        <v>2122</v>
      </c>
      <c r="X58" s="35" t="str">
        <f t="shared" si="8"/>
        <v>prosty expando - N/A</v>
      </c>
      <c r="Y58" s="34"/>
      <c r="Z58" s="34"/>
    </row>
    <row r="59" spans="1:26" ht="14.4">
      <c r="A59" s="34" t="s">
        <v>1105</v>
      </c>
      <c r="B59" s="34" t="s">
        <v>2352</v>
      </c>
      <c r="C59" s="34" t="str">
        <f>'Translate&amp;Prices&amp;Logo'!B553</f>
        <v>Nakładany</v>
      </c>
      <c r="D59" s="32" t="str">
        <f t="shared" si="0"/>
        <v>široký_STRONGHINGES_Naložený</v>
      </c>
      <c r="E59" s="34" t="str">
        <f>'Translate&amp;Prices&amp;Logo'!$B$583</f>
        <v>ze sprężyną bez tłumienia</v>
      </c>
      <c r="F59" s="34" t="str">
        <f>'Translate&amp;Prices&amp;Logo'!$B$585</f>
        <v>srebro</v>
      </c>
      <c r="G59" s="34" t="str">
        <f t="shared" si="10"/>
        <v>350834 - Nakładany ze sprężyną bez tłumienia - srebro</v>
      </c>
      <c r="H59" s="35" t="s">
        <v>1103</v>
      </c>
      <c r="I59" s="35">
        <v>350834</v>
      </c>
      <c r="J59" s="35" t="s">
        <v>1103</v>
      </c>
      <c r="K59" s="35">
        <v>92596</v>
      </c>
      <c r="L59" s="35" t="str">
        <f t="shared" si="2"/>
        <v>krzyżakowy, wkręt - 92596</v>
      </c>
      <c r="M59" s="35">
        <v>315856</v>
      </c>
      <c r="N59" s="35" t="str">
        <f t="shared" si="3"/>
        <v>na wkręt (z mimośrodem) - 315856</v>
      </c>
      <c r="O59" s="35">
        <v>92597</v>
      </c>
      <c r="P59" s="35" t="str">
        <f t="shared" si="4"/>
        <v>krzyżakowy eurowkręt - 92597</v>
      </c>
      <c r="Q59" s="35" t="s">
        <v>2122</v>
      </c>
      <c r="R59" s="35" t="str">
        <f t="shared" si="5"/>
        <v>krzyżakowy expando - N/A</v>
      </c>
      <c r="S59" s="35" t="s">
        <v>2122</v>
      </c>
      <c r="T59" s="35" t="str">
        <f t="shared" si="6"/>
        <v>prosty wkręt - N/A</v>
      </c>
      <c r="U59" s="35" t="s">
        <v>2122</v>
      </c>
      <c r="V59" s="35" t="str">
        <f t="shared" si="7"/>
        <v>prosty eurowkręt - N/A</v>
      </c>
      <c r="W59" s="35" t="s">
        <v>2122</v>
      </c>
      <c r="X59" s="35" t="str">
        <f t="shared" si="8"/>
        <v>prosty expando - N/A</v>
      </c>
      <c r="Y59" s="34"/>
      <c r="Z59" s="34"/>
    </row>
    <row r="60" spans="1:26" ht="14.4">
      <c r="A60" s="34" t="s">
        <v>1105</v>
      </c>
      <c r="B60" s="34" t="s">
        <v>2352</v>
      </c>
      <c r="C60" s="34" t="str">
        <f>'Translate&amp;Prices&amp;Logo'!B553</f>
        <v>Nakładany</v>
      </c>
      <c r="D60" s="32" t="str">
        <f t="shared" si="0"/>
        <v>široký_STRONGHINGES_Naložený</v>
      </c>
      <c r="E60" s="34" t="str">
        <f>'Translate&amp;Prices&amp;Logo'!$B$584</f>
        <v>tip-on bez sprężyny/tłumienie</v>
      </c>
      <c r="F60" s="34" t="str">
        <f>'Translate&amp;Prices&amp;Logo'!$B$585</f>
        <v>srebro</v>
      </c>
      <c r="G60" s="34" t="str">
        <f t="shared" si="10"/>
        <v>350837 - Nakładany tip-on bez sprężyny/tłumienie - srebro</v>
      </c>
      <c r="H60" s="35" t="s">
        <v>1103</v>
      </c>
      <c r="I60" s="35">
        <v>350837</v>
      </c>
      <c r="J60" s="35" t="s">
        <v>1103</v>
      </c>
      <c r="K60" s="35">
        <v>92596</v>
      </c>
      <c r="L60" s="35" t="str">
        <f t="shared" si="2"/>
        <v>krzyżakowy, wkręt - 92596</v>
      </c>
      <c r="M60" s="35">
        <v>315856</v>
      </c>
      <c r="N60" s="35" t="str">
        <f t="shared" si="3"/>
        <v>na wkręt (z mimośrodem) - 315856</v>
      </c>
      <c r="O60" s="35">
        <v>92597</v>
      </c>
      <c r="P60" s="35" t="str">
        <f t="shared" si="4"/>
        <v>krzyżakowy eurowkręt - 92597</v>
      </c>
      <c r="Q60" s="35" t="s">
        <v>2122</v>
      </c>
      <c r="R60" s="35" t="str">
        <f t="shared" si="5"/>
        <v>krzyżakowy expando - N/A</v>
      </c>
      <c r="S60" s="35" t="s">
        <v>2122</v>
      </c>
      <c r="T60" s="35" t="str">
        <f t="shared" si="6"/>
        <v>prosty wkręt - N/A</v>
      </c>
      <c r="U60" s="35" t="s">
        <v>2122</v>
      </c>
      <c r="V60" s="35" t="str">
        <f t="shared" si="7"/>
        <v>prosty eurowkręt - N/A</v>
      </c>
      <c r="W60" s="35" t="s">
        <v>2122</v>
      </c>
      <c r="X60" s="35" t="str">
        <f t="shared" si="8"/>
        <v>prosty expando - N/A</v>
      </c>
      <c r="Y60" s="34"/>
      <c r="Z60" s="34"/>
    </row>
    <row r="61" spans="1:26" ht="14.4">
      <c r="A61" s="37" t="s">
        <v>1105</v>
      </c>
      <c r="B61" s="34" t="s">
        <v>2352</v>
      </c>
      <c r="C61" s="37" t="str">
        <f>'Translate&amp;Prices&amp;Logo'!B554</f>
        <v>Półnakładany</v>
      </c>
      <c r="D61" s="32" t="str">
        <f t="shared" si="0"/>
        <v>široký_STRONGHINGES_Polonaložený</v>
      </c>
      <c r="E61" s="37" t="str">
        <f>'Translate&amp;Prices&amp;Logo'!$B$582</f>
        <v>ze sprężyną z tłumieniem</v>
      </c>
      <c r="F61" s="34" t="str">
        <f>'Translate&amp;Prices&amp;Logo'!$B$585</f>
        <v>srebro</v>
      </c>
      <c r="G61" s="34" t="str">
        <f t="shared" si="10"/>
        <v>350828 - Półnakładany ze sprężyną z tłumieniem - srebro</v>
      </c>
      <c r="H61" s="35" t="s">
        <v>1103</v>
      </c>
      <c r="I61" s="35">
        <v>350828</v>
      </c>
      <c r="J61" s="35" t="s">
        <v>1103</v>
      </c>
      <c r="K61" s="35">
        <v>92596</v>
      </c>
      <c r="L61" s="35" t="str">
        <f t="shared" si="2"/>
        <v>krzyżakowy, wkręt - 92596</v>
      </c>
      <c r="M61" s="35">
        <v>315856</v>
      </c>
      <c r="N61" s="35" t="str">
        <f t="shared" si="3"/>
        <v>na wkręt (z mimośrodem) - 315856</v>
      </c>
      <c r="O61" s="35">
        <v>92597</v>
      </c>
      <c r="P61" s="35" t="str">
        <f t="shared" si="4"/>
        <v>krzyżakowy eurowkręt - 92597</v>
      </c>
      <c r="Q61" s="35" t="s">
        <v>2122</v>
      </c>
      <c r="R61" s="35" t="str">
        <f t="shared" si="5"/>
        <v>krzyżakowy expando - N/A</v>
      </c>
      <c r="S61" s="35" t="s">
        <v>2122</v>
      </c>
      <c r="T61" s="35" t="str">
        <f t="shared" si="6"/>
        <v>prosty wkręt - N/A</v>
      </c>
      <c r="U61" s="35" t="s">
        <v>2122</v>
      </c>
      <c r="V61" s="35" t="str">
        <f t="shared" si="7"/>
        <v>prosty eurowkręt - N/A</v>
      </c>
      <c r="W61" s="35" t="s">
        <v>2122</v>
      </c>
      <c r="X61" s="35" t="str">
        <f t="shared" si="8"/>
        <v>prosty expando - N/A</v>
      </c>
      <c r="Y61" s="34"/>
      <c r="Z61" s="34"/>
    </row>
    <row r="62" spans="1:26" ht="14.4">
      <c r="A62" s="37" t="s">
        <v>1105</v>
      </c>
      <c r="B62" s="34" t="s">
        <v>2352</v>
      </c>
      <c r="C62" s="37" t="str">
        <f>'Translate&amp;Prices&amp;Logo'!B554</f>
        <v>Półnakładany</v>
      </c>
      <c r="D62" s="32" t="str">
        <f t="shared" si="0"/>
        <v>široký_STRONGHINGES_Polonaložený</v>
      </c>
      <c r="E62" s="37" t="str">
        <f>'Translate&amp;Prices&amp;Logo'!$B$583</f>
        <v>ze sprężyną bez tłumienia</v>
      </c>
      <c r="F62" s="34" t="str">
        <f>'Translate&amp;Prices&amp;Logo'!$B$585</f>
        <v>srebro</v>
      </c>
      <c r="G62" s="34" t="str">
        <f t="shared" si="10"/>
        <v>350835 - Półnakładany ze sprężyną bez tłumienia - srebro</v>
      </c>
      <c r="H62" s="35" t="s">
        <v>1103</v>
      </c>
      <c r="I62" s="35">
        <v>350835</v>
      </c>
      <c r="J62" s="35" t="s">
        <v>1103</v>
      </c>
      <c r="K62" s="35">
        <v>92596</v>
      </c>
      <c r="L62" s="35" t="str">
        <f t="shared" si="2"/>
        <v>krzyżakowy, wkręt - 92596</v>
      </c>
      <c r="M62" s="35">
        <v>315856</v>
      </c>
      <c r="N62" s="35" t="str">
        <f t="shared" si="3"/>
        <v>na wkręt (z mimośrodem) - 315856</v>
      </c>
      <c r="O62" s="35">
        <v>92597</v>
      </c>
      <c r="P62" s="35" t="str">
        <f t="shared" si="4"/>
        <v>krzyżakowy eurowkręt - 92597</v>
      </c>
      <c r="Q62" s="35" t="s">
        <v>2122</v>
      </c>
      <c r="R62" s="35" t="str">
        <f t="shared" si="5"/>
        <v>krzyżakowy expando - N/A</v>
      </c>
      <c r="S62" s="35" t="s">
        <v>2122</v>
      </c>
      <c r="T62" s="35" t="str">
        <f t="shared" si="6"/>
        <v>prosty wkręt - N/A</v>
      </c>
      <c r="U62" s="35" t="s">
        <v>2122</v>
      </c>
      <c r="V62" s="35" t="str">
        <f t="shared" si="7"/>
        <v>prosty eurowkręt - N/A</v>
      </c>
      <c r="W62" s="35" t="s">
        <v>2122</v>
      </c>
      <c r="X62" s="35" t="str">
        <f t="shared" si="8"/>
        <v>prosty expando - N/A</v>
      </c>
      <c r="Y62" s="34"/>
      <c r="Z62" s="34"/>
    </row>
    <row r="63" spans="1:26" ht="14.4">
      <c r="A63" s="37" t="s">
        <v>1105</v>
      </c>
      <c r="B63" s="34" t="s">
        <v>2352</v>
      </c>
      <c r="C63" s="37" t="str">
        <f>'Translate&amp;Prices&amp;Logo'!B554</f>
        <v>Półnakładany</v>
      </c>
      <c r="D63" s="32" t="str">
        <f t="shared" si="0"/>
        <v>široký_STRONGHINGES_Polonaložený</v>
      </c>
      <c r="E63" s="37" t="str">
        <f>'Translate&amp;Prices&amp;Logo'!$B$584</f>
        <v>tip-on bez sprężyny/tłumienie</v>
      </c>
      <c r="F63" s="34" t="str">
        <f>'Translate&amp;Prices&amp;Logo'!$B$585</f>
        <v>srebro</v>
      </c>
      <c r="G63" s="34" t="str">
        <f t="shared" si="10"/>
        <v>350838 - Półnakładany tip-on bez sprężyny/tłumienie - srebro</v>
      </c>
      <c r="H63" s="35" t="s">
        <v>1103</v>
      </c>
      <c r="I63" s="35">
        <v>350838</v>
      </c>
      <c r="J63" s="35" t="s">
        <v>1103</v>
      </c>
      <c r="K63" s="35">
        <v>92596</v>
      </c>
      <c r="L63" s="35" t="str">
        <f t="shared" si="2"/>
        <v>krzyżakowy, wkręt - 92596</v>
      </c>
      <c r="M63" s="35">
        <v>315856</v>
      </c>
      <c r="N63" s="35" t="str">
        <f t="shared" si="3"/>
        <v>na wkręt (z mimośrodem) - 315856</v>
      </c>
      <c r="O63" s="35">
        <v>92597</v>
      </c>
      <c r="P63" s="35" t="str">
        <f t="shared" si="4"/>
        <v>krzyżakowy eurowkręt - 92597</v>
      </c>
      <c r="Q63" s="35" t="s">
        <v>2122</v>
      </c>
      <c r="R63" s="35" t="str">
        <f t="shared" si="5"/>
        <v>krzyżakowy expando - N/A</v>
      </c>
      <c r="S63" s="35" t="s">
        <v>2122</v>
      </c>
      <c r="T63" s="35" t="str">
        <f t="shared" si="6"/>
        <v>prosty wkręt - N/A</v>
      </c>
      <c r="U63" s="35" t="s">
        <v>2122</v>
      </c>
      <c r="V63" s="35" t="str">
        <f t="shared" si="7"/>
        <v>prosty eurowkręt - N/A</v>
      </c>
      <c r="W63" s="35" t="s">
        <v>2122</v>
      </c>
      <c r="X63" s="35" t="str">
        <f t="shared" si="8"/>
        <v>prosty expando - N/A</v>
      </c>
      <c r="Y63" s="34"/>
      <c r="Z63" s="34"/>
    </row>
    <row r="64" spans="1:26" ht="14.4">
      <c r="A64" s="34" t="s">
        <v>1105</v>
      </c>
      <c r="B64" s="34" t="s">
        <v>2352</v>
      </c>
      <c r="C64" s="34" t="str">
        <f>'Translate&amp;Prices&amp;Logo'!B555</f>
        <v>Wpuszczany</v>
      </c>
      <c r="D64" s="32" t="str">
        <f t="shared" si="0"/>
        <v>široký_STRONGHINGES_Vložený</v>
      </c>
      <c r="E64" s="34" t="str">
        <f>'Translate&amp;Prices&amp;Logo'!$B$582</f>
        <v>ze sprężyną z tłumieniem</v>
      </c>
      <c r="F64" s="34" t="str">
        <f>'Translate&amp;Prices&amp;Logo'!$B$585</f>
        <v>srebro</v>
      </c>
      <c r="G64" s="34" t="str">
        <f t="shared" si="10"/>
        <v>350829 - Wpuszczany ze sprężyną z tłumieniem - srebro</v>
      </c>
      <c r="H64" s="35" t="s">
        <v>1103</v>
      </c>
      <c r="I64" s="35">
        <v>350829</v>
      </c>
      <c r="J64" s="35" t="s">
        <v>1103</v>
      </c>
      <c r="K64" s="35">
        <v>92598</v>
      </c>
      <c r="L64" s="35" t="str">
        <f t="shared" si="2"/>
        <v>krzyżakowy, wkręt - 92598</v>
      </c>
      <c r="M64" s="35">
        <v>350868</v>
      </c>
      <c r="N64" s="35" t="str">
        <f t="shared" si="3"/>
        <v>na wkręt (z mimośrodem) - 350868</v>
      </c>
      <c r="O64" s="35">
        <v>92599</v>
      </c>
      <c r="P64" s="35" t="str">
        <f t="shared" si="4"/>
        <v>krzyżakowy eurowkręt - 92599</v>
      </c>
      <c r="Q64" s="35" t="s">
        <v>2122</v>
      </c>
      <c r="R64" s="35" t="str">
        <f t="shared" si="5"/>
        <v>krzyżakowy expando - N/A</v>
      </c>
      <c r="S64" s="35" t="s">
        <v>2122</v>
      </c>
      <c r="T64" s="35" t="str">
        <f t="shared" si="6"/>
        <v>prosty wkręt - N/A</v>
      </c>
      <c r="U64" s="35" t="s">
        <v>2122</v>
      </c>
      <c r="V64" s="35" t="str">
        <f t="shared" si="7"/>
        <v>prosty eurowkręt - N/A</v>
      </c>
      <c r="W64" s="35" t="s">
        <v>2122</v>
      </c>
      <c r="X64" s="35" t="str">
        <f t="shared" si="8"/>
        <v>prosty expando - N/A</v>
      </c>
      <c r="Y64" s="34"/>
      <c r="Z64" s="34"/>
    </row>
    <row r="65" spans="1:26" ht="14.4">
      <c r="A65" s="34" t="s">
        <v>1105</v>
      </c>
      <c r="B65" s="34" t="s">
        <v>2352</v>
      </c>
      <c r="C65" s="34" t="str">
        <f>'Translate&amp;Prices&amp;Logo'!B555</f>
        <v>Wpuszczany</v>
      </c>
      <c r="D65" s="32" t="str">
        <f t="shared" si="0"/>
        <v>široký_STRONGHINGES_Vložený</v>
      </c>
      <c r="E65" s="34" t="str">
        <f>'Translate&amp;Prices&amp;Logo'!$B$583</f>
        <v>ze sprężyną bez tłumienia</v>
      </c>
      <c r="F65" s="34" t="str">
        <f>'Translate&amp;Prices&amp;Logo'!$B$585</f>
        <v>srebro</v>
      </c>
      <c r="G65" s="34" t="str">
        <f t="shared" si="10"/>
        <v>350836 - Wpuszczany ze sprężyną bez tłumienia - srebro</v>
      </c>
      <c r="H65" s="35" t="s">
        <v>1103</v>
      </c>
      <c r="I65" s="35">
        <v>350836</v>
      </c>
      <c r="J65" s="35" t="s">
        <v>1103</v>
      </c>
      <c r="K65" s="35">
        <v>92598</v>
      </c>
      <c r="L65" s="35" t="str">
        <f t="shared" si="2"/>
        <v>krzyżakowy, wkręt - 92598</v>
      </c>
      <c r="M65" s="35">
        <v>350868</v>
      </c>
      <c r="N65" s="35" t="str">
        <f t="shared" si="3"/>
        <v>na wkręt (z mimośrodem) - 350868</v>
      </c>
      <c r="O65" s="35">
        <v>92599</v>
      </c>
      <c r="P65" s="35" t="str">
        <f t="shared" si="4"/>
        <v>krzyżakowy eurowkręt - 92599</v>
      </c>
      <c r="Q65" s="35" t="s">
        <v>2122</v>
      </c>
      <c r="R65" s="35" t="str">
        <f t="shared" si="5"/>
        <v>krzyżakowy expando - N/A</v>
      </c>
      <c r="S65" s="35" t="s">
        <v>2122</v>
      </c>
      <c r="T65" s="35" t="str">
        <f t="shared" si="6"/>
        <v>prosty wkręt - N/A</v>
      </c>
      <c r="U65" s="35" t="s">
        <v>2122</v>
      </c>
      <c r="V65" s="35" t="str">
        <f t="shared" si="7"/>
        <v>prosty eurowkręt - N/A</v>
      </c>
      <c r="W65" s="35" t="s">
        <v>2122</v>
      </c>
      <c r="X65" s="35" t="str">
        <f t="shared" si="8"/>
        <v>prosty expando - N/A</v>
      </c>
      <c r="Y65" s="34"/>
      <c r="Z65" s="34"/>
    </row>
    <row r="66" spans="1:26" ht="14.4">
      <c r="A66" s="34" t="s">
        <v>1105</v>
      </c>
      <c r="B66" s="34" t="s">
        <v>2352</v>
      </c>
      <c r="C66" s="34" t="str">
        <f>'Translate&amp;Prices&amp;Logo'!B555</f>
        <v>Wpuszczany</v>
      </c>
      <c r="D66" s="32" t="str">
        <f t="shared" si="0"/>
        <v>široký_STRONGHINGES_Vložený</v>
      </c>
      <c r="E66" s="34" t="str">
        <f>'Translate&amp;Prices&amp;Logo'!$B$584</f>
        <v>tip-on bez sprężyny/tłumienie</v>
      </c>
      <c r="F66" s="34" t="str">
        <f>'Translate&amp;Prices&amp;Logo'!$B$585</f>
        <v>srebro</v>
      </c>
      <c r="G66" s="34" t="str">
        <f t="shared" si="10"/>
        <v>350839 - Wpuszczany tip-on bez sprężyny/tłumienie - srebro</v>
      </c>
      <c r="H66" s="35" t="s">
        <v>1103</v>
      </c>
      <c r="I66" s="35">
        <v>350839</v>
      </c>
      <c r="J66" s="35" t="s">
        <v>1103</v>
      </c>
      <c r="K66" s="35">
        <v>92598</v>
      </c>
      <c r="L66" s="35" t="str">
        <f t="shared" si="2"/>
        <v>krzyżakowy, wkręt - 92598</v>
      </c>
      <c r="M66" s="35">
        <v>350868</v>
      </c>
      <c r="N66" s="35" t="str">
        <f t="shared" si="3"/>
        <v>na wkręt (z mimośrodem) - 350868</v>
      </c>
      <c r="O66" s="35">
        <v>92599</v>
      </c>
      <c r="P66" s="35" t="str">
        <f t="shared" si="4"/>
        <v>krzyżakowy eurowkręt - 92599</v>
      </c>
      <c r="Q66" s="35" t="s">
        <v>2122</v>
      </c>
      <c r="R66" s="35" t="str">
        <f t="shared" si="5"/>
        <v>krzyżakowy expando - N/A</v>
      </c>
      <c r="S66" s="35" t="s">
        <v>2122</v>
      </c>
      <c r="T66" s="35" t="str">
        <f t="shared" si="6"/>
        <v>prosty wkręt - N/A</v>
      </c>
      <c r="U66" s="35" t="s">
        <v>2122</v>
      </c>
      <c r="V66" s="35" t="str">
        <f t="shared" si="7"/>
        <v>prosty eurowkręt - N/A</v>
      </c>
      <c r="W66" s="35" t="s">
        <v>2122</v>
      </c>
      <c r="X66" s="35" t="str">
        <f t="shared" si="8"/>
        <v>prosty expando - N/A</v>
      </c>
      <c r="Y66" s="34"/>
      <c r="Z66" s="34"/>
    </row>
    <row r="67" spans="1:26" ht="14.4">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03" workbookViewId="0">
      <selection activeCell="B614" sqref="B614:B615"/>
    </sheetView>
  </sheetViews>
  <sheetFormatPr defaultColWidth="8.5546875" defaultRowHeight="14.4"/>
  <cols>
    <col min="1" max="1" width="16.44140625" style="133" customWidth="1"/>
    <col min="2" max="2" width="54.109375" style="133" customWidth="1"/>
    <col min="3" max="3" width="39.5546875" style="133" customWidth="1"/>
    <col min="4" max="4" width="9.5546875" style="133" bestFit="1" customWidth="1"/>
    <col min="5" max="5" width="9.44140625" style="133" bestFit="1" customWidth="1"/>
    <col min="6" max="6" width="11" style="133" customWidth="1"/>
    <col min="7" max="7" width="10.109375" style="133" customWidth="1"/>
    <col min="8" max="8" width="9.5546875" style="133" customWidth="1"/>
    <col min="9" max="9" width="10.5546875" style="133" customWidth="1"/>
    <col min="10" max="10" width="9.5546875" style="133" customWidth="1"/>
    <col min="11" max="11" width="10.44140625" style="133" customWidth="1"/>
    <col min="12" max="12" width="12" style="133" customWidth="1"/>
    <col min="13" max="13" width="51.6640625" style="133" customWidth="1"/>
    <col min="14" max="14" width="45.44140625" style="133" customWidth="1"/>
    <col min="15" max="15" width="54.33203125" style="133" customWidth="1"/>
    <col min="16" max="16" width="37.88671875" style="133" customWidth="1"/>
    <col min="17" max="17" width="23.33203125" style="133" customWidth="1"/>
    <col min="18" max="18" width="84" style="133" bestFit="1" customWidth="1"/>
    <col min="19" max="19" width="8.5546875" style="133"/>
    <col min="20" max="20" width="18.5546875" style="133" bestFit="1" customWidth="1"/>
    <col min="21" max="21" width="21.109375" style="133" customWidth="1"/>
    <col min="22" max="26" width="8.5546875" style="133"/>
    <col min="27" max="28" width="65.88671875" style="133" bestFit="1" customWidth="1"/>
    <col min="29" max="33" width="8.5546875" style="133"/>
    <col min="34" max="34" width="59.88671875" style="133" bestFit="1" customWidth="1"/>
    <col min="35" max="16384" width="8.5546875" style="133"/>
  </cols>
  <sheetData>
    <row r="1" spans="1:35">
      <c r="D1" s="133">
        <f>Hlavní!V39</f>
        <v>3</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561" t="s">
        <v>20</v>
      </c>
      <c r="D4" s="562"/>
      <c r="E4" s="561" t="s">
        <v>20</v>
      </c>
      <c r="F4" s="562"/>
      <c r="G4" s="561" t="s">
        <v>21</v>
      </c>
      <c r="H4" s="562"/>
      <c r="I4" s="561" t="s">
        <v>22</v>
      </c>
      <c r="J4" s="562"/>
      <c r="K4" s="561" t="s">
        <v>23</v>
      </c>
      <c r="L4" s="562"/>
      <c r="M4" s="175"/>
      <c r="AA4" s="178" t="s">
        <v>3447</v>
      </c>
      <c r="AB4" s="178" t="s">
        <v>3100</v>
      </c>
      <c r="AH4" s="198" t="s">
        <v>933</v>
      </c>
      <c r="AI4" s="198" t="s">
        <v>1141</v>
      </c>
    </row>
    <row r="5" spans="1:35" ht="1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563" t="s">
        <v>935</v>
      </c>
      <c r="B6" s="177" t="str">
        <f>IF($D$1=1,M6,
IF($D$1=2,N6,
IF($D$1=3,O6,
IF($D$1=4,P6,
IF($D$1=5,Q6,
IF($D$1=6,R6,0))))))</f>
        <v>BRW (elox.) - maksymalna zalecana długość profilu 2500 mm</v>
      </c>
      <c r="C6" s="170">
        <f>IF($D$1=1,E6,IF(OR($D$1=2,$D$1=5,),G6,IF($D$1=3,I6,IF($D$1=4,K6,IF($D$1=6,G6*1.3,0)))))</f>
        <v>49.03416</v>
      </c>
      <c r="D6" s="170">
        <f>IF($D$1=1,F6,IF(OR($D$1=2,$D$1=5),H6,IF($D$1=3,J6,IF($D$1=4,L6,IF($D$1=6,H6*1.3,0)))))</f>
        <v>31.920480000000005</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564"/>
      <c r="B7" s="177" t="str">
        <f t="shared" ref="B7:B65" si="0">IF($D$1=1,M7,
IF($D$1=2,N7,
IF($D$1=3,O7,
IF($D$1=4,P7,
IF($D$1=5,Q7,
IF($D$1=6,R7,0))))))</f>
        <v>BRW antracyt RAL 7021 - maksymalna zalecana długość profilu 2500 mm</v>
      </c>
      <c r="C7" s="170">
        <f t="shared" ref="C7:C60" si="1">IF($D$1=1,E7,IF(OR($D$1=2,$D$1=5,),G7,IF($D$1=3,I7,IF($D$1=4,K7,IF($D$1=6,G7*1.3,0)))))</f>
        <v>88.153039259999986</v>
      </c>
      <c r="D7" s="170">
        <f t="shared" ref="D7:D60" si="2">IF($D$1=1,F7,IF(OR($D$1=2,$D$1=5),H7,IF($D$1=3,J7,IF($D$1=4,L7,IF($D$1=6,H7*1.3,0)))))</f>
        <v>31.920480000000005</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564"/>
      <c r="B8" s="177" t="str">
        <f t="shared" si="0"/>
        <v>BRW bialy matowy RAL 9003 - maksymalna zalecana długość profilu 2500 mm</v>
      </c>
      <c r="C8" s="170">
        <f t="shared" si="1"/>
        <v>79.003980720000015</v>
      </c>
      <c r="D8" s="170">
        <f t="shared" si="2"/>
        <v>31.920480000000005</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564"/>
      <c r="B9" s="177" t="str">
        <f t="shared" si="0"/>
        <v>BRW bialy połysk RAL 9003 - maksymalna zalecana długość profilu 2500 mm</v>
      </c>
      <c r="C9" s="170">
        <f t="shared" si="1"/>
        <v>79.003980720000015</v>
      </c>
      <c r="D9" s="170">
        <f t="shared" si="2"/>
        <v>31.920480000000005</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564"/>
      <c r="B10" s="177" t="str">
        <f t="shared" si="0"/>
        <v>BRW brąz - maksymalna zalecana długość profilu 2500 mm</v>
      </c>
      <c r="C10" s="170">
        <f t="shared" si="1"/>
        <v>50.671170000000004</v>
      </c>
      <c r="D10" s="170">
        <f t="shared" si="2"/>
        <v>31.920480000000005</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564"/>
      <c r="B11" s="177" t="str">
        <f t="shared" si="0"/>
        <v>BRW szczotkowany - maksymalna zalecana długość profilu 2500 mm</v>
      </c>
      <c r="C11" s="170">
        <f t="shared" si="1"/>
        <v>71.118566999999999</v>
      </c>
      <c r="D11" s="170">
        <f t="shared" si="2"/>
        <v>31.920480000000005</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564"/>
      <c r="B12" s="177" t="str">
        <f t="shared" si="0"/>
        <v>BRW Czarny matowy - maksymalna zalecana długość profilu 2500 mm</v>
      </c>
      <c r="C12" s="170">
        <f t="shared" si="1"/>
        <v>48.644323200000002</v>
      </c>
      <c r="D12" s="170">
        <f t="shared" si="2"/>
        <v>32.289839999999998</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564"/>
      <c r="B13" s="177" t="str">
        <f t="shared" si="0"/>
        <v>BRW złota- maksymalna zalecana długość profilu 2500 mm</v>
      </c>
      <c r="C13" s="170">
        <f t="shared" si="1"/>
        <v>98.814492000000016</v>
      </c>
      <c r="D13" s="170">
        <f t="shared" si="2"/>
        <v>31.920480000000005</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564"/>
      <c r="B14" s="177" t="str">
        <f t="shared" si="0"/>
        <v>BRW czarna szczotka - maksymalna zalecana długość profilu 2500 mm</v>
      </c>
      <c r="C14" s="170">
        <f t="shared" si="1"/>
        <v>54.706589999999998</v>
      </c>
      <c r="D14" s="170">
        <f t="shared" si="2"/>
        <v>32.289839999999998</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564"/>
      <c r="B15" s="177" t="str">
        <f t="shared" si="0"/>
        <v>BRW acier grata - maksymalna zalecana długość profilu 2500 mm</v>
      </c>
      <c r="C15" s="170">
        <f t="shared" si="1"/>
        <v>68.726501999999996</v>
      </c>
      <c r="D15" s="170">
        <f t="shared" si="2"/>
        <v>31.920480000000005</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564"/>
      <c r="B16" s="177" t="str">
        <f t="shared" si="0"/>
        <v>BRW INOX (stal nierdzewna) - maksymalna zalecana długość profilu 2500 mm</v>
      </c>
      <c r="C16" s="170">
        <f t="shared" si="1"/>
        <v>58.97043</v>
      </c>
      <c r="D16" s="170">
        <f t="shared" si="2"/>
        <v>31.920480000000005</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564"/>
      <c r="B17" s="177" t="str">
        <f t="shared" si="0"/>
        <v>Corleone (elox.)- maksymalna zalecana długość profilu 1500 mm</v>
      </c>
      <c r="C17" s="170">
        <f t="shared" si="1"/>
        <v>61.184376</v>
      </c>
      <c r="D17" s="170">
        <f t="shared" si="2"/>
        <v>41.633999999999993</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564"/>
      <c r="B18" s="177" t="str">
        <f t="shared" si="0"/>
        <v>Corleone czarny matowy - maksymalna zalecana długość profilu 1500 mm</v>
      </c>
      <c r="C18" s="170">
        <f t="shared" si="1"/>
        <v>91.709133120000004</v>
      </c>
      <c r="D18" s="170">
        <f t="shared" si="2"/>
        <v>42.018750000000004</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564"/>
      <c r="B19" s="177" t="str">
        <f t="shared" si="0"/>
        <v>Imola (elox.) - maksymalna zalecana długość profilu 2500 mm</v>
      </c>
      <c r="C19" s="170">
        <f t="shared" si="1"/>
        <v>59.9474898</v>
      </c>
      <c r="D19" s="170">
        <f t="shared" si="2"/>
        <v>41.633999999999993</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564"/>
      <c r="B20" s="177" t="str">
        <f t="shared" si="0"/>
        <v>Imola Czarny matowy - maksymalna zalecana długość profilu 2500 mm</v>
      </c>
      <c r="C20" s="170">
        <f t="shared" si="1"/>
        <v>76.433425199999988</v>
      </c>
      <c r="D20" s="170">
        <f t="shared" si="2"/>
        <v>41.633999999999993</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564"/>
      <c r="B21" s="177" t="str">
        <f t="shared" si="0"/>
        <v>Imola bialy matowy RAL 9003 - maksymalna zalecana długość profilu 2500 mm</v>
      </c>
      <c r="C21" s="170">
        <f t="shared" si="1"/>
        <v>126.89529549840002</v>
      </c>
      <c r="D21" s="170">
        <f t="shared" si="2"/>
        <v>41.633999999999993</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564"/>
      <c r="B22" s="177" t="str">
        <f t="shared" si="0"/>
        <v>Modena (elox.) - maksymalna zalecana długość profilu 2500 mm</v>
      </c>
      <c r="C22" s="170">
        <f t="shared" si="1"/>
        <v>78.248831759999987</v>
      </c>
      <c r="D22" s="170">
        <f t="shared" si="2"/>
        <v>41.633999999999993</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564"/>
      <c r="B23" s="177" t="str">
        <f t="shared" si="0"/>
        <v>Modena Czarny matowy - maksymalna zalecana długość profilu 2500 mm</v>
      </c>
      <c r="C23" s="170">
        <f t="shared" si="1"/>
        <v>81.823138847999985</v>
      </c>
      <c r="D23" s="170">
        <f t="shared" si="2"/>
        <v>42.018750000000004</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564"/>
      <c r="B24" s="177" t="str">
        <f t="shared" si="0"/>
        <v>Verona złota - maksymalna zalecana długość profilu 2150 mm</v>
      </c>
      <c r="C24" s="170">
        <f t="shared" si="1"/>
        <v>91.780223039999996</v>
      </c>
      <c r="D24" s="170">
        <f t="shared" si="2"/>
        <v>33.250500000000002</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564"/>
      <c r="B25" s="177" t="str">
        <f t="shared" si="0"/>
        <v>Modena czarna szczotka - maksymalna zalecana długość profilu 2500 mm</v>
      </c>
      <c r="C25" s="170">
        <f t="shared" si="1"/>
        <v>114.07305491999999</v>
      </c>
      <c r="D25" s="170">
        <f t="shared" si="2"/>
        <v>33.250500000000002</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564"/>
      <c r="B26" s="177" t="str">
        <f t="shared" si="0"/>
        <v>Modena INOX (stal nierdzewna) - maksymalna zalecana długość profilu 2500 mm</v>
      </c>
      <c r="C26" s="170">
        <f t="shared" si="1"/>
        <v>103.6279332</v>
      </c>
      <c r="D26" s="170">
        <f t="shared" si="2"/>
        <v>41.633999999999993</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564"/>
      <c r="B27" s="177" t="str">
        <f t="shared" si="0"/>
        <v>Palio (elox.) - maksymalna zalecana długość profilu 2500 mm</v>
      </c>
      <c r="C27" s="170">
        <f t="shared" si="1"/>
        <v>69.827028479999996</v>
      </c>
      <c r="D27" s="170">
        <f t="shared" si="2"/>
        <v>41.633999999999993</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564"/>
      <c r="B28" s="177"/>
      <c r="C28" s="170">
        <f t="shared" si="1"/>
        <v>81.272505600000002</v>
      </c>
      <c r="D28" s="170">
        <f t="shared" si="2"/>
        <v>42.018750000000004</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564"/>
      <c r="B29" s="177" t="str">
        <f t="shared" si="0"/>
        <v>Pisa (elox.) - maksymalna zalecana długość profilu 2500 mm</v>
      </c>
      <c r="C29" s="170">
        <f t="shared" si="1"/>
        <v>62.988596351999995</v>
      </c>
      <c r="D29" s="170">
        <f t="shared" si="2"/>
        <v>41.633999999999993</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564"/>
      <c r="B30" s="177" t="str">
        <f t="shared" si="0"/>
        <v>Pisa Czarny matowy - maksymalna zalecana długość profilu 2500 mm</v>
      </c>
      <c r="C30" s="170">
        <f t="shared" si="1"/>
        <v>80.318515464000015</v>
      </c>
      <c r="D30" s="170">
        <f t="shared" si="2"/>
        <v>42.018750000000004</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564"/>
      <c r="B31" s="177" t="str">
        <f t="shared" si="0"/>
        <v>Vivaro złota - maksymalna zalecana zalecana długość profilu 2150 mm</v>
      </c>
      <c r="C31" s="170">
        <f t="shared" si="1"/>
        <v>138.90565260000002</v>
      </c>
      <c r="D31" s="170">
        <f t="shared" si="2"/>
        <v>41.633999999999993</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564"/>
      <c r="B32" s="177" t="str">
        <f t="shared" si="0"/>
        <v>Siena (elox.) - maksymalna zalecana zalecana długość profilu 2500 mm</v>
      </c>
      <c r="C32" s="170">
        <f t="shared" si="1"/>
        <v>69.827028479999996</v>
      </c>
      <c r="D32" s="170">
        <f t="shared" si="2"/>
        <v>41.633999999999993</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564"/>
      <c r="B33" s="177"/>
      <c r="C33" s="170">
        <f t="shared" si="1"/>
        <v>81.272505600000002</v>
      </c>
      <c r="D33" s="170">
        <f t="shared" si="2"/>
        <v>42.018750000000004</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564"/>
      <c r="B34" s="177" t="str">
        <f t="shared" si="0"/>
        <v>Verona (elox.) - maksymalna zalecana zalecana długość profilu 2500 mm</v>
      </c>
      <c r="C34" s="170">
        <f t="shared" si="1"/>
        <v>42.34946759999999</v>
      </c>
      <c r="D34" s="170">
        <f t="shared" si="2"/>
        <v>33.250500000000002</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564"/>
      <c r="B35" s="177" t="str">
        <f t="shared" si="0"/>
        <v>Verona szczotkowany - maksymalna zalecana zalecana długość profilu 2500 mm</v>
      </c>
      <c r="C35" s="170">
        <f t="shared" si="1"/>
        <v>64.786570199999986</v>
      </c>
      <c r="D35" s="170">
        <f t="shared" si="2"/>
        <v>33.250500000000002</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564"/>
      <c r="B36" s="177" t="str">
        <f t="shared" si="0"/>
        <v>Verona czarny połysk - maksymalna zalecana zalecana długość profilu 2500 mm</v>
      </c>
      <c r="C36" s="170">
        <f t="shared" si="1"/>
        <v>90.422719200000003</v>
      </c>
      <c r="D36" s="170">
        <f t="shared" si="2"/>
        <v>33.635249999999999</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564"/>
      <c r="B37" s="177" t="str">
        <f t="shared" si="0"/>
        <v>Verona czarny matowy - maksymalna zalecana zalecana długość profilu 2500 mm</v>
      </c>
      <c r="C37" s="170">
        <f t="shared" si="1"/>
        <v>52.192938599999998</v>
      </c>
      <c r="D37" s="170">
        <f t="shared" si="2"/>
        <v>33.635249999999999</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564"/>
      <c r="B38" s="177" t="str">
        <f t="shared" si="0"/>
        <v>Verona braz - maksymalna zalecana zalecana długość profilu 2500 mm</v>
      </c>
      <c r="C38" s="170">
        <f t="shared" si="1"/>
        <v>54.280656143999991</v>
      </c>
      <c r="D38" s="170">
        <f t="shared" si="2"/>
        <v>33.250500000000002</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564"/>
      <c r="B39" s="177" t="str">
        <f t="shared" si="0"/>
        <v>Verona szampański - maksymalna zalecana zalecana długość profilu 2500 mm</v>
      </c>
      <c r="C39" s="170">
        <f t="shared" si="1"/>
        <v>56.687572656000007</v>
      </c>
      <c r="D39" s="170">
        <f t="shared" si="2"/>
        <v>33.250500000000002</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564"/>
      <c r="B40" s="177" t="str">
        <f t="shared" si="0"/>
        <v>Verona Inox szczotkowany - maksymalna zalecana zalecana długość profilu 2500 mm</v>
      </c>
      <c r="C40" s="170">
        <f t="shared" si="1"/>
        <v>69.336508032000012</v>
      </c>
      <c r="D40" s="170">
        <f t="shared" si="2"/>
        <v>33.250500000000002</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564"/>
      <c r="B41" s="177" t="str">
        <f t="shared" si="0"/>
        <v>Verona Inox Acier szczotkowany - maksymalna zalecana zalecana długość profilu 2500 mm</v>
      </c>
      <c r="C41" s="170">
        <f t="shared" si="1"/>
        <v>70.07499378</v>
      </c>
      <c r="D41" s="170">
        <f t="shared" si="2"/>
        <v>33.250500000000002</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564"/>
      <c r="B42" s="177" t="str">
        <f t="shared" si="0"/>
        <v>Rocca czarny matowy - maksymalna zalecana zalecana długość profilu 2150 mm</v>
      </c>
      <c r="C42" s="170">
        <f t="shared" si="1"/>
        <v>99.151495027199985</v>
      </c>
      <c r="D42" s="170">
        <f t="shared" si="2"/>
        <v>31.954500000000003</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564"/>
      <c r="B43" s="177" t="str">
        <f t="shared" si="0"/>
        <v>Vivaro (elox.) - maksymalna zalecana zalecana długość profilu 2500 mm</v>
      </c>
      <c r="C43" s="170">
        <f t="shared" si="1"/>
        <v>72.459969119999997</v>
      </c>
      <c r="D43" s="170">
        <f t="shared" si="2"/>
        <v>41.633999999999993</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564"/>
      <c r="B44" s="177" t="str">
        <f t="shared" si="0"/>
        <v>Vivaro czarny matowy - maksymalna zalecana zalecana długość profilu 2500 mm</v>
      </c>
      <c r="C44" s="170">
        <f t="shared" si="1"/>
        <v>96.198513840000004</v>
      </c>
      <c r="D44" s="170">
        <f t="shared" si="2"/>
        <v>42.018750000000004</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564"/>
      <c r="B45" s="177" t="str">
        <f t="shared" si="0"/>
        <v>Imola złota - maksymalna zalecana zalecana długość profilu 2150 mm</v>
      </c>
      <c r="C45" s="170">
        <f t="shared" si="1"/>
        <v>137.97390420000002</v>
      </c>
      <c r="D45" s="170">
        <f t="shared" si="2"/>
        <v>41.633999999999993</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564"/>
      <c r="B46" s="177" t="str">
        <f t="shared" si="0"/>
        <v>Vivaro INOX (stal nierdzewna) - maksymalna zalecana zalecana długość profilu 2500 mm</v>
      </c>
      <c r="C46" s="170">
        <f t="shared" si="1"/>
        <v>87.315945947999992</v>
      </c>
      <c r="D46" s="170">
        <f t="shared" si="2"/>
        <v>41.633999999999993</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564"/>
      <c r="B47" s="177" t="str">
        <f t="shared" si="0"/>
        <v>Vivaro biały matowy RAL 9003 - maksymalna zalecana zalecana długość profilu 2500 mm</v>
      </c>
      <c r="C47" s="170">
        <f t="shared" si="1"/>
        <v>137.55461742</v>
      </c>
      <c r="D47" s="170">
        <f t="shared" si="2"/>
        <v>41.633999999999993</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564"/>
      <c r="B48" s="177" t="str">
        <f t="shared" si="0"/>
        <v>Vivaro biały połysk RAL 9003 - maksymalna zalecana zalecana długość profilu 2500 mm</v>
      </c>
      <c r="C48" s="170">
        <f t="shared" si="1"/>
        <v>137.55461742</v>
      </c>
      <c r="D48" s="170">
        <f t="shared" si="2"/>
        <v>41.633999999999993</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564"/>
      <c r="B49" s="177" t="str">
        <f t="shared" si="0"/>
        <v>Warna - maksymalna zalecana zalecana długość profilu 2500 mm</v>
      </c>
      <c r="C49" s="170">
        <f t="shared" si="1"/>
        <v>57.666470400000009</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564"/>
      <c r="B50" s="177" t="str">
        <f t="shared" si="0"/>
        <v>Rocca (elox.) - maksymalna zalecana zalecana długość profilu 2150 mm</v>
      </c>
      <c r="C50" s="170">
        <f t="shared" si="1"/>
        <v>66.491850110400009</v>
      </c>
      <c r="D50" s="170">
        <f t="shared" si="2"/>
        <v>31.954500000000003</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564"/>
      <c r="B51" s="177" t="str">
        <f t="shared" si="0"/>
        <v>Předěl</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564"/>
      <c r="B52" s="177" t="str">
        <f t="shared" si="0"/>
        <v>Pisa biały matowy RAL 9003 - maksymalna zalecana zalecana długość profilu 2500 mm</v>
      </c>
      <c r="C52" s="170">
        <f t="shared" si="1"/>
        <v>124.3658691</v>
      </c>
      <c r="D52" s="170">
        <f t="shared" si="2"/>
        <v>41.633999999999993</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564"/>
      <c r="B53" s="177" t="str">
        <f t="shared" si="0"/>
        <v>Pisa biały połysk RAL 9003 - maksymalna zalecana zalecana długość profilu 2500 mm</v>
      </c>
      <c r="C53" s="170">
        <f t="shared" si="1"/>
        <v>124.3658691</v>
      </c>
      <c r="D53" s="170">
        <f t="shared" si="2"/>
        <v>41.633999999999993</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564"/>
      <c r="B54" s="177" t="str">
        <f t="shared" si="0"/>
        <v>Warna czarny - maksymalna zalecana zalecana długość profilu 1200 mm</v>
      </c>
      <c r="C54" s="170">
        <f t="shared" si="1"/>
        <v>82.328400000000002</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564"/>
      <c r="B55" s="177" t="str">
        <f t="shared" si="0"/>
        <v>BRW złota szczotkowany - maksymalna zalecana zalecana długość profilu 2500 mm</v>
      </c>
      <c r="C55" s="170">
        <f t="shared" si="1"/>
        <v>125.1731448</v>
      </c>
      <c r="D55" s="170">
        <f t="shared" si="2"/>
        <v>33.250500000000002</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564"/>
      <c r="B56" s="177" t="str">
        <f t="shared" si="0"/>
        <v>Verona złota szczotkowany - maksymalna zalecana zalecana długość profilu 2150 mm</v>
      </c>
      <c r="C56" s="170">
        <f t="shared" si="1"/>
        <v>114.07305491999999</v>
      </c>
      <c r="D56" s="170">
        <f t="shared" si="2"/>
        <v>33.250500000000002</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564"/>
      <c r="B57" s="177" t="str">
        <f t="shared" si="0"/>
        <v>Vivaro złota szczotkowany - maksymalna zalecana zalecana długość profilu 2150 mm</v>
      </c>
      <c r="C57" s="170">
        <f t="shared" si="1"/>
        <v>165.31020000000001</v>
      </c>
      <c r="D57" s="170">
        <f t="shared" si="2"/>
        <v>41.633999999999993</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564"/>
      <c r="B58" s="177" t="str">
        <f t="shared" si="0"/>
        <v>Pisa złota - maksymalna zalecana długość profilu 2150 mm</v>
      </c>
      <c r="C58" s="170">
        <f t="shared" si="1"/>
        <v>114.35979297599999</v>
      </c>
      <c r="D58" s="170">
        <f t="shared" si="2"/>
        <v>41.633999999999993</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564"/>
      <c r="B59" s="177" t="str">
        <f t="shared" si="0"/>
        <v>ASTI  czarne  - maksymalna zalecana długość profilu 2150</v>
      </c>
      <c r="C59" s="170">
        <f t="shared" si="1"/>
        <v>96.049799999999991</v>
      </c>
      <c r="D59" s="170">
        <f t="shared" si="2"/>
        <v>33.635249999999999</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564"/>
      <c r="B60" s="177" t="str">
        <f t="shared" si="0"/>
        <v>ASTI  antracyt mat RAL 7021 mat lakier - maksymalna zalecana długość profilu 2500 mm</v>
      </c>
      <c r="C60" s="170">
        <f t="shared" si="1"/>
        <v>142.56534599999998</v>
      </c>
      <c r="D60" s="170">
        <f t="shared" si="2"/>
        <v>33.635249999999999</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 thickBot="1">
      <c r="A61" s="564"/>
      <c r="B61" s="177" t="str">
        <f t="shared" si="0"/>
        <v>Modena brąz - maksymalna zalecana długość profilu 2500 mm</v>
      </c>
      <c r="C61" s="170">
        <f t="shared" ref="C61:C65" si="3">IF($D$1=1,E61,IF(OR($D$1=2,$D$1=5,),G61,IF($D$1=3,I61,IF($D$1=4,K61,IF($D$1=6,G61*1.3,0)))))</f>
        <v>87.857100000000003</v>
      </c>
      <c r="D61" s="170">
        <f t="shared" ref="D61:D65" si="4">IF($D$1=1,F61,IF(OR($D$1=2,$D$1=5),H61,IF($D$1=3,J61,IF($D$1=4,L61,IF($D$1=6,H61*1.3,0)))))</f>
        <v>39.127499999999998</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4498</v>
      </c>
      <c r="N61" s="178" t="s">
        <v>4499</v>
      </c>
      <c r="O61" s="178" t="s">
        <v>4500</v>
      </c>
      <c r="P61" s="178" t="s">
        <v>4501</v>
      </c>
      <c r="Q61" s="209" t="s">
        <v>4502</v>
      </c>
      <c r="R61" s="325" t="s">
        <v>4503</v>
      </c>
      <c r="S61" s="133">
        <v>2500</v>
      </c>
      <c r="T61" s="133">
        <v>2500</v>
      </c>
      <c r="U61" s="276">
        <v>2500</v>
      </c>
      <c r="V61" s="276">
        <v>700</v>
      </c>
      <c r="AA61" s="178" t="s">
        <v>3352</v>
      </c>
      <c r="AB61" s="178" t="s">
        <v>3101</v>
      </c>
      <c r="AH61" s="198" t="s">
        <v>3671</v>
      </c>
      <c r="AI61" s="198" t="s">
        <v>3234</v>
      </c>
      <c r="AJ61" s="198"/>
      <c r="AK61" s="199"/>
    </row>
    <row r="62" spans="1:37" ht="15" thickBot="1">
      <c r="A62" s="564"/>
      <c r="B62" s="177" t="str">
        <f t="shared" si="0"/>
        <v>Verona Ivory mat - maksymalna zalecana zalecana długość profilu 2150 mm</v>
      </c>
      <c r="C62" s="170">
        <f t="shared" si="3"/>
        <v>60.813299999999998</v>
      </c>
      <c r="D62" s="170">
        <f t="shared" si="4"/>
        <v>31.255469999999999</v>
      </c>
      <c r="E62" s="480">
        <v>429.26426400000003</v>
      </c>
      <c r="F62" s="481">
        <v>213.0160032</v>
      </c>
      <c r="G62" s="481">
        <v>15.77285311</v>
      </c>
      <c r="H62" s="481">
        <v>7.7947893439999998</v>
      </c>
      <c r="I62" s="481">
        <v>60.813299999999998</v>
      </c>
      <c r="J62" s="481">
        <v>31.255469999999999</v>
      </c>
      <c r="K62" s="481">
        <v>5764.1028040000001</v>
      </c>
      <c r="L62" s="481">
        <v>2844.0053830000002</v>
      </c>
      <c r="M62" s="209" t="s">
        <v>4504</v>
      </c>
      <c r="N62" s="178" t="s">
        <v>4505</v>
      </c>
      <c r="O62" s="209" t="s">
        <v>4506</v>
      </c>
      <c r="P62" s="178" t="s">
        <v>4507</v>
      </c>
      <c r="Q62" s="209" t="s">
        <v>4508</v>
      </c>
      <c r="R62" s="325" t="s">
        <v>3802</v>
      </c>
      <c r="S62" s="133">
        <v>2150</v>
      </c>
      <c r="T62" s="133">
        <v>2150</v>
      </c>
      <c r="U62" s="276">
        <v>2150</v>
      </c>
      <c r="V62" s="276">
        <v>700</v>
      </c>
      <c r="AA62" s="179" t="s">
        <v>3353</v>
      </c>
      <c r="AB62" s="178" t="s">
        <v>3102</v>
      </c>
      <c r="AC62" s="212"/>
      <c r="AD62" s="34"/>
      <c r="AH62" s="199" t="s">
        <v>3672</v>
      </c>
      <c r="AI62" s="198" t="s">
        <v>3241</v>
      </c>
    </row>
    <row r="63" spans="1:37" ht="15" thickBot="1">
      <c r="A63" s="565"/>
      <c r="B63" s="177" t="str">
        <f t="shared" si="0"/>
        <v>Treviso czarny matowy - maksymalna zalecana długość profilu 2750 mm</v>
      </c>
      <c r="C63" s="170">
        <f t="shared" si="3"/>
        <v>118.32485</v>
      </c>
      <c r="D63" s="170">
        <f t="shared" si="4"/>
        <v>87.941699999999997</v>
      </c>
      <c r="E63" s="480">
        <v>835.22238800000002</v>
      </c>
      <c r="F63" s="481">
        <v>599.35075200000006</v>
      </c>
      <c r="G63" s="481">
        <v>30.689347210000001</v>
      </c>
      <c r="H63" s="481">
        <v>21.931745899999999</v>
      </c>
      <c r="I63" s="481">
        <v>118.32485</v>
      </c>
      <c r="J63" s="481">
        <v>87.941699999999997</v>
      </c>
      <c r="K63" s="481">
        <v>11215.25389</v>
      </c>
      <c r="L63" s="481">
        <v>8002.01271</v>
      </c>
      <c r="M63" s="179" t="s">
        <v>4527</v>
      </c>
      <c r="N63" s="179" t="s">
        <v>4528</v>
      </c>
      <c r="O63" s="178" t="s">
        <v>4533</v>
      </c>
      <c r="P63" s="179" t="s">
        <v>4529</v>
      </c>
      <c r="Q63" s="209" t="s">
        <v>4530</v>
      </c>
      <c r="R63" s="325" t="s">
        <v>4531</v>
      </c>
      <c r="S63" s="133">
        <v>2750</v>
      </c>
      <c r="T63" s="133">
        <v>2750</v>
      </c>
      <c r="U63" s="133">
        <v>2750</v>
      </c>
      <c r="V63" s="133">
        <v>700</v>
      </c>
      <c r="AA63" s="179" t="s">
        <v>3354</v>
      </c>
      <c r="AB63" s="178" t="s">
        <v>3103</v>
      </c>
      <c r="AC63" s="212"/>
      <c r="AD63" s="34"/>
      <c r="AH63" s="199" t="s">
        <v>3673</v>
      </c>
      <c r="AI63" s="198" t="s">
        <v>3242</v>
      </c>
    </row>
    <row r="64" spans="1:37" ht="15" thickBot="1">
      <c r="A64" s="207"/>
      <c r="B64" s="177" t="str">
        <f t="shared" si="0"/>
        <v>BRW kaszmirowy - maksymalna zalecana długość profilu 2500 mm</v>
      </c>
      <c r="C64" s="170">
        <f t="shared" si="3"/>
        <v>90.534925000000001</v>
      </c>
      <c r="D64" s="170">
        <f t="shared" si="4"/>
        <v>31.255469999999999</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4509</v>
      </c>
      <c r="N64" s="178" t="s">
        <v>4511</v>
      </c>
      <c r="O64" s="178" t="s">
        <v>4510</v>
      </c>
      <c r="P64" s="178" t="s">
        <v>4512</v>
      </c>
      <c r="Q64" s="209" t="s">
        <v>4513</v>
      </c>
      <c r="R64" s="325" t="s">
        <v>4514</v>
      </c>
      <c r="S64" s="133">
        <v>2500</v>
      </c>
      <c r="T64" s="133">
        <v>2500</v>
      </c>
      <c r="U64" s="276">
        <v>2700</v>
      </c>
      <c r="V64" s="276">
        <v>700</v>
      </c>
      <c r="AA64" s="180" t="s">
        <v>3555</v>
      </c>
      <c r="AB64" s="179" t="s">
        <v>1603</v>
      </c>
      <c r="AH64" s="199" t="s">
        <v>3619</v>
      </c>
      <c r="AI64" s="198" t="s">
        <v>3243</v>
      </c>
    </row>
    <row r="65" spans="1:35" ht="15" thickBot="1">
      <c r="A65" s="207"/>
      <c r="B65" s="177" t="str">
        <f t="shared" si="0"/>
        <v>Verona kaszmirowy - maksymalna zalecana długość profilu 2150 mm</v>
      </c>
      <c r="C65" s="170">
        <f t="shared" si="3"/>
        <v>90.534925000000001</v>
      </c>
      <c r="D65" s="170">
        <f t="shared" si="4"/>
        <v>31.255469999999999</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4515</v>
      </c>
      <c r="N65" s="178" t="s">
        <v>4516</v>
      </c>
      <c r="O65" s="178" t="s">
        <v>4517</v>
      </c>
      <c r="P65" s="178" t="s">
        <v>4518</v>
      </c>
      <c r="Q65" s="209" t="s">
        <v>4519</v>
      </c>
      <c r="R65" s="325" t="s">
        <v>4520</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maksymalna zalecana długość profilu 2500 mm</v>
      </c>
      <c r="C69" s="170">
        <f t="shared" ref="C69:C74" si="6">IF($D$1=1,E69,IF(OR($D$1=2,$D$1=5,),G69,IF($D$1=3,I69,IF($D$1=4,K69,IF($D$1=6,G69*1.3,0)))))</f>
        <v>54.088451999999997</v>
      </c>
      <c r="D69" s="170">
        <f t="shared" ref="D69:D74" si="7">IF($D$1=1,F69,IF(OR($D$1=2,$D$1=5),H69,IF($D$1=3,J69,IF($D$1=4,L69,IF($D$1=6,H69*1.3,0)))))</f>
        <v>33.250500000000002</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light - maksymalna zalecana długość profilu 2500 mm</v>
      </c>
      <c r="C70" s="170">
        <f t="shared" si="6"/>
        <v>77.461876799999999</v>
      </c>
      <c r="D70" s="170">
        <f t="shared" si="7"/>
        <v>33.250500000000002</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czarna matowa -  maksymalna zalecana długość profilu 2696 mm</v>
      </c>
      <c r="C71" s="170">
        <f t="shared" si="6"/>
        <v>115.25976</v>
      </c>
      <c r="D71" s="170">
        <f t="shared" si="7"/>
        <v>93.554999999999993</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 - maksymalna zalecana długość profilu 2696 mm</v>
      </c>
      <c r="C72" s="170">
        <f t="shared" si="6"/>
        <v>115.25976</v>
      </c>
      <c r="D72" s="170">
        <f t="shared" si="7"/>
        <v>93.554999999999993</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czarna matowa - maksymalna zalecana długość profilu 2696 mm</v>
      </c>
      <c r="C73" s="170">
        <f t="shared" si="6"/>
        <v>115.25976</v>
      </c>
      <c r="D73" s="170">
        <f t="shared" si="7"/>
        <v>93.554999999999993</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 - maksymalna zalecana długość profilu 2696 mm</v>
      </c>
      <c r="C74" s="170">
        <f t="shared" si="6"/>
        <v>115.25976</v>
      </c>
      <c r="D74" s="170">
        <f t="shared" si="7"/>
        <v>93.554999999999993</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 thickBot="1">
      <c r="A77" s="567" t="s">
        <v>1202</v>
      </c>
      <c r="B77" s="177"/>
      <c r="C77" s="188" t="str">
        <f>$B$32</f>
        <v>Siena (elox.) - maksymalna zalecana zalecana długość profilu 2500 mm</v>
      </c>
      <c r="D77" s="189" t="str">
        <f>B49</f>
        <v>Warna - maksymalna zalecana zalecana długość profilu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 thickBot="1">
      <c r="A78" s="568"/>
      <c r="B78" s="177"/>
      <c r="C78" s="188">
        <f>$B$33</f>
        <v>0</v>
      </c>
      <c r="D78" s="189" t="str">
        <f>$B$54</f>
        <v>Warna czarny - maksymalna zalecana zalecana długość profilu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 thickBot="1">
      <c r="A79" s="568"/>
      <c r="B79" s="177"/>
      <c r="C79" s="188" t="str">
        <f>$B$27</f>
        <v>Palio (elox.) - maksymalna zalecana długość profilu 2500 mm</v>
      </c>
      <c r="D79" s="189" t="str">
        <f>B49</f>
        <v>Warna - maksymalna zalecana zalecana długość profilu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 thickBot="1">
      <c r="A80" s="568"/>
      <c r="B80" s="177" t="str">
        <f t="shared" ref="B80:B81" si="8">IF($D$1=1,M80,
IF($D$1=2,N80,
IF($D$1=3,O80,
IF($D$1=4,P80,
IF($D$1=5,Q80,
IF($D$1=6,R80,0))))))</f>
        <v>Rocca elox (lewa i prawa) + Varna elox (góra i dół)</v>
      </c>
      <c r="C80" s="188" t="str">
        <f>B50</f>
        <v>Rocca (elox.) - maksymalna zalecana zalecana długość profilu 2150 mm</v>
      </c>
      <c r="D80" s="275" t="str">
        <f>B49</f>
        <v>Warna - maksymalna zalecana zalecana długość profilu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 thickBot="1">
      <c r="A81" s="568"/>
      <c r="B81" s="177" t="str">
        <f t="shared" si="8"/>
        <v>Rocca czarny (lewa i prawa) + Varna czarny (góra i dół)</v>
      </c>
      <c r="C81" s="188" t="str">
        <f>B42</f>
        <v>Rocca czarny matowy - maksymalna zalecana zalecana długość profilu 2150 mm</v>
      </c>
      <c r="D81" s="275" t="str">
        <f>$B$54</f>
        <v>Warna czarny - maksymalna zalecana zalecana długość profilu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 thickBot="1">
      <c r="A82" s="569"/>
      <c r="B82" s="177"/>
      <c r="C82" s="134">
        <f>$B$28</f>
        <v>0</v>
      </c>
      <c r="D82" s="134" t="str">
        <f>$B$54</f>
        <v>Warna czarny - maksymalna zalecana zalecana długość profilu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transparentna</v>
      </c>
      <c r="C91" s="170">
        <f>IF($D$1=1,E91,IF(OR($D$1=2,$D$1=5),G91,IF($D$1=3,I91,IF($D$1=4,K91,IF($D$1=6,G91*1.3,0)))))</f>
        <v>22.842000000000002</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Biała</v>
      </c>
      <c r="C92" s="170">
        <f t="shared" ref="C92:C141" si="9">IF($D$1=1,E92,IF(OR($D$1=2,$D$1=5),G92,IF($D$1=3,I92,IF($D$1=4,K92,IF($D$1=6,G92*1.3,0)))))</f>
        <v>19.035000000000004</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czarna</v>
      </c>
      <c r="C93" s="170">
        <f t="shared" si="9"/>
        <v>22.842000000000002</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100.88550000000001</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Połysk</v>
      </c>
      <c r="C95" s="170">
        <f t="shared" si="9"/>
        <v>9.9052500000000006</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Matowy</v>
      </c>
      <c r="C96" s="170">
        <f t="shared" si="9"/>
        <v>6.5741249999999996</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3.912300000000001</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571" t="s">
        <v>28</v>
      </c>
      <c r="D98" s="571"/>
      <c r="E98" s="571" t="s">
        <v>28</v>
      </c>
      <c r="F98" s="571"/>
      <c r="G98" s="571" t="s">
        <v>28</v>
      </c>
      <c r="H98" s="571"/>
      <c r="I98" s="571" t="s">
        <v>28</v>
      </c>
      <c r="J98" s="571"/>
      <c r="K98" s="571" t="s">
        <v>28</v>
      </c>
      <c r="L98" s="572"/>
      <c r="M98" s="175"/>
      <c r="AA98" s="178" t="s">
        <v>3385</v>
      </c>
      <c r="AB98" s="178" t="s">
        <v>3134</v>
      </c>
      <c r="AH98" s="198" t="s">
        <v>864</v>
      </c>
      <c r="AI98" s="198" t="s">
        <v>3212</v>
      </c>
    </row>
    <row r="99" spans="1:35">
      <c r="A99" s="566" t="s">
        <v>1195</v>
      </c>
      <c r="B99" s="333" t="str">
        <f t="shared" ref="B99" si="11">IF($D$1=1,M99,
IF($D$1=2,N99,
IF($D$1=3,O99,
IF($D$1=4,P99,
IF($D$1=5,Q99,
IF($D$1=6,R99,0))))))</f>
        <v>Czyste</v>
      </c>
      <c r="C99" s="170">
        <f t="shared" si="9"/>
        <v>203.86080000000001</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566"/>
      <c r="B100" s="182" t="s">
        <v>2200</v>
      </c>
      <c r="C100" s="170">
        <f t="shared" si="9"/>
        <v>27.538704000000006</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566"/>
      <c r="B101" s="182" t="s">
        <v>2202</v>
      </c>
      <c r="C101" s="170">
        <f t="shared" si="9"/>
        <v>29.113344000000001</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566"/>
      <c r="B102" s="185" t="str">
        <f t="shared" ref="B102:B141" si="12">IF($D$1=1,M102,
IF($D$1=2,N102,
IF($D$1=3,O102,
IF($D$1=4,P102,
IF($D$1=5,Q102,
IF($D$1=6,R102,0))))))</f>
        <v>Folia</v>
      </c>
      <c r="C102" s="170">
        <f t="shared" si="9"/>
        <v>30.279744000000004</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566"/>
      <c r="B103" s="185" t="str">
        <f t="shared" si="12"/>
        <v xml:space="preserve">Czyste hartowane (dostawa 3 tygodnie) </v>
      </c>
      <c r="C103" s="170">
        <f t="shared" si="9"/>
        <v>31.446144000000004</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566"/>
      <c r="B104" s="185" t="str">
        <f t="shared" si="12"/>
        <v xml:space="preserve">Satinato </v>
      </c>
      <c r="C104" s="170">
        <f t="shared" si="9"/>
        <v>260.0532</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566"/>
      <c r="B105" s="185" t="str">
        <f t="shared" si="12"/>
        <v xml:space="preserve">MASTER SOFT </v>
      </c>
      <c r="C105" s="170">
        <f t="shared" si="9"/>
        <v>337.15439999999995</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566"/>
      <c r="B106" s="185" t="str">
        <f t="shared" si="12"/>
        <v xml:space="preserve">Satinato brązowe/Decormat Braz </v>
      </c>
      <c r="C106" s="170">
        <f t="shared" si="9"/>
        <v>330.62040000000002</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566"/>
      <c r="B107" s="185" t="str">
        <f t="shared" si="12"/>
        <v xml:space="preserve">Satinato grafit  Decormat grafit </v>
      </c>
      <c r="C107" s="170">
        <f t="shared" si="9"/>
        <v>330.62040000000002</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566"/>
      <c r="B108" s="185" t="str">
        <f t="shared" si="12"/>
        <v>Masterscreen - maksymalne wymiary 2160 x 1650 mm</v>
      </c>
      <c r="C108" s="170">
        <f t="shared" si="9"/>
        <v>360.67679999999996</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566"/>
      <c r="B109" s="185" t="str">
        <f t="shared" si="12"/>
        <v xml:space="preserve">Venus VG10 </v>
      </c>
      <c r="C109" s="170">
        <f t="shared" si="9"/>
        <v>326.17728000000005</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566"/>
      <c r="B110" s="185" t="str">
        <f t="shared" si="12"/>
        <v>Stopsol brąz - maksymalne wymiary 2250 x 1605 mm</v>
      </c>
      <c r="C110" s="170">
        <f t="shared" si="9"/>
        <v>439.08479999999997</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566"/>
      <c r="B111" s="185" t="str">
        <f t="shared" si="12"/>
        <v xml:space="preserve">Lakomat </v>
      </c>
      <c r="C111" s="170">
        <f t="shared" si="9"/>
        <v>288.80279999999999</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566"/>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566"/>
      <c r="B113" s="185" t="str">
        <f t="shared" si="12"/>
        <v xml:space="preserve">Antisol brąz </v>
      </c>
      <c r="C113" s="170">
        <f t="shared" si="9"/>
        <v>258.22368</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566"/>
      <c r="B114" s="185" t="str">
        <f t="shared" si="12"/>
        <v xml:space="preserve">Antisol grafit </v>
      </c>
      <c r="C114" s="170">
        <f t="shared" si="9"/>
        <v>258.22368</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566"/>
      <c r="B115" s="185" t="str">
        <f t="shared" si="12"/>
        <v xml:space="preserve">Lustro </v>
      </c>
      <c r="C115" s="170">
        <f t="shared" si="9"/>
        <v>271.81440000000003</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566"/>
      <c r="B116" s="185" t="str">
        <f t="shared" si="12"/>
        <v xml:space="preserve">Lustro brązowe </v>
      </c>
      <c r="C116" s="170">
        <f t="shared" si="9"/>
        <v>356.75640000000004</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566"/>
      <c r="B117" s="185" t="str">
        <f t="shared" si="12"/>
        <v xml:space="preserve">Lustro grafit </v>
      </c>
      <c r="C117" s="170">
        <f t="shared" si="9"/>
        <v>356.75640000000004</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566"/>
      <c r="B118" s="185" t="str">
        <f t="shared" si="12"/>
        <v xml:space="preserve">VISIOSUN poziomo </v>
      </c>
      <c r="C118" s="170">
        <f t="shared" si="9"/>
        <v>337.15439999999995</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566"/>
      <c r="B119" s="185" t="str">
        <f t="shared" si="12"/>
        <v>Krizet - maksymalne wymiary 2130 x 1650 mm</v>
      </c>
      <c r="C119" s="170">
        <f t="shared" si="9"/>
        <v>360.67679999999996</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566"/>
      <c r="B120" s="185" t="str">
        <f t="shared" si="12"/>
        <v xml:space="preserve">Master (Carre) </v>
      </c>
      <c r="C120" s="170">
        <f t="shared" si="9"/>
        <v>292.20047999999997</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566"/>
      <c r="B121" s="185" t="str">
        <f t="shared" si="12"/>
        <v xml:space="preserve">Master  Ligne poziomo </v>
      </c>
      <c r="C121" s="170">
        <f t="shared" si="9"/>
        <v>292.20047999999997</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566"/>
      <c r="B122" s="185" t="str">
        <f t="shared" si="12"/>
        <v xml:space="preserve">Master  Point </v>
      </c>
      <c r="C122" s="170">
        <f t="shared" si="9"/>
        <v>292.20047999999997</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566"/>
      <c r="B123" s="185" t="str">
        <f t="shared" si="12"/>
        <v xml:space="preserve">FLUTES poziomo </v>
      </c>
      <c r="C123" s="170">
        <f t="shared" si="9"/>
        <v>450.846</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566"/>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566"/>
      <c r="B125" s="185" t="str">
        <f t="shared" si="12"/>
        <v xml:space="preserve">Master  Ligne pionowo </v>
      </c>
      <c r="C125" s="170">
        <f t="shared" si="9"/>
        <v>292.20047999999997</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566"/>
      <c r="B126" s="185" t="str">
        <f t="shared" si="12"/>
        <v xml:space="preserve">Lacobel RAL 1013 </v>
      </c>
      <c r="C126" s="170">
        <f t="shared" si="9"/>
        <v>376.35839999999996</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566"/>
      <c r="B127" s="185" t="str">
        <f t="shared" si="12"/>
        <v xml:space="preserve">Lacobel RAL 1015 </v>
      </c>
      <c r="C127" s="170">
        <f t="shared" si="9"/>
        <v>313.63200000000001</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566"/>
      <c r="B128" s="185" t="str">
        <f t="shared" si="12"/>
        <v xml:space="preserve">FLUTES pionowo </v>
      </c>
      <c r="C128" s="170">
        <f t="shared" si="9"/>
        <v>450.846</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566"/>
      <c r="B129" s="185" t="str">
        <f t="shared" si="12"/>
        <v xml:space="preserve">VISIOSUN pionowo </v>
      </c>
      <c r="C129" s="170">
        <f t="shared" si="9"/>
        <v>337.15439999999995</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566"/>
      <c r="B130" s="185" t="str">
        <f t="shared" si="12"/>
        <v xml:space="preserve">VISIOSUN satyna pionowo </v>
      </c>
      <c r="C130" s="170">
        <f t="shared" si="9"/>
        <v>504.42750000000001</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566"/>
      <c r="B131" s="185" t="str">
        <f t="shared" si="12"/>
        <v xml:space="preserve">VISIOSUN satyna poziomo </v>
      </c>
      <c r="C131" s="170">
        <f t="shared" si="9"/>
        <v>504.42750000000001</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566"/>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566"/>
      <c r="B133" s="185" t="str">
        <f t="shared" si="12"/>
        <v xml:space="preserve">Lacobel RAL 7035 </v>
      </c>
      <c r="C133" s="170">
        <f t="shared" si="9"/>
        <v>313.63200000000001</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566"/>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566"/>
      <c r="B135" s="185" t="str">
        <f t="shared" si="12"/>
        <v xml:space="preserve">Lacobel RAL 9003 </v>
      </c>
      <c r="C135" s="170">
        <f t="shared" si="9"/>
        <v>376.35839999999996</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566"/>
      <c r="B136" s="185" t="str">
        <f t="shared" si="12"/>
        <v xml:space="preserve">Lacobel RAL 9005 </v>
      </c>
      <c r="C136" s="170">
        <f t="shared" si="9"/>
        <v>285.40511999999995</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566"/>
      <c r="B137" s="185" t="str">
        <f t="shared" si="12"/>
        <v xml:space="preserve">Lacobel RAL 9006 </v>
      </c>
      <c r="C137" s="170">
        <f t="shared" si="9"/>
        <v>376.35839999999996</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566"/>
      <c r="B138" s="185" t="str">
        <f t="shared" si="12"/>
        <v xml:space="preserve">Lacobel RAL 9007 </v>
      </c>
      <c r="C138" s="170">
        <f t="shared" si="9"/>
        <v>376.35839999999996</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566"/>
      <c r="B139" s="185" t="str">
        <f t="shared" si="12"/>
        <v xml:space="preserve">Lacobel RAL 9010 </v>
      </c>
      <c r="C139" s="170">
        <f t="shared" si="9"/>
        <v>285.40511999999995</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566"/>
      <c r="B140" s="185" t="str">
        <f t="shared" si="12"/>
        <v xml:space="preserve">Moru brąz pionowo </v>
      </c>
      <c r="C140" s="170">
        <f t="shared" si="9"/>
        <v>490.05</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566"/>
      <c r="B141" s="185" t="str">
        <f t="shared" si="12"/>
        <v xml:space="preserve">Moru grafit pionowo </v>
      </c>
      <c r="C141" s="170">
        <f t="shared" si="9"/>
        <v>490.05</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566"/>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566"/>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566"/>
      <c r="B144" s="185" t="str">
        <f t="shared" ref="B144:B145" si="13">IF($D$1=1,M144,
IF($D$1=2,N144,
IF($D$1=3,O144,
IF($D$1=4,P144,
IF($D$1=5,Q144,
IF($D$1=6,R144,0))))))</f>
        <v xml:space="preserve">Moru brąz poziomo </v>
      </c>
      <c r="C144" s="170">
        <f t="shared" ref="C144:C145" si="14">IF($D$1=1,E144,IF(OR($D$1=2,$D$1=5),G144,IF($D$1=3,I144,IF($D$1=4,K144,IF($D$1=6,G144*1.3,0)))))</f>
        <v>490.05</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566"/>
      <c r="B145" s="185" t="str">
        <f t="shared" si="13"/>
        <v xml:space="preserve">Moru grafit poziomo </v>
      </c>
      <c r="C145" s="170">
        <f t="shared" si="14"/>
        <v>490.05</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566"/>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566"/>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566"/>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566"/>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566"/>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566"/>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566"/>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566"/>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566"/>
      <c r="B154" s="185" t="str">
        <f t="shared" ref="B154:B155" si="15">IF($D$1=1,M154,
IF($D$1=2,N154,
IF($D$1=3,O154,
IF($D$1=4,P154,
IF($D$1=5,Q154,
IF($D$1=6,R154,0))))))</f>
        <v xml:space="preserve">Matelac RAL 9003 </v>
      </c>
      <c r="C154" s="170">
        <f t="shared" ref="C154:C155" si="16">IF($D$1=1,E154,IF(OR($D$1=2,$D$1=5),G154,IF($D$1=3,I154,IF($D$1=4,K154,IF($D$1=6,G154*1.3,0)))))</f>
        <v>594.59400000000005</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566"/>
      <c r="B155" s="185" t="str">
        <f t="shared" si="15"/>
        <v xml:space="preserve">Matelac RAL 9005 </v>
      </c>
      <c r="C155" s="170">
        <f t="shared" si="16"/>
        <v>475.67520000000002</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566"/>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566"/>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566"/>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566"/>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566"/>
      <c r="B160" s="185" t="str">
        <f t="shared" ref="B160:B167" si="17">IF($D$1=1,M160,
IF($D$1=2,N160,
IF($D$1=3,O160,
IF($D$1=4,P160,
IF($D$1=5,Q160,
IF($D$1=6,R160,0))))))</f>
        <v>Matelac lustro bronz</v>
      </c>
      <c r="C160" s="170">
        <f t="shared" ref="C160:C167" si="18">IF($D$1=1,E160,IF(OR($D$1=2,$D$1=5),G160,IF($D$1=3,I160,IF($D$1=4,K160,IF($D$1=6,G160*1.3,0)))))</f>
        <v>499.45895999999993</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566"/>
      <c r="B161" s="185" t="str">
        <f t="shared" si="17"/>
        <v>Optiwhite</v>
      </c>
      <c r="C161" s="170">
        <f t="shared" si="18"/>
        <v>219.54239999999999</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566"/>
      <c r="B162" s="185" t="str">
        <f t="shared" si="17"/>
        <v>Matelac lustro grafit</v>
      </c>
      <c r="C162" s="170">
        <f t="shared" si="18"/>
        <v>499.45895999999993</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566"/>
      <c r="B163" s="185" t="str">
        <f t="shared" si="17"/>
        <v>Matelac lustro srebrny</v>
      </c>
      <c r="C163" s="170">
        <f t="shared" si="18"/>
        <v>594.59400000000005</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siatka alu złota - oko 10x6x1 mm</v>
      </c>
      <c r="C164" s="170">
        <f t="shared" si="18"/>
        <v>1959.5520000000001</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siatka stal czarny mat RAL 9005– oko 8x4x1 mm</v>
      </c>
      <c r="C165" s="170">
        <f t="shared" si="18"/>
        <v>787.32</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siatka stalowa biała - oko 8x4x1 mm</v>
      </c>
      <c r="C166" s="170">
        <f t="shared" si="18"/>
        <v>787.32</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siatka elox - oko 10x6x1 mm</v>
      </c>
      <c r="C167" s="170">
        <f t="shared" si="18"/>
        <v>1959.5520000000001</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570"/>
      <c r="H168" s="570"/>
      <c r="I168" s="570"/>
      <c r="J168" s="570"/>
      <c r="K168" s="570"/>
      <c r="L168" s="570"/>
      <c r="AA168" s="185" t="s">
        <v>3404</v>
      </c>
      <c r="AB168" s="185" t="s">
        <v>3182</v>
      </c>
      <c r="AH168"/>
      <c r="AI168"/>
    </row>
    <row r="169" spans="1:35">
      <c r="B169" s="182" t="str">
        <f>IF($D$1=1,M169,IF($D$1=2,N169,IF($D$1=3,O169,IF($D$1=4,P169,IF($D$1=5,Q169,IF($D$1=6,R169,0))))))</f>
        <v>Ramka</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Standardowe wiercenie pod puszkę zawiasu wynosi 3mm od krawędzi.</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Podane ceny nie zawierają podatku VAT ani nie zawierają ceny okuć!</v>
      </c>
      <c r="M171" s="175" t="s">
        <v>413</v>
      </c>
      <c r="N171" s="133" t="s">
        <v>470</v>
      </c>
      <c r="O171" s="133" t="s">
        <v>876</v>
      </c>
      <c r="P171" s="133" t="s">
        <v>1238</v>
      </c>
      <c r="Q171" s="133" t="s">
        <v>1440</v>
      </c>
      <c r="R171" s="325" t="s">
        <v>3851</v>
      </c>
      <c r="AA171" s="178" t="s">
        <v>3490</v>
      </c>
      <c r="AB171" s="178" t="s">
        <v>3099</v>
      </c>
      <c r="AH171"/>
      <c r="AI171"/>
    </row>
    <row r="172" spans="1:35">
      <c r="B172" s="182" t="str">
        <f t="shared" si="19"/>
        <v>Rodzaj profilu</v>
      </c>
      <c r="M172" s="175" t="s">
        <v>149</v>
      </c>
      <c r="N172" s="133" t="s">
        <v>149</v>
      </c>
      <c r="O172" s="133" t="s">
        <v>333</v>
      </c>
      <c r="P172" s="133" t="s">
        <v>345</v>
      </c>
      <c r="Q172" s="133" t="s">
        <v>1441</v>
      </c>
      <c r="R172" s="325" t="s">
        <v>3852</v>
      </c>
      <c r="AA172" s="178" t="s">
        <v>3491</v>
      </c>
      <c r="AB172" s="178" t="s">
        <v>3100</v>
      </c>
      <c r="AH172"/>
      <c r="AI172"/>
    </row>
    <row r="173" spans="1:35">
      <c r="B173" s="182" t="str">
        <f t="shared" si="19"/>
        <v>Rodzaj szkła</v>
      </c>
      <c r="M173" s="175" t="s">
        <v>2081</v>
      </c>
      <c r="N173" s="133" t="s">
        <v>2082</v>
      </c>
      <c r="O173" s="133" t="s">
        <v>12</v>
      </c>
      <c r="P173" s="133" t="s">
        <v>275</v>
      </c>
      <c r="Q173" s="133" t="s">
        <v>1347</v>
      </c>
      <c r="R173" s="325" t="s">
        <v>3853</v>
      </c>
      <c r="AA173" s="178" t="s">
        <v>3492</v>
      </c>
      <c r="AB173" s="178" t="s">
        <v>3101</v>
      </c>
      <c r="AH173"/>
      <c r="AI173"/>
    </row>
    <row r="174" spans="1:35">
      <c r="B174" s="182" t="str">
        <f t="shared" si="19"/>
        <v>Ilość sztuk</v>
      </c>
      <c r="M174" s="175" t="s">
        <v>4</v>
      </c>
      <c r="N174" s="133" t="s">
        <v>153</v>
      </c>
      <c r="O174" s="133" t="s">
        <v>13</v>
      </c>
      <c r="P174" s="133" t="s">
        <v>1239</v>
      </c>
      <c r="Q174" s="133" t="s">
        <v>901</v>
      </c>
      <c r="R174" s="325" t="s">
        <v>3854</v>
      </c>
      <c r="AA174" s="179" t="s">
        <v>3493</v>
      </c>
      <c r="AB174" s="178" t="s">
        <v>3102</v>
      </c>
      <c r="AH174"/>
      <c r="AI174"/>
    </row>
    <row r="175" spans="1:35">
      <c r="B175" s="182" t="str">
        <f t="shared" si="19"/>
        <v>Szerokość</v>
      </c>
      <c r="M175" s="175" t="s">
        <v>3</v>
      </c>
      <c r="N175" s="133" t="s">
        <v>154</v>
      </c>
      <c r="O175" s="133" t="s">
        <v>9</v>
      </c>
      <c r="P175" s="133" t="s">
        <v>276</v>
      </c>
      <c r="Q175" s="133" t="s">
        <v>902</v>
      </c>
      <c r="R175" s="325" t="s">
        <v>3855</v>
      </c>
      <c r="AA175" s="179" t="s">
        <v>3494</v>
      </c>
      <c r="AB175" s="178" t="s">
        <v>3103</v>
      </c>
      <c r="AH175"/>
      <c r="AI175"/>
    </row>
    <row r="176" spans="1:35">
      <c r="B176" s="182" t="str">
        <f t="shared" si="19"/>
        <v>Wysokość</v>
      </c>
      <c r="M176" s="175" t="s">
        <v>14</v>
      </c>
      <c r="N176" s="133" t="s">
        <v>14</v>
      </c>
      <c r="O176" s="133" t="s">
        <v>10</v>
      </c>
      <c r="P176" s="133" t="s">
        <v>277</v>
      </c>
      <c r="Q176" s="133" t="s">
        <v>903</v>
      </c>
      <c r="R176" s="325" t="s">
        <v>3856</v>
      </c>
      <c r="AA176" s="179" t="s">
        <v>3557</v>
      </c>
      <c r="AB176" s="179" t="s">
        <v>1603</v>
      </c>
      <c r="AH176"/>
      <c r="AI176"/>
    </row>
    <row r="177" spans="2:35">
      <c r="B177" s="182" t="str">
        <f t="shared" si="19"/>
        <v>Uwagi (notatki)</v>
      </c>
      <c r="M177" s="175" t="s">
        <v>331</v>
      </c>
      <c r="N177" s="133" t="s">
        <v>331</v>
      </c>
      <c r="O177" s="133" t="s">
        <v>210</v>
      </c>
      <c r="P177" s="133" t="s">
        <v>332</v>
      </c>
      <c r="Q177" s="133" t="s">
        <v>1407</v>
      </c>
      <c r="R177" s="325" t="s">
        <v>3857</v>
      </c>
      <c r="AA177" s="179" t="s">
        <v>3495</v>
      </c>
      <c r="AB177" s="178" t="s">
        <v>3104</v>
      </c>
      <c r="AH177"/>
      <c r="AI177"/>
    </row>
    <row r="178" spans="2:35">
      <c r="B178" s="182" t="str">
        <f t="shared" si="19"/>
        <v>Cena ramek</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Cena okuć</v>
      </c>
      <c r="M179" s="133" t="s">
        <v>17</v>
      </c>
      <c r="N179" s="133" t="s">
        <v>156</v>
      </c>
      <c r="O179" s="133" t="s">
        <v>212</v>
      </c>
      <c r="P179" s="133" t="s">
        <v>279</v>
      </c>
      <c r="Q179" s="133" t="s">
        <v>1442</v>
      </c>
      <c r="R179" s="325" t="s">
        <v>3859</v>
      </c>
      <c r="AA179" s="179" t="s">
        <v>3497</v>
      </c>
      <c r="AB179" s="178" t="s">
        <v>3106</v>
      </c>
      <c r="AH179"/>
      <c r="AI179"/>
    </row>
    <row r="180" spans="2:35">
      <c r="B180" s="182" t="str">
        <f t="shared" si="19"/>
        <v>Cena za kompletne zamówienie</v>
      </c>
      <c r="M180" s="133" t="s">
        <v>49</v>
      </c>
      <c r="N180" s="133" t="s">
        <v>157</v>
      </c>
      <c r="O180" s="133" t="s">
        <v>213</v>
      </c>
      <c r="P180" s="133" t="s">
        <v>280</v>
      </c>
      <c r="Q180" s="133" t="s">
        <v>1443</v>
      </c>
      <c r="R180" s="325" t="s">
        <v>3860</v>
      </c>
      <c r="AA180" s="179" t="s">
        <v>3498</v>
      </c>
      <c r="AB180" s="178" t="s">
        <v>555</v>
      </c>
      <c r="AH180"/>
      <c r="AI180"/>
    </row>
    <row r="181" spans="2:35">
      <c r="B181" s="182" t="str">
        <f t="shared" si="19"/>
        <v>Zawiasy</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 pozostałe</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z tłumieniem</v>
      </c>
      <c r="M183" s="175" t="s">
        <v>639</v>
      </c>
      <c r="N183" s="133" t="s">
        <v>845</v>
      </c>
      <c r="O183" s="133" t="s">
        <v>846</v>
      </c>
      <c r="P183" s="133" t="s">
        <v>847</v>
      </c>
      <c r="Q183" s="133" t="s">
        <v>1446</v>
      </c>
      <c r="R183" s="325" t="s">
        <v>3863</v>
      </c>
      <c r="AA183" s="179" t="s">
        <v>3501</v>
      </c>
      <c r="AB183" s="178" t="s">
        <v>3109</v>
      </c>
      <c r="AH183"/>
      <c r="AI183"/>
    </row>
    <row r="184" spans="2:35">
      <c r="B184" s="182" t="str">
        <f t="shared" si="19"/>
        <v>Zawias z podnośnikiem gazowym</v>
      </c>
      <c r="M184" s="175" t="s">
        <v>406</v>
      </c>
      <c r="N184" s="133" t="s">
        <v>407</v>
      </c>
      <c r="O184" s="133" t="s">
        <v>1300</v>
      </c>
      <c r="P184" s="133" t="s">
        <v>1241</v>
      </c>
      <c r="Q184" s="133" t="s">
        <v>1447</v>
      </c>
      <c r="R184" s="325" t="s">
        <v>3864</v>
      </c>
      <c r="AA184" s="178" t="s">
        <v>3502</v>
      </c>
      <c r="AB184" s="178" t="s">
        <v>3110</v>
      </c>
      <c r="AH184"/>
      <c r="AI184"/>
    </row>
    <row r="185" spans="2:35">
      <c r="B185" s="182" t="str">
        <f t="shared" si="19"/>
        <v>Górne drzwi</v>
      </c>
      <c r="M185" s="175" t="s">
        <v>3015</v>
      </c>
      <c r="N185" s="133" t="s">
        <v>158</v>
      </c>
      <c r="O185" s="133" t="s">
        <v>214</v>
      </c>
      <c r="P185" s="133" t="s">
        <v>408</v>
      </c>
      <c r="Q185" s="133" t="s">
        <v>1348</v>
      </c>
      <c r="R185" s="325" t="s">
        <v>3865</v>
      </c>
      <c r="AA185" s="179" t="s">
        <v>3503</v>
      </c>
      <c r="AB185" s="178" t="s">
        <v>3111</v>
      </c>
      <c r="AH185"/>
      <c r="AI185"/>
    </row>
    <row r="186" spans="2:35">
      <c r="B186" s="182" t="str">
        <f t="shared" si="19"/>
        <v>Dolne drzwi</v>
      </c>
      <c r="M186" s="175" t="s">
        <v>3016</v>
      </c>
      <c r="N186" s="133" t="s">
        <v>159</v>
      </c>
      <c r="O186" s="133" t="s">
        <v>215</v>
      </c>
      <c r="P186" s="133" t="s">
        <v>281</v>
      </c>
      <c r="Q186" s="133" t="s">
        <v>1349</v>
      </c>
      <c r="R186" s="325" t="s">
        <v>3866</v>
      </c>
      <c r="AA186" s="179" t="s">
        <v>3504</v>
      </c>
      <c r="AB186" s="178" t="s">
        <v>3112</v>
      </c>
      <c r="AH186"/>
      <c r="AI186"/>
    </row>
    <row r="187" spans="2:35">
      <c r="B187" s="182" t="str">
        <f t="shared" si="19"/>
        <v>Nakładany Clip</v>
      </c>
      <c r="M187" s="154" t="s">
        <v>64</v>
      </c>
      <c r="N187" s="133" t="s">
        <v>64</v>
      </c>
      <c r="O187" s="133" t="s">
        <v>216</v>
      </c>
      <c r="P187" s="133" t="s">
        <v>282</v>
      </c>
      <c r="Q187" s="133" t="s">
        <v>1448</v>
      </c>
      <c r="R187" s="325" t="s">
        <v>3867</v>
      </c>
      <c r="AA187" s="179" t="s">
        <v>3505</v>
      </c>
      <c r="AB187" s="179" t="s">
        <v>3113</v>
      </c>
      <c r="AH187"/>
      <c r="AI187"/>
    </row>
    <row r="188" spans="2:35">
      <c r="B188" s="182" t="str">
        <f t="shared" si="19"/>
        <v>Półnakładany Clip</v>
      </c>
      <c r="M188" s="154" t="s">
        <v>65</v>
      </c>
      <c r="N188" s="133" t="s">
        <v>65</v>
      </c>
      <c r="O188" s="133" t="s">
        <v>217</v>
      </c>
      <c r="P188" s="133" t="s">
        <v>1242</v>
      </c>
      <c r="Q188" s="133" t="s">
        <v>1449</v>
      </c>
      <c r="R188" s="325" t="s">
        <v>3868</v>
      </c>
      <c r="AA188" s="178" t="s">
        <v>3506</v>
      </c>
      <c r="AB188" s="178" t="s">
        <v>3114</v>
      </c>
      <c r="AH188"/>
      <c r="AI188"/>
    </row>
    <row r="189" spans="2:35">
      <c r="B189" s="182" t="str">
        <f t="shared" si="19"/>
        <v>Wpuszczany Clip</v>
      </c>
      <c r="M189" s="154" t="s">
        <v>66</v>
      </c>
      <c r="N189" s="133" t="s">
        <v>66</v>
      </c>
      <c r="O189" s="133" t="s">
        <v>218</v>
      </c>
      <c r="P189" s="133" t="s">
        <v>1243</v>
      </c>
      <c r="Q189" s="133" t="s">
        <v>1450</v>
      </c>
      <c r="R189" s="325" t="s">
        <v>3869</v>
      </c>
      <c r="AA189" s="178" t="s">
        <v>3507</v>
      </c>
      <c r="AB189" s="178" t="s">
        <v>3115</v>
      </c>
      <c r="AH189"/>
      <c r="AI189"/>
    </row>
    <row r="190" spans="2:35">
      <c r="B190" s="182" t="str">
        <f t="shared" si="19"/>
        <v>Kąt 45°</v>
      </c>
      <c r="M190" s="154" t="s">
        <v>67</v>
      </c>
      <c r="N190" s="133" t="s">
        <v>160</v>
      </c>
      <c r="O190" s="133" t="s">
        <v>219</v>
      </c>
      <c r="P190" s="133" t="s">
        <v>283</v>
      </c>
      <c r="Q190" s="133" t="s">
        <v>1350</v>
      </c>
      <c r="R190" s="325" t="s">
        <v>3870</v>
      </c>
      <c r="AA190" s="178" t="s">
        <v>3510</v>
      </c>
      <c r="AB190" s="178" t="s">
        <v>3116</v>
      </c>
      <c r="AH190"/>
      <c r="AI190"/>
    </row>
    <row r="191" spans="2:35">
      <c r="B191" s="182" t="str">
        <f t="shared" si="19"/>
        <v>Nakładany</v>
      </c>
      <c r="M191" s="133" t="s">
        <v>68</v>
      </c>
      <c r="N191" s="133" t="s">
        <v>161</v>
      </c>
      <c r="O191" s="133" t="s">
        <v>220</v>
      </c>
      <c r="P191" s="133" t="s">
        <v>284</v>
      </c>
      <c r="Q191" s="133" t="s">
        <v>1595</v>
      </c>
      <c r="R191" s="325" t="s">
        <v>3871</v>
      </c>
      <c r="AA191" s="179" t="s">
        <v>3511</v>
      </c>
      <c r="AB191" s="178" t="s">
        <v>3117</v>
      </c>
      <c r="AH191"/>
      <c r="AI191"/>
    </row>
    <row r="192" spans="2:35">
      <c r="B192" s="182" t="str">
        <f t="shared" si="19"/>
        <v>Półnakładany</v>
      </c>
      <c r="M192" s="133" t="s">
        <v>69</v>
      </c>
      <c r="N192" s="133" t="s">
        <v>162</v>
      </c>
      <c r="O192" s="133" t="s">
        <v>221</v>
      </c>
      <c r="P192" s="133" t="s">
        <v>1244</v>
      </c>
      <c r="Q192" s="133" t="s">
        <v>1452</v>
      </c>
      <c r="R192" s="325" t="s">
        <v>3872</v>
      </c>
      <c r="AA192" s="179" t="s">
        <v>3512</v>
      </c>
      <c r="AB192" s="179" t="s">
        <v>3118</v>
      </c>
      <c r="AH192"/>
      <c r="AI192"/>
    </row>
    <row r="193" spans="2:35">
      <c r="B193" s="182" t="str">
        <f t="shared" si="19"/>
        <v xml:space="preserve">Wpuszczany </v>
      </c>
      <c r="M193" s="133" t="s">
        <v>70</v>
      </c>
      <c r="N193" s="133" t="s">
        <v>163</v>
      </c>
      <c r="O193" s="133" t="s">
        <v>222</v>
      </c>
      <c r="P193" s="133" t="s">
        <v>1245</v>
      </c>
      <c r="Q193" s="133" t="s">
        <v>905</v>
      </c>
      <c r="R193" s="325" t="s">
        <v>3873</v>
      </c>
      <c r="AA193" s="179" t="s">
        <v>3515</v>
      </c>
      <c r="AB193" s="178" t="s">
        <v>3119</v>
      </c>
      <c r="AH193"/>
      <c r="AI193"/>
    </row>
    <row r="194" spans="2:35">
      <c r="B194" s="182" t="str">
        <f t="shared" si="19"/>
        <v>Kąt 45°</v>
      </c>
      <c r="M194" s="133" t="s">
        <v>67</v>
      </c>
      <c r="N194" s="133" t="s">
        <v>160</v>
      </c>
      <c r="O194" s="133" t="s">
        <v>219</v>
      </c>
      <c r="P194" s="133" t="s">
        <v>283</v>
      </c>
      <c r="Q194" s="133" t="s">
        <v>1350</v>
      </c>
      <c r="R194" s="325" t="s">
        <v>3870</v>
      </c>
      <c r="AA194" s="179" t="s">
        <v>3516</v>
      </c>
      <c r="AB194" s="178" t="s">
        <v>3120</v>
      </c>
      <c r="AH194"/>
      <c r="AI194"/>
    </row>
    <row r="195" spans="2:35">
      <c r="B195" s="182" t="str">
        <f t="shared" si="19"/>
        <v>Nakładany z odwrotną funkcją sprężyny</v>
      </c>
      <c r="M195" s="133" t="s">
        <v>71</v>
      </c>
      <c r="N195" s="133" t="s">
        <v>71</v>
      </c>
      <c r="O195" s="133" t="s">
        <v>223</v>
      </c>
      <c r="P195" s="133" t="s">
        <v>287</v>
      </c>
      <c r="Q195" s="133" t="s">
        <v>1453</v>
      </c>
      <c r="R195" s="325" t="s">
        <v>3874</v>
      </c>
      <c r="AA195" s="179" t="s">
        <v>3517</v>
      </c>
      <c r="AB195" s="178" t="s">
        <v>3121</v>
      </c>
      <c r="AH195"/>
      <c r="AI195"/>
    </row>
    <row r="196" spans="2:35">
      <c r="B196" s="182" t="str">
        <f t="shared" si="19"/>
        <v>Wpuszczany z odwrotną funkcją sprężyny</v>
      </c>
      <c r="M196" s="133" t="s">
        <v>72</v>
      </c>
      <c r="N196" s="133" t="s">
        <v>72</v>
      </c>
      <c r="O196" s="133" t="s">
        <v>224</v>
      </c>
      <c r="P196" s="133" t="s">
        <v>1246</v>
      </c>
      <c r="Q196" s="133" t="s">
        <v>1454</v>
      </c>
      <c r="R196" s="325" t="s">
        <v>3875</v>
      </c>
      <c r="AA196" s="179" t="s">
        <v>3518</v>
      </c>
      <c r="AB196" s="178" t="s">
        <v>3122</v>
      </c>
      <c r="AH196"/>
      <c r="AI196"/>
    </row>
    <row r="197" spans="2:35">
      <c r="B197" s="182" t="str">
        <f t="shared" si="19"/>
        <v>Clip na wkręt H2</v>
      </c>
      <c r="M197" s="175" t="s">
        <v>87</v>
      </c>
      <c r="N197" s="133" t="s">
        <v>164</v>
      </c>
      <c r="O197" s="133" t="s">
        <v>225</v>
      </c>
      <c r="P197" s="133" t="s">
        <v>288</v>
      </c>
      <c r="Q197" s="133" t="s">
        <v>1455</v>
      </c>
      <c r="R197" s="325" t="s">
        <v>3876</v>
      </c>
      <c r="AA197" s="178" t="s">
        <v>3519</v>
      </c>
      <c r="AB197" s="178" t="s">
        <v>3123</v>
      </c>
      <c r="AH197"/>
      <c r="AI197"/>
    </row>
    <row r="198" spans="2:35">
      <c r="B198" s="182" t="str">
        <f t="shared" si="19"/>
        <v>Clip na wkręt H4</v>
      </c>
      <c r="M198" s="175" t="s">
        <v>88</v>
      </c>
      <c r="N198" s="133" t="s">
        <v>165</v>
      </c>
      <c r="O198" s="133" t="s">
        <v>226</v>
      </c>
      <c r="P198" s="133" t="s">
        <v>289</v>
      </c>
      <c r="Q198" s="133" t="s">
        <v>1456</v>
      </c>
      <c r="R198" s="325" t="s">
        <v>3877</v>
      </c>
      <c r="AA198" s="178" t="s">
        <v>3520</v>
      </c>
      <c r="AB198" s="178" t="s">
        <v>3124</v>
      </c>
      <c r="AH198"/>
      <c r="AI198"/>
    </row>
    <row r="199" spans="2:35">
      <c r="B199" s="182" t="str">
        <f t="shared" si="19"/>
        <v>Clip na wkręt euro H2</v>
      </c>
      <c r="M199" s="175" t="s">
        <v>89</v>
      </c>
      <c r="N199" s="133" t="s">
        <v>166</v>
      </c>
      <c r="O199" s="133" t="s">
        <v>227</v>
      </c>
      <c r="P199" s="133" t="s">
        <v>290</v>
      </c>
      <c r="Q199" s="133" t="s">
        <v>1457</v>
      </c>
      <c r="R199" s="325" t="s">
        <v>4243</v>
      </c>
      <c r="AA199" s="179" t="s">
        <v>3521</v>
      </c>
      <c r="AB199" s="178" t="s">
        <v>3125</v>
      </c>
      <c r="AH199"/>
      <c r="AI199"/>
    </row>
    <row r="200" spans="2:35">
      <c r="B200" s="182" t="str">
        <f t="shared" si="19"/>
        <v>Clip na wkręt euro H4</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na wkręt H2</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na wkręt H4</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na euro wkręt H2</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na euro wkręt H4</v>
      </c>
      <c r="M204" s="175" t="s">
        <v>94</v>
      </c>
      <c r="N204" s="133" t="s">
        <v>171</v>
      </c>
      <c r="O204" s="133" t="s">
        <v>232</v>
      </c>
      <c r="P204" s="133" t="s">
        <v>295</v>
      </c>
      <c r="Q204" s="133" t="s">
        <v>1462</v>
      </c>
      <c r="R204" s="325" t="s">
        <v>3882</v>
      </c>
      <c r="AA204" s="178" t="s">
        <v>3526</v>
      </c>
      <c r="AB204" s="209" t="s">
        <v>3130</v>
      </c>
      <c r="AH204"/>
      <c r="AI204"/>
    </row>
    <row r="205" spans="2:35">
      <c r="B205" s="182" t="str">
        <f t="shared" si="19"/>
        <v>Nakładany do Blumotion</v>
      </c>
      <c r="M205" s="175" t="s">
        <v>78</v>
      </c>
      <c r="N205" s="133" t="s">
        <v>172</v>
      </c>
      <c r="O205" s="133" t="s">
        <v>233</v>
      </c>
      <c r="P205" s="133" t="s">
        <v>296</v>
      </c>
      <c r="Q205" s="133" t="s">
        <v>1463</v>
      </c>
      <c r="R205" s="325" t="s">
        <v>3883</v>
      </c>
      <c r="AA205" s="179" t="s">
        <v>3527</v>
      </c>
      <c r="AB205" s="178" t="s">
        <v>3131</v>
      </c>
      <c r="AH205"/>
      <c r="AI205"/>
    </row>
    <row r="206" spans="2:35">
      <c r="B206" s="182" t="str">
        <f t="shared" si="19"/>
        <v>Półnakładany ze zintegrowanym Blumotionem</v>
      </c>
      <c r="M206" s="175" t="s">
        <v>432</v>
      </c>
      <c r="N206" s="133" t="s">
        <v>471</v>
      </c>
      <c r="O206" s="133" t="s">
        <v>1301</v>
      </c>
      <c r="P206" s="133" t="s">
        <v>482</v>
      </c>
      <c r="Q206" s="133" t="s">
        <v>1464</v>
      </c>
      <c r="R206" s="325" t="s">
        <v>3884</v>
      </c>
      <c r="AA206" s="178" t="s">
        <v>3528</v>
      </c>
      <c r="AB206" s="178" t="s">
        <v>3132</v>
      </c>
      <c r="AH206"/>
      <c r="AI206"/>
    </row>
    <row r="207" spans="2:35">
      <c r="B207" s="182" t="str">
        <f t="shared" si="19"/>
        <v>Wpuszczany ze zintegrowanym Blumotionem</v>
      </c>
      <c r="M207" s="175" t="s">
        <v>433</v>
      </c>
      <c r="N207" s="133" t="s">
        <v>472</v>
      </c>
      <c r="O207" s="133" t="s">
        <v>1302</v>
      </c>
      <c r="P207" s="133" t="s">
        <v>1247</v>
      </c>
      <c r="Q207" s="133" t="s">
        <v>1465</v>
      </c>
      <c r="R207" s="325" t="s">
        <v>3885</v>
      </c>
      <c r="AA207" s="178" t="s">
        <v>3529</v>
      </c>
      <c r="AB207" s="178" t="s">
        <v>3181</v>
      </c>
      <c r="AH207"/>
      <c r="AI207"/>
    </row>
    <row r="208" spans="2:35">
      <c r="B208" s="182" t="str">
        <f t="shared" si="19"/>
        <v>45° clip nakładany</v>
      </c>
      <c r="M208" s="133" t="s">
        <v>80</v>
      </c>
      <c r="N208" s="133" t="s">
        <v>173</v>
      </c>
      <c r="O208" s="133" t="s">
        <v>234</v>
      </c>
      <c r="P208" s="133" t="s">
        <v>297</v>
      </c>
      <c r="Q208" s="133" t="s">
        <v>1466</v>
      </c>
      <c r="R208" s="325" t="s">
        <v>3886</v>
      </c>
      <c r="AA208" s="178" t="s">
        <v>3530</v>
      </c>
      <c r="AB208" s="209" t="s">
        <v>3179</v>
      </c>
      <c r="AH208"/>
      <c r="AI208"/>
    </row>
    <row r="209" spans="2:35">
      <c r="B209" s="182" t="str">
        <f t="shared" si="19"/>
        <v>45° clip półnakładany</v>
      </c>
      <c r="M209" s="133" t="s">
        <v>79</v>
      </c>
      <c r="N209" s="133" t="s">
        <v>79</v>
      </c>
      <c r="O209" s="133" t="s">
        <v>235</v>
      </c>
      <c r="P209" s="133" t="s">
        <v>1248</v>
      </c>
      <c r="Q209" s="133" t="s">
        <v>1467</v>
      </c>
      <c r="R209" s="325" t="s">
        <v>3887</v>
      </c>
      <c r="AA209" s="178" t="s">
        <v>3531</v>
      </c>
      <c r="AB209" s="209" t="s">
        <v>3133</v>
      </c>
      <c r="AH209"/>
      <c r="AI209"/>
    </row>
    <row r="210" spans="2:35">
      <c r="B210" s="182" t="str">
        <f t="shared" si="19"/>
        <v xml:space="preserve">Nakładany bez sprężyny </v>
      </c>
      <c r="M210" s="133" t="s">
        <v>73</v>
      </c>
      <c r="N210" s="133" t="s">
        <v>73</v>
      </c>
      <c r="O210" s="133" t="s">
        <v>236</v>
      </c>
      <c r="P210" s="133" t="s">
        <v>298</v>
      </c>
      <c r="Q210" s="133" t="s">
        <v>1468</v>
      </c>
      <c r="R210" s="325" t="s">
        <v>3888</v>
      </c>
      <c r="AA210" s="178" t="s">
        <v>3532</v>
      </c>
      <c r="AB210" s="178" t="s">
        <v>3134</v>
      </c>
      <c r="AH210"/>
      <c r="AI210"/>
    </row>
    <row r="211" spans="2:35">
      <c r="B211" s="182" t="str">
        <f t="shared" si="19"/>
        <v>Nakładany bez sprężyny (TIP-ON)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 xml:space="preserve">Clip na wkręt euro </v>
      </c>
      <c r="M212" s="133" t="s">
        <v>83</v>
      </c>
      <c r="N212" s="133" t="s">
        <v>175</v>
      </c>
      <c r="O212" s="133" t="s">
        <v>238</v>
      </c>
      <c r="P212" s="133" t="s">
        <v>300</v>
      </c>
      <c r="Q212" s="133" t="s">
        <v>1470</v>
      </c>
      <c r="R212" s="325" t="s">
        <v>3890</v>
      </c>
      <c r="AA212" s="178" t="s">
        <v>3534</v>
      </c>
      <c r="AB212" s="209" t="s">
        <v>2568</v>
      </c>
      <c r="AH212"/>
      <c r="AI212"/>
    </row>
    <row r="213" spans="2:35">
      <c r="B213" s="182" t="str">
        <f t="shared" si="19"/>
        <v>Clip na wkręt</v>
      </c>
      <c r="M213" s="133" t="s">
        <v>82</v>
      </c>
      <c r="N213" s="133" t="s">
        <v>176</v>
      </c>
      <c r="O213" s="133" t="s">
        <v>239</v>
      </c>
      <c r="P213" s="133" t="s">
        <v>301</v>
      </c>
      <c r="Q213" s="133" t="s">
        <v>1471</v>
      </c>
      <c r="R213" s="325" t="s">
        <v>3891</v>
      </c>
      <c r="AA213" s="178" t="s">
        <v>3535</v>
      </c>
      <c r="AB213" s="209" t="s">
        <v>3180</v>
      </c>
      <c r="AH213"/>
      <c r="AI213"/>
    </row>
    <row r="214" spans="2:35">
      <c r="B214" s="182" t="str">
        <f t="shared" si="19"/>
        <v>Podwyższenie o 6mm</v>
      </c>
      <c r="M214" s="133" t="s">
        <v>84</v>
      </c>
      <c r="N214" s="133" t="s">
        <v>177</v>
      </c>
      <c r="O214" s="133" t="s">
        <v>1303</v>
      </c>
      <c r="P214" s="133" t="s">
        <v>302</v>
      </c>
      <c r="Q214" s="133" t="s">
        <v>906</v>
      </c>
      <c r="R214" s="325" t="s">
        <v>3892</v>
      </c>
      <c r="AA214" s="178" t="s">
        <v>3536</v>
      </c>
      <c r="AB214" s="209" t="s">
        <v>3136</v>
      </c>
      <c r="AH214"/>
      <c r="AI214"/>
    </row>
    <row r="215" spans="2:35">
      <c r="B215" s="182" t="str">
        <f t="shared" si="19"/>
        <v>45° clip</v>
      </c>
      <c r="M215" s="133" t="s">
        <v>0</v>
      </c>
      <c r="N215" s="133" t="s">
        <v>178</v>
      </c>
      <c r="O215" s="133" t="s">
        <v>0</v>
      </c>
      <c r="P215" s="133" t="s">
        <v>1249</v>
      </c>
      <c r="Q215" s="133" t="s">
        <v>1472</v>
      </c>
      <c r="R215" s="325" t="s">
        <v>3893</v>
      </c>
      <c r="AA215" s="178" t="s">
        <v>3537</v>
      </c>
      <c r="AB215" s="209" t="s">
        <v>3137</v>
      </c>
      <c r="AH215"/>
      <c r="AI215"/>
    </row>
    <row r="216" spans="2:35">
      <c r="B216" s="182" t="str">
        <f t="shared" si="19"/>
        <v xml:space="preserve">Clip na wkręt euro H0 </v>
      </c>
      <c r="M216" s="133" t="s">
        <v>86</v>
      </c>
      <c r="N216" s="133" t="s">
        <v>179</v>
      </c>
      <c r="O216" s="133" t="s">
        <v>240</v>
      </c>
      <c r="P216" s="133" t="s">
        <v>303</v>
      </c>
      <c r="Q216" s="133" t="s">
        <v>1473</v>
      </c>
      <c r="R216" s="325" t="s">
        <v>3894</v>
      </c>
      <c r="AA216" s="178" t="s">
        <v>3538</v>
      </c>
      <c r="AB216" s="209" t="s">
        <v>3138</v>
      </c>
      <c r="AH216"/>
      <c r="AI216"/>
    </row>
    <row r="217" spans="2:35">
      <c r="B217" s="182" t="str">
        <f t="shared" si="19"/>
        <v>Clip na wkręt H0</v>
      </c>
      <c r="M217" s="133" t="s">
        <v>85</v>
      </c>
      <c r="N217" s="133" t="s">
        <v>180</v>
      </c>
      <c r="O217" s="133" t="s">
        <v>241</v>
      </c>
      <c r="P217" s="133" t="s">
        <v>304</v>
      </c>
      <c r="Q217" s="133" t="s">
        <v>1474</v>
      </c>
      <c r="R217" s="325" t="s">
        <v>3895</v>
      </c>
      <c r="AA217" s="178" t="s">
        <v>3539</v>
      </c>
      <c r="AB217" s="209" t="s">
        <v>3139</v>
      </c>
      <c r="AH217"/>
      <c r="AI217"/>
    </row>
    <row r="218" spans="2:35">
      <c r="B218" s="182" t="str">
        <f t="shared" si="19"/>
        <v>Wybierz pozycję ramki</v>
      </c>
      <c r="M218" s="133" t="s">
        <v>104</v>
      </c>
      <c r="N218" s="133" t="s">
        <v>181</v>
      </c>
      <c r="O218" s="133" t="s">
        <v>1304</v>
      </c>
      <c r="P218" s="133" t="s">
        <v>305</v>
      </c>
      <c r="Q218" s="133" t="s">
        <v>1351</v>
      </c>
      <c r="R218" s="325" t="s">
        <v>3896</v>
      </c>
      <c r="AA218" s="177" t="s">
        <v>3540</v>
      </c>
      <c r="AB218" s="209" t="s">
        <v>3140</v>
      </c>
      <c r="AH218"/>
      <c r="AI218"/>
    </row>
    <row r="219" spans="2:35">
      <c r="B219" s="182" t="str">
        <f t="shared" si="19"/>
        <v>Marka zawiasu</v>
      </c>
      <c r="M219" s="133" t="s">
        <v>95</v>
      </c>
      <c r="N219" s="133" t="s">
        <v>182</v>
      </c>
      <c r="O219" s="133" t="s">
        <v>242</v>
      </c>
      <c r="P219" s="133" t="s">
        <v>306</v>
      </c>
      <c r="Q219" s="133" t="s">
        <v>1352</v>
      </c>
      <c r="R219" s="325" t="s">
        <v>3897</v>
      </c>
      <c r="AA219" s="34" t="s">
        <v>3541</v>
      </c>
      <c r="AB219" s="185" t="s">
        <v>3141</v>
      </c>
      <c r="AH219"/>
      <c r="AI219"/>
    </row>
    <row r="220" spans="2:35">
      <c r="B220" s="182" t="str">
        <f t="shared" si="19"/>
        <v>Rodzaj zawiasu</v>
      </c>
      <c r="M220" s="133" t="s">
        <v>96</v>
      </c>
      <c r="N220" s="133" t="s">
        <v>183</v>
      </c>
      <c r="O220" s="133" t="s">
        <v>243</v>
      </c>
      <c r="P220" s="133" t="s">
        <v>307</v>
      </c>
      <c r="Q220" s="133" t="s">
        <v>1475</v>
      </c>
      <c r="R220" s="325" t="s">
        <v>3898</v>
      </c>
      <c r="AA220" s="34" t="s">
        <v>3542</v>
      </c>
      <c r="AB220" s="185" t="s">
        <v>3142</v>
      </c>
      <c r="AH220"/>
      <c r="AI220"/>
    </row>
    <row r="221" spans="2:35">
      <c r="B221" s="182" t="str">
        <f t="shared" si="19"/>
        <v>Rodzaj Aventosu</v>
      </c>
      <c r="M221" s="175" t="s">
        <v>97</v>
      </c>
      <c r="N221" s="133" t="s">
        <v>97</v>
      </c>
      <c r="O221" s="133" t="s">
        <v>244</v>
      </c>
      <c r="P221" s="133" t="s">
        <v>1250</v>
      </c>
      <c r="Q221" s="133" t="s">
        <v>1476</v>
      </c>
      <c r="R221" s="325" t="s">
        <v>3899</v>
      </c>
      <c r="AA221" s="185" t="s">
        <v>3543</v>
      </c>
      <c r="AB221" s="185" t="s">
        <v>3143</v>
      </c>
      <c r="AH221"/>
      <c r="AI221"/>
    </row>
    <row r="222" spans="2:35">
      <c r="B222" s="182" t="str">
        <f t="shared" si="19"/>
        <v>Rodzaj prowadnika</v>
      </c>
      <c r="M222" s="175" t="s">
        <v>98</v>
      </c>
      <c r="N222" s="133" t="s">
        <v>98</v>
      </c>
      <c r="O222" s="133" t="s">
        <v>245</v>
      </c>
      <c r="P222" s="133" t="s">
        <v>308</v>
      </c>
      <c r="Q222" s="133" t="s">
        <v>1477</v>
      </c>
      <c r="R222" s="325" t="s">
        <v>3900</v>
      </c>
      <c r="AA222" s="185" t="s">
        <v>3544</v>
      </c>
      <c r="AB222" s="185" t="s">
        <v>2599</v>
      </c>
      <c r="AH222"/>
      <c r="AI222"/>
    </row>
    <row r="223" spans="2:35">
      <c r="B223" s="182" t="str">
        <f t="shared" si="19"/>
        <v>Ilość zawiasów na 1 ramkę</v>
      </c>
      <c r="M223" s="175" t="s">
        <v>2331</v>
      </c>
      <c r="N223" s="133" t="s">
        <v>184</v>
      </c>
      <c r="O223" s="133" t="s">
        <v>246</v>
      </c>
      <c r="P223" s="133" t="s">
        <v>309</v>
      </c>
      <c r="Q223" s="133" t="s">
        <v>1353</v>
      </c>
      <c r="R223" s="325" t="s">
        <v>3901</v>
      </c>
      <c r="AA223" s="185" t="s">
        <v>3545</v>
      </c>
      <c r="AB223" s="185" t="s">
        <v>3144</v>
      </c>
      <c r="AH223"/>
      <c r="AI223"/>
    </row>
    <row r="224" spans="2:35">
      <c r="B224" s="182" t="str">
        <f t="shared" si="19"/>
        <v>Podnośniki gazowe</v>
      </c>
      <c r="M224" s="175" t="s">
        <v>100</v>
      </c>
      <c r="N224" s="133" t="s">
        <v>185</v>
      </c>
      <c r="O224" s="133" t="s">
        <v>247</v>
      </c>
      <c r="P224" s="133" t="s">
        <v>1251</v>
      </c>
      <c r="Q224" s="133" t="s">
        <v>1478</v>
      </c>
      <c r="R224" s="325" t="s">
        <v>3902</v>
      </c>
      <c r="AA224" s="185" t="s">
        <v>3546</v>
      </c>
      <c r="AB224" s="185" t="s">
        <v>3182</v>
      </c>
      <c r="AH224"/>
      <c r="AI224"/>
    </row>
    <row r="225" spans="2:35">
      <c r="B225" s="182" t="str">
        <f t="shared" si="19"/>
        <v>Dostarczyć łącznie z podanymi okuciami meblowymi</v>
      </c>
      <c r="M225" s="175" t="s">
        <v>99</v>
      </c>
      <c r="N225" s="133" t="s">
        <v>186</v>
      </c>
      <c r="O225" s="133" t="s">
        <v>274</v>
      </c>
      <c r="P225" s="133" t="s">
        <v>1252</v>
      </c>
      <c r="Q225" s="133" t="s">
        <v>1354</v>
      </c>
      <c r="R225" s="325" t="s">
        <v>3903</v>
      </c>
      <c r="AA225" s="325" t="s">
        <v>3753</v>
      </c>
      <c r="AB225" s="178" t="s">
        <v>3405</v>
      </c>
      <c r="AH225"/>
      <c r="AI225"/>
    </row>
    <row r="226" spans="2:35">
      <c r="B226" s="182" t="str">
        <f t="shared" si="19"/>
        <v>Umieszczenie</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W górę</v>
      </c>
      <c r="M227" s="175" t="s">
        <v>111</v>
      </c>
      <c r="N227" s="133" t="s">
        <v>1134</v>
      </c>
      <c r="O227" s="133" t="s">
        <v>1132</v>
      </c>
      <c r="P227" s="133" t="s">
        <v>1133</v>
      </c>
      <c r="Q227" s="133" t="s">
        <v>1355</v>
      </c>
      <c r="R227" s="325" t="s">
        <v>3905</v>
      </c>
      <c r="AA227" s="325" t="s">
        <v>3755</v>
      </c>
      <c r="AB227" s="178" t="s">
        <v>3407</v>
      </c>
      <c r="AH227"/>
      <c r="AI227"/>
    </row>
    <row r="228" spans="2:35">
      <c r="B228" s="182" t="str">
        <f t="shared" si="19"/>
        <v>W dół</v>
      </c>
      <c r="M228" s="175" t="s">
        <v>112</v>
      </c>
      <c r="N228" s="133" t="s">
        <v>112</v>
      </c>
      <c r="O228" s="133" t="s">
        <v>1305</v>
      </c>
      <c r="P228" s="133" t="s">
        <v>1135</v>
      </c>
      <c r="Q228" s="133" t="s">
        <v>916</v>
      </c>
      <c r="R228" s="325" t="s">
        <v>3906</v>
      </c>
      <c r="AA228" s="325" t="s">
        <v>3756</v>
      </c>
      <c r="AB228" s="178" t="s">
        <v>3449</v>
      </c>
      <c r="AH228"/>
      <c r="AI228"/>
    </row>
    <row r="229" spans="2:35">
      <c r="B229" s="182" t="str">
        <f t="shared" si="19"/>
        <v>W prawo</v>
      </c>
      <c r="M229" s="175" t="s">
        <v>102</v>
      </c>
      <c r="N229" s="133" t="s">
        <v>187</v>
      </c>
      <c r="O229" s="133" t="s">
        <v>248</v>
      </c>
      <c r="P229" s="133" t="s">
        <v>310</v>
      </c>
      <c r="Q229" s="133" t="s">
        <v>907</v>
      </c>
      <c r="R229" s="325" t="s">
        <v>3907</v>
      </c>
      <c r="AA229" s="325" t="s">
        <v>3757</v>
      </c>
      <c r="AB229" s="178" t="s">
        <v>3408</v>
      </c>
      <c r="AH229"/>
      <c r="AI229"/>
    </row>
    <row r="230" spans="2:35">
      <c r="B230" s="182" t="str">
        <f t="shared" si="19"/>
        <v>W lewo</v>
      </c>
      <c r="M230" s="175" t="s">
        <v>101</v>
      </c>
      <c r="N230" s="133" t="s">
        <v>188</v>
      </c>
      <c r="O230" s="133" t="s">
        <v>249</v>
      </c>
      <c r="P230" s="133" t="s">
        <v>311</v>
      </c>
      <c r="Q230" s="133" t="s">
        <v>908</v>
      </c>
      <c r="R230" s="325" t="s">
        <v>3908</v>
      </c>
      <c r="AA230" s="325" t="s">
        <v>3758</v>
      </c>
      <c r="AB230" s="178" t="s">
        <v>3409</v>
      </c>
      <c r="AH230"/>
      <c r="AI230"/>
    </row>
    <row r="231" spans="2:35">
      <c r="B231" s="182" t="str">
        <f t="shared" si="19"/>
        <v>2 sztuki (obydwie strony)</v>
      </c>
      <c r="M231" s="175" t="s">
        <v>103</v>
      </c>
      <c r="N231" s="133" t="s">
        <v>189</v>
      </c>
      <c r="O231" s="133" t="s">
        <v>250</v>
      </c>
      <c r="P231" s="133" t="s">
        <v>312</v>
      </c>
      <c r="Q231" s="133" t="s">
        <v>909</v>
      </c>
      <c r="R231" s="325" t="s">
        <v>3909</v>
      </c>
      <c r="AA231" s="325" t="s">
        <v>3759</v>
      </c>
      <c r="AB231" s="178" t="s">
        <v>3410</v>
      </c>
      <c r="AH231"/>
      <c r="AI231"/>
    </row>
    <row r="232" spans="2:35">
      <c r="B232" s="182" t="str">
        <f t="shared" si="19"/>
        <v>Rodzaj drugiej ramki</v>
      </c>
      <c r="M232" s="175" t="s">
        <v>115</v>
      </c>
      <c r="N232" s="133" t="s">
        <v>190</v>
      </c>
      <c r="O232" s="133" t="s">
        <v>273</v>
      </c>
      <c r="P232" s="133" t="s">
        <v>1253</v>
      </c>
      <c r="Q232" s="133" t="s">
        <v>1479</v>
      </c>
      <c r="R232" s="325" t="s">
        <v>3910</v>
      </c>
      <c r="AA232" s="325" t="s">
        <v>3760</v>
      </c>
      <c r="AB232" s="179" t="s">
        <v>3556</v>
      </c>
      <c r="AH232"/>
      <c r="AI232"/>
    </row>
    <row r="233" spans="2:35">
      <c r="B233" s="182" t="str">
        <f t="shared" si="19"/>
        <v>Wąska ALU ramka</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Szeroka ALU ramka</v>
      </c>
      <c r="M234" s="175" t="s">
        <v>106</v>
      </c>
      <c r="N234" s="133" t="s">
        <v>192</v>
      </c>
      <c r="O234" s="133" t="s">
        <v>252</v>
      </c>
      <c r="P234" s="133" t="s">
        <v>314</v>
      </c>
      <c r="Q234" s="133" t="s">
        <v>1357</v>
      </c>
      <c r="R234" s="325" t="s">
        <v>3912</v>
      </c>
      <c r="AA234" s="325" t="s">
        <v>3762</v>
      </c>
      <c r="AB234" s="178" t="s">
        <v>3412</v>
      </c>
      <c r="AH234"/>
      <c r="AI234"/>
    </row>
    <row r="235" spans="2:35">
      <c r="B235" s="182" t="str">
        <f t="shared" si="20"/>
        <v>MDF grubość 16mm</v>
      </c>
      <c r="M235" s="175" t="s">
        <v>108</v>
      </c>
      <c r="N235" s="133" t="s">
        <v>193</v>
      </c>
      <c r="O235" s="133" t="s">
        <v>253</v>
      </c>
      <c r="P235" s="133" t="s">
        <v>315</v>
      </c>
      <c r="Q235" s="133" t="s">
        <v>1480</v>
      </c>
      <c r="R235" s="325" t="s">
        <v>3913</v>
      </c>
      <c r="AA235" s="325" t="s">
        <v>3763</v>
      </c>
      <c r="AB235" s="178" t="s">
        <v>3413</v>
      </c>
      <c r="AH235"/>
      <c r="AI235"/>
    </row>
    <row r="236" spans="2:35">
      <c r="B236" s="182" t="str">
        <f t="shared" si="20"/>
        <v>MDF grubość 18mm</v>
      </c>
      <c r="M236" s="175" t="s">
        <v>107</v>
      </c>
      <c r="N236" s="133" t="s">
        <v>194</v>
      </c>
      <c r="O236" s="133" t="s">
        <v>254</v>
      </c>
      <c r="P236" s="133" t="s">
        <v>316</v>
      </c>
      <c r="Q236" s="133" t="s">
        <v>1481</v>
      </c>
      <c r="R236" s="325" t="s">
        <v>3914</v>
      </c>
      <c r="AA236" s="325" t="s">
        <v>3764</v>
      </c>
      <c r="AB236" s="178" t="s">
        <v>3453</v>
      </c>
      <c r="AH236"/>
      <c r="AI236"/>
    </row>
    <row r="237" spans="2:35">
      <c r="B237" s="182" t="str">
        <f t="shared" si="20"/>
        <v>Płyta melaminowana grubość 18mm</v>
      </c>
      <c r="M237" s="175" t="s">
        <v>109</v>
      </c>
      <c r="N237" s="133" t="s">
        <v>195</v>
      </c>
      <c r="O237" s="133" t="s">
        <v>1306</v>
      </c>
      <c r="P237" s="133" t="s">
        <v>1254</v>
      </c>
      <c r="Q237" s="133" t="s">
        <v>965</v>
      </c>
      <c r="R237" s="325" t="s">
        <v>3915</v>
      </c>
      <c r="AA237" s="325" t="s">
        <v>3765</v>
      </c>
      <c r="AB237" s="178" t="s">
        <v>3457</v>
      </c>
      <c r="AH237"/>
      <c r="AI237"/>
    </row>
    <row r="238" spans="2:35">
      <c r="B238" s="182" t="str">
        <f t="shared" si="20"/>
        <v>Umieszczenie zawiasu</v>
      </c>
      <c r="M238" s="175" t="s">
        <v>110</v>
      </c>
      <c r="N238" s="133" t="s">
        <v>196</v>
      </c>
      <c r="O238" s="133" t="s">
        <v>255</v>
      </c>
      <c r="P238" s="133" t="s">
        <v>317</v>
      </c>
      <c r="Q238" s="133" t="s">
        <v>1358</v>
      </c>
      <c r="R238" s="325" t="s">
        <v>3916</v>
      </c>
      <c r="AA238" s="325" t="s">
        <v>3766</v>
      </c>
      <c r="AB238" s="178" t="s">
        <v>3461</v>
      </c>
      <c r="AH238"/>
      <c r="AI238"/>
    </row>
    <row r="239" spans="2:35">
      <c r="B239" s="182" t="str">
        <f t="shared" si="20"/>
        <v>W górę</v>
      </c>
      <c r="M239" s="175" t="s">
        <v>111</v>
      </c>
      <c r="N239" s="133" t="s">
        <v>197</v>
      </c>
      <c r="O239" s="133" t="s">
        <v>1132</v>
      </c>
      <c r="P239" s="133" t="s">
        <v>1133</v>
      </c>
      <c r="Q239" s="133" t="s">
        <v>1355</v>
      </c>
      <c r="R239" s="325" t="s">
        <v>3905</v>
      </c>
      <c r="AA239" s="325" t="s">
        <v>3767</v>
      </c>
      <c r="AB239" s="178" t="s">
        <v>3414</v>
      </c>
      <c r="AH239"/>
      <c r="AI239"/>
    </row>
    <row r="240" spans="2:35">
      <c r="B240" s="182" t="str">
        <f t="shared" si="20"/>
        <v>W dół</v>
      </c>
      <c r="M240" s="175" t="s">
        <v>112</v>
      </c>
      <c r="N240" s="133" t="s">
        <v>112</v>
      </c>
      <c r="O240" s="133" t="s">
        <v>1305</v>
      </c>
      <c r="P240" s="133" t="s">
        <v>1135</v>
      </c>
      <c r="Q240" s="133" t="s">
        <v>916</v>
      </c>
      <c r="R240" s="325" t="s">
        <v>3906</v>
      </c>
      <c r="AA240" s="325" t="s">
        <v>3768</v>
      </c>
      <c r="AB240" s="178" t="s">
        <v>3415</v>
      </c>
      <c r="AH240"/>
      <c r="AI240"/>
    </row>
    <row r="241" spans="2:35">
      <c r="B241" s="182" t="str">
        <f t="shared" si="20"/>
        <v>wybierz z listy</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Odległość od lewej krawędzi</v>
      </c>
      <c r="M242" s="175" t="s">
        <v>4470</v>
      </c>
      <c r="N242" s="133" t="s">
        <v>4471</v>
      </c>
      <c r="O242" s="133" t="s">
        <v>4472</v>
      </c>
      <c r="P242" s="133" t="s">
        <v>4473</v>
      </c>
      <c r="Q242" s="133" t="s">
        <v>4474</v>
      </c>
      <c r="R242" s="325" t="s">
        <v>4475</v>
      </c>
      <c r="AA242" s="325" t="s">
        <v>3770</v>
      </c>
      <c r="AB242" s="178" t="s">
        <v>3417</v>
      </c>
      <c r="AH242"/>
      <c r="AI242"/>
    </row>
    <row r="243" spans="2:35">
      <c r="B243" s="182" t="str">
        <f t="shared" si="20"/>
        <v>Odległość zawiasu od krawędzi</v>
      </c>
      <c r="M243" s="175" t="s">
        <v>116</v>
      </c>
      <c r="N243" s="133" t="s">
        <v>198</v>
      </c>
      <c r="O243" s="133" t="s">
        <v>256</v>
      </c>
      <c r="P243" s="133" t="s">
        <v>318</v>
      </c>
      <c r="Q243" s="133" t="s">
        <v>1482</v>
      </c>
      <c r="R243" s="325" t="s">
        <v>3918</v>
      </c>
      <c r="AA243" s="325" t="s">
        <v>3771</v>
      </c>
      <c r="AB243" s="179" t="s">
        <v>3465</v>
      </c>
      <c r="AH243"/>
      <c r="AI243"/>
    </row>
    <row r="244" spans="2:35">
      <c r="B244" s="182" t="str">
        <f t="shared" si="20"/>
        <v>Wpisz wartość jeśli wiercenie nie ma być wykonane symetrycznie (na środku )</v>
      </c>
      <c r="M244" s="175" t="s">
        <v>117</v>
      </c>
      <c r="N244" s="133" t="s">
        <v>199</v>
      </c>
      <c r="O244" s="133" t="s">
        <v>877</v>
      </c>
      <c r="P244" s="133" t="s">
        <v>319</v>
      </c>
      <c r="Q244" s="133" t="s">
        <v>1483</v>
      </c>
      <c r="R244" s="325" t="s">
        <v>3919</v>
      </c>
      <c r="AA244" s="325" t="s">
        <v>3772</v>
      </c>
      <c r="AB244" s="178" t="s">
        <v>3418</v>
      </c>
      <c r="AH244"/>
      <c r="AI244"/>
    </row>
    <row r="245" spans="2:35">
      <c r="B245" s="182" t="str">
        <f t="shared" si="20"/>
        <v>Formularz zamówienia ramek aluminiowych</v>
      </c>
      <c r="M245" s="175" t="s">
        <v>118</v>
      </c>
      <c r="N245" s="133" t="s">
        <v>200</v>
      </c>
      <c r="O245" s="133" t="s">
        <v>257</v>
      </c>
      <c r="P245" s="133" t="s">
        <v>373</v>
      </c>
      <c r="Q245" s="133" t="s">
        <v>1484</v>
      </c>
      <c r="R245" s="325" t="s">
        <v>3920</v>
      </c>
      <c r="AA245" s="325" t="s">
        <v>3773</v>
      </c>
      <c r="AB245" s="178" t="s">
        <v>3419</v>
      </c>
      <c r="AH245"/>
      <c r="AI245"/>
    </row>
    <row r="246" spans="2:35">
      <c r="B246" s="182" t="str">
        <f t="shared" si="20"/>
        <v>Formularz należy wypełniać od góry do dołu. Po ewentualnej zmianie proszę skontrolować poprawność wprowadzonych danych.</v>
      </c>
      <c r="M246" s="175" t="s">
        <v>152</v>
      </c>
      <c r="N246" s="133" t="s">
        <v>207</v>
      </c>
      <c r="O246" s="133" t="s">
        <v>258</v>
      </c>
      <c r="P246" s="133" t="s">
        <v>1255</v>
      </c>
      <c r="Q246" s="133" t="s">
        <v>1485</v>
      </c>
      <c r="R246" s="325" t="s">
        <v>3921</v>
      </c>
      <c r="AA246" s="325" t="s">
        <v>3776</v>
      </c>
      <c r="AB246" s="178" t="s">
        <v>3422</v>
      </c>
      <c r="AH246"/>
      <c r="AI246"/>
    </row>
    <row r="247" spans="2:35">
      <c r="B247" s="182" t="str">
        <f t="shared" si="20"/>
        <v>Ceny obowiązują od 18.5.2026/Wersja 7.9</v>
      </c>
      <c r="M247" s="175" t="s">
        <v>4465</v>
      </c>
      <c r="N247" s="133" t="s">
        <v>4466</v>
      </c>
      <c r="O247" s="133" t="s">
        <v>4476</v>
      </c>
      <c r="P247" s="133" t="s">
        <v>4467</v>
      </c>
      <c r="Q247" s="133" t="s">
        <v>4468</v>
      </c>
      <c r="R247" s="325" t="s">
        <v>4469</v>
      </c>
      <c r="AA247" s="325" t="s">
        <v>3777</v>
      </c>
      <c r="AB247" s="178" t="s">
        <v>3469</v>
      </c>
      <c r="AH247"/>
      <c r="AI247"/>
    </row>
    <row r="248" spans="2:35">
      <c r="B248" s="182" t="str">
        <f t="shared" si="20"/>
        <v>Suma</v>
      </c>
      <c r="M248" s="175" t="s">
        <v>15</v>
      </c>
      <c r="N248" s="133" t="s">
        <v>201</v>
      </c>
      <c r="O248" s="133" t="s">
        <v>259</v>
      </c>
      <c r="P248" s="133" t="s">
        <v>320</v>
      </c>
      <c r="Q248" s="133" t="s">
        <v>1359</v>
      </c>
      <c r="R248" s="325" t="s">
        <v>3922</v>
      </c>
      <c r="AA248" s="325" t="s">
        <v>3778</v>
      </c>
      <c r="AB248" s="179" t="s">
        <v>3473</v>
      </c>
      <c r="AH248"/>
      <c r="AI248"/>
    </row>
    <row r="249" spans="2:35">
      <c r="B249" s="182" t="str">
        <f t="shared" si="20"/>
        <v>Klient</v>
      </c>
      <c r="M249" s="175" t="s">
        <v>120</v>
      </c>
      <c r="N249" s="133" t="s">
        <v>120</v>
      </c>
      <c r="O249" s="133" t="s">
        <v>260</v>
      </c>
      <c r="P249" s="133" t="s">
        <v>321</v>
      </c>
      <c r="Q249" s="133" t="s">
        <v>910</v>
      </c>
      <c r="R249" s="325" t="s">
        <v>3923</v>
      </c>
      <c r="AA249" s="325" t="s">
        <v>3781</v>
      </c>
      <c r="AB249" s="178" t="s">
        <v>3425</v>
      </c>
      <c r="AH249"/>
      <c r="AI249"/>
    </row>
    <row r="250" spans="2:35">
      <c r="B250" s="182" t="str">
        <f t="shared" si="20"/>
        <v>Telefon kontaktowy</v>
      </c>
      <c r="M250" s="175" t="s">
        <v>122</v>
      </c>
      <c r="N250" s="133" t="s">
        <v>202</v>
      </c>
      <c r="O250" s="133" t="s">
        <v>261</v>
      </c>
      <c r="P250" s="133" t="s">
        <v>322</v>
      </c>
      <c r="Q250" s="133" t="s">
        <v>1486</v>
      </c>
      <c r="R250" s="325" t="s">
        <v>3924</v>
      </c>
      <c r="AA250" s="325" t="s">
        <v>3782</v>
      </c>
      <c r="AB250" s="178" t="s">
        <v>3426</v>
      </c>
      <c r="AH250"/>
      <c r="AI250"/>
    </row>
    <row r="251" spans="2:35">
      <c r="B251" s="182" t="str">
        <f t="shared" si="20"/>
        <v>Adres e-mail</v>
      </c>
      <c r="M251" s="175" t="s">
        <v>123</v>
      </c>
      <c r="N251" s="133" t="s">
        <v>203</v>
      </c>
      <c r="O251" s="133" t="s">
        <v>262</v>
      </c>
      <c r="P251" s="133" t="s">
        <v>323</v>
      </c>
      <c r="Q251" s="133" t="s">
        <v>1487</v>
      </c>
      <c r="R251" s="325" t="s">
        <v>3925</v>
      </c>
      <c r="AA251" s="325" t="s">
        <v>3783</v>
      </c>
      <c r="AB251" s="178" t="s">
        <v>3427</v>
      </c>
      <c r="AH251"/>
      <c r="AI251"/>
    </row>
    <row r="252" spans="2:35">
      <c r="B252" s="182" t="str">
        <f t="shared" si="20"/>
        <v>Adres oddziału</v>
      </c>
      <c r="M252" s="175" t="s">
        <v>121</v>
      </c>
      <c r="N252" s="133" t="s">
        <v>204</v>
      </c>
      <c r="O252" s="133" t="s">
        <v>263</v>
      </c>
      <c r="P252" s="133" t="s">
        <v>324</v>
      </c>
      <c r="Q252" s="133" t="s">
        <v>1488</v>
      </c>
      <c r="R252" s="325" t="s">
        <v>3926</v>
      </c>
      <c r="AA252" s="325" t="s">
        <v>3784</v>
      </c>
      <c r="AB252" s="178" t="s">
        <v>3428</v>
      </c>
      <c r="AH252"/>
      <c r="AI252"/>
    </row>
    <row r="253" spans="2:35">
      <c r="B253" s="182" t="str">
        <f t="shared" si="20"/>
        <v>NIP</v>
      </c>
      <c r="M253" s="175" t="s">
        <v>119</v>
      </c>
      <c r="N253" s="133" t="s">
        <v>119</v>
      </c>
      <c r="O253" s="133" t="s">
        <v>264</v>
      </c>
      <c r="P253" s="133" t="s">
        <v>119</v>
      </c>
      <c r="Q253" s="133" t="s">
        <v>1360</v>
      </c>
      <c r="R253" s="325" t="s">
        <v>3927</v>
      </c>
      <c r="AA253" s="325" t="s">
        <v>3785</v>
      </c>
      <c r="AB253" s="178" t="s">
        <v>3429</v>
      </c>
      <c r="AH253"/>
      <c r="AI253"/>
    </row>
    <row r="254" spans="2:35">
      <c r="B254" s="182" t="str">
        <f t="shared" si="20"/>
        <v>Rabat na ramki</v>
      </c>
      <c r="M254" s="175" t="s">
        <v>124</v>
      </c>
      <c r="N254" s="133" t="s">
        <v>205</v>
      </c>
      <c r="O254" s="133" t="s">
        <v>265</v>
      </c>
      <c r="P254" s="133" t="s">
        <v>325</v>
      </c>
      <c r="Q254" s="133" t="s">
        <v>911</v>
      </c>
      <c r="R254" s="325" t="s">
        <v>3928</v>
      </c>
      <c r="AA254" s="325" t="s">
        <v>3786</v>
      </c>
      <c r="AB254" s="178" t="s">
        <v>3430</v>
      </c>
      <c r="AH254"/>
      <c r="AI254"/>
    </row>
    <row r="255" spans="2:35">
      <c r="B255" s="182" t="str">
        <f t="shared" si="20"/>
        <v>Rabat na okucia</v>
      </c>
      <c r="M255" s="175" t="s">
        <v>125</v>
      </c>
      <c r="N255" s="133" t="s">
        <v>206</v>
      </c>
      <c r="O255" s="133" t="s">
        <v>266</v>
      </c>
      <c r="P255" s="133" t="s">
        <v>326</v>
      </c>
      <c r="Q255" s="133" t="s">
        <v>912</v>
      </c>
      <c r="R255" s="325" t="s">
        <v>3929</v>
      </c>
      <c r="AA255" s="325" t="s">
        <v>3787</v>
      </c>
      <c r="AB255" s="178" t="s">
        <v>3431</v>
      </c>
      <c r="AH255"/>
      <c r="AI255"/>
    </row>
    <row r="256" spans="2:35">
      <c r="B256" s="182" t="str">
        <f t="shared" si="20"/>
        <v>Numer zamówienia</v>
      </c>
      <c r="M256" s="175" t="s">
        <v>145</v>
      </c>
      <c r="N256" s="133" t="s">
        <v>145</v>
      </c>
      <c r="O256" s="133" t="s">
        <v>11</v>
      </c>
      <c r="P256" s="133" t="s">
        <v>327</v>
      </c>
      <c r="Q256" s="133" t="s">
        <v>1361</v>
      </c>
      <c r="R256" s="325" t="s">
        <v>3930</v>
      </c>
      <c r="AA256" s="325" t="s">
        <v>3788</v>
      </c>
      <c r="AB256" s="178" t="s">
        <v>3432</v>
      </c>
      <c r="AH256"/>
      <c r="AI256"/>
    </row>
    <row r="257" spans="2:35">
      <c r="B257" s="182" t="str">
        <f t="shared" si="20"/>
        <v>Podgląd kolorów RAL i REF jest orientacyjny !!!</v>
      </c>
      <c r="M257" s="175" t="s">
        <v>144</v>
      </c>
      <c r="N257" s="133" t="s">
        <v>209</v>
      </c>
      <c r="O257" s="133" t="s">
        <v>878</v>
      </c>
      <c r="P257" s="133" t="s">
        <v>1256</v>
      </c>
      <c r="Q257" s="133" t="s">
        <v>1362</v>
      </c>
      <c r="R257" s="325" t="s">
        <v>3931</v>
      </c>
      <c r="AA257" s="325" t="s">
        <v>3789</v>
      </c>
      <c r="AB257" s="178" t="s">
        <v>3433</v>
      </c>
      <c r="AH257"/>
      <c r="AI257"/>
    </row>
    <row r="258" spans="2:35">
      <c r="B258" s="182" t="str">
        <f t="shared" si="20"/>
        <v>Typ okucia</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bez tłumienia</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Wypełnij jedynie w przypadku, że wiercenie nie będzie symetryczne w stosunku do środka</v>
      </c>
      <c r="M270" s="175" t="s">
        <v>271</v>
      </c>
      <c r="N270" s="133" t="s">
        <v>342</v>
      </c>
      <c r="O270" s="133" t="s">
        <v>346</v>
      </c>
      <c r="P270" s="133" t="s">
        <v>351</v>
      </c>
      <c r="Q270" s="133" t="s">
        <v>1483</v>
      </c>
      <c r="R270" s="325" t="s">
        <v>3919</v>
      </c>
      <c r="AA270" s="325" t="s">
        <v>3802</v>
      </c>
      <c r="AB270" s="209" t="s">
        <v>3445</v>
      </c>
    </row>
    <row r="271" spans="2:35">
      <c r="B271" s="182" t="str">
        <f t="shared" si="20"/>
        <v>Ramki przesuwne</v>
      </c>
      <c r="M271" s="175" t="s">
        <v>7</v>
      </c>
      <c r="N271" s="133" t="s">
        <v>343</v>
      </c>
      <c r="O271" s="133" t="s">
        <v>506</v>
      </c>
      <c r="P271" s="133" t="s">
        <v>507</v>
      </c>
      <c r="Q271" s="133" t="s">
        <v>913</v>
      </c>
      <c r="R271" s="325" t="s">
        <v>3934</v>
      </c>
      <c r="AA271" s="325" t="s">
        <v>3803</v>
      </c>
      <c r="AB271" s="209" t="s">
        <v>3446</v>
      </c>
    </row>
    <row r="272" spans="2:35">
      <c r="B272" s="182" t="str">
        <f t="shared" si="20"/>
        <v xml:space="preserve">Standardowo zamówienie dostarczane jest zawsze łącznie z okuciem i listwą torową. </v>
      </c>
      <c r="M272" s="175" t="s">
        <v>148</v>
      </c>
      <c r="N272" s="133" t="s">
        <v>336</v>
      </c>
      <c r="O272" s="133" t="s">
        <v>374</v>
      </c>
      <c r="P272" s="133" t="s">
        <v>1258</v>
      </c>
      <c r="Q272" s="133" t="s">
        <v>1491</v>
      </c>
      <c r="R272" s="325" t="s">
        <v>3935</v>
      </c>
      <c r="AA272" s="325" t="s">
        <v>3804</v>
      </c>
      <c r="AB272" s="209" t="s">
        <v>3398</v>
      </c>
    </row>
    <row r="273" spans="2:28">
      <c r="B273" s="182" t="str">
        <f t="shared" si="20"/>
        <v>Wewnętrzne rozmiary szafki (mm)</v>
      </c>
      <c r="M273" s="175" t="s">
        <v>339</v>
      </c>
      <c r="N273" s="133" t="s">
        <v>337</v>
      </c>
      <c r="O273" s="133" t="s">
        <v>347</v>
      </c>
      <c r="P273" s="133" t="s">
        <v>352</v>
      </c>
      <c r="Q273" s="133" t="s">
        <v>1363</v>
      </c>
      <c r="R273" s="325" t="s">
        <v>3936</v>
      </c>
      <c r="AA273" s="325" t="s">
        <v>3805</v>
      </c>
      <c r="AB273" s="209" t="s">
        <v>3482</v>
      </c>
    </row>
    <row r="274" spans="2:28">
      <c r="B274" s="182" t="str">
        <f t="shared" si="20"/>
        <v xml:space="preserve">Ilość drzwi </v>
      </c>
      <c r="M274" s="175" t="s">
        <v>147</v>
      </c>
      <c r="N274" s="133" t="s">
        <v>338</v>
      </c>
      <c r="O274" s="133" t="s">
        <v>1307</v>
      </c>
      <c r="P274" s="133" t="s">
        <v>353</v>
      </c>
      <c r="Q274" s="133" t="s">
        <v>914</v>
      </c>
      <c r="R274" s="325" t="s">
        <v>3937</v>
      </c>
      <c r="AA274" s="325" t="s">
        <v>3806</v>
      </c>
      <c r="AB274" s="209" t="s">
        <v>3486</v>
      </c>
    </row>
    <row r="275" spans="2:28">
      <c r="B275" s="182" t="str">
        <f t="shared" si="20"/>
        <v>Standardowe prześwity drzwi</v>
      </c>
      <c r="M275" s="175" t="s">
        <v>461</v>
      </c>
      <c r="N275" s="155" t="s">
        <v>340</v>
      </c>
      <c r="O275" s="133" t="s">
        <v>462</v>
      </c>
      <c r="P275" s="133" t="s">
        <v>1259</v>
      </c>
      <c r="Q275" s="133" t="s">
        <v>1364</v>
      </c>
      <c r="R275" s="325" t="s">
        <v>3938</v>
      </c>
      <c r="AA275" s="325" t="s">
        <v>3807</v>
      </c>
      <c r="AB275" s="185" t="s">
        <v>3399</v>
      </c>
    </row>
    <row r="276" spans="2:28">
      <c r="B276" s="182" t="str">
        <f t="shared" si="20"/>
        <v>kolor</v>
      </c>
      <c r="M276" s="175" t="s">
        <v>126</v>
      </c>
      <c r="N276" s="133" t="s">
        <v>341</v>
      </c>
      <c r="O276" s="133" t="s">
        <v>348</v>
      </c>
      <c r="P276" s="133" t="s">
        <v>354</v>
      </c>
      <c r="Q276" s="133" t="s">
        <v>1365</v>
      </c>
      <c r="R276" s="325" t="s">
        <v>3939</v>
      </c>
      <c r="AA276" s="325" t="s">
        <v>3808</v>
      </c>
      <c r="AB276" s="185" t="s">
        <v>3400</v>
      </c>
    </row>
    <row r="277" spans="2:28">
      <c r="B277" s="182" t="str">
        <f t="shared" si="20"/>
        <v>Zamówienie ALU</v>
      </c>
      <c r="M277" s="175" t="s">
        <v>334</v>
      </c>
      <c r="N277" s="133" t="s">
        <v>334</v>
      </c>
      <c r="O277" s="133" t="s">
        <v>349</v>
      </c>
      <c r="P277" s="133" t="s">
        <v>355</v>
      </c>
      <c r="Q277" s="133" t="s">
        <v>1366</v>
      </c>
      <c r="R277" s="325" t="s">
        <v>3940</v>
      </c>
      <c r="AA277" s="325" t="s">
        <v>3809</v>
      </c>
      <c r="AB277" s="185" t="s">
        <v>3401</v>
      </c>
    </row>
    <row r="278" spans="2:28">
      <c r="B278" s="182" t="str">
        <f t="shared" si="20"/>
        <v>Ramki przesuwne</v>
      </c>
      <c r="M278" s="175" t="s">
        <v>7</v>
      </c>
      <c r="N278" s="133" t="s">
        <v>343</v>
      </c>
      <c r="O278" s="133" t="s">
        <v>506</v>
      </c>
      <c r="P278" s="133" t="s">
        <v>507</v>
      </c>
      <c r="Q278" s="133" t="s">
        <v>913</v>
      </c>
      <c r="R278" s="325" t="s">
        <v>3934</v>
      </c>
      <c r="AA278" s="325" t="s">
        <v>3810</v>
      </c>
      <c r="AB278" s="185" t="s">
        <v>3402</v>
      </c>
    </row>
    <row r="279" spans="2:28">
      <c r="B279" s="182" t="str">
        <f t="shared" si="20"/>
        <v>Kolory LACOBEL i MATELAC</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4498</v>
      </c>
      <c r="AB283" s="178" t="s">
        <v>4521</v>
      </c>
    </row>
    <row r="284" spans="2:28">
      <c r="B284" s="182" t="str">
        <f t="shared" si="20"/>
        <v>Rodzaj ramienia</v>
      </c>
      <c r="M284" s="201" t="s">
        <v>361</v>
      </c>
      <c r="N284" s="201" t="s">
        <v>364</v>
      </c>
      <c r="O284" s="133" t="s">
        <v>365</v>
      </c>
      <c r="P284" s="133" t="s">
        <v>366</v>
      </c>
      <c r="Q284" s="133" t="s">
        <v>1493</v>
      </c>
      <c r="R284" s="325" t="s">
        <v>3942</v>
      </c>
      <c r="AA284" s="209" t="s">
        <v>4504</v>
      </c>
      <c r="AB284" s="209" t="s">
        <v>4522</v>
      </c>
    </row>
    <row r="285" spans="2:28">
      <c r="B285" s="182" t="str">
        <f t="shared" si="20"/>
        <v>Waga uchwytu (g)</v>
      </c>
      <c r="M285" s="201" t="s">
        <v>362</v>
      </c>
      <c r="N285" s="201" t="s">
        <v>367</v>
      </c>
      <c r="O285" s="133" t="s">
        <v>368</v>
      </c>
      <c r="P285" s="133" t="s">
        <v>369</v>
      </c>
      <c r="Q285" s="133" t="s">
        <v>915</v>
      </c>
      <c r="R285" s="325" t="s">
        <v>3943</v>
      </c>
      <c r="AA285" s="179" t="s">
        <v>4527</v>
      </c>
      <c r="AB285" s="178" t="s">
        <v>4532</v>
      </c>
    </row>
    <row r="286" spans="2:28">
      <c r="B286" s="182" t="str">
        <f t="shared" si="20"/>
        <v>Rodzaje profili</v>
      </c>
      <c r="M286" s="201" t="s">
        <v>363</v>
      </c>
      <c r="N286" s="133" t="s">
        <v>370</v>
      </c>
      <c r="O286" s="133" t="s">
        <v>371</v>
      </c>
      <c r="P286" s="133" t="s">
        <v>372</v>
      </c>
      <c r="Q286" s="133" t="s">
        <v>1494</v>
      </c>
      <c r="R286" s="325" t="s">
        <v>3944</v>
      </c>
      <c r="AA286" s="178" t="s">
        <v>4509</v>
      </c>
      <c r="AB286" s="178" t="s">
        <v>4523</v>
      </c>
    </row>
    <row r="287" spans="2:28">
      <c r="B287" s="182" t="str">
        <f t="shared" si="20"/>
        <v>AVENTOS HF Servo Drive</v>
      </c>
      <c r="M287" s="175" t="s">
        <v>409</v>
      </c>
      <c r="N287" s="175" t="s">
        <v>409</v>
      </c>
      <c r="O287" s="133" t="s">
        <v>409</v>
      </c>
      <c r="P287" s="133" t="s">
        <v>409</v>
      </c>
      <c r="Q287" s="133" t="s">
        <v>409</v>
      </c>
      <c r="R287" s="326" t="s">
        <v>409</v>
      </c>
      <c r="AA287" s="178" t="s">
        <v>4515</v>
      </c>
      <c r="AB287" s="178" t="s">
        <v>4524</v>
      </c>
    </row>
    <row r="288" spans="2:28">
      <c r="B288" s="182" t="str">
        <f t="shared" si="20"/>
        <v>AVENTOS HK TOP TIP ON</v>
      </c>
      <c r="M288" s="175" t="s">
        <v>888</v>
      </c>
      <c r="N288" s="175" t="s">
        <v>888</v>
      </c>
      <c r="O288" s="133" t="s">
        <v>888</v>
      </c>
      <c r="P288" s="133" t="s">
        <v>888</v>
      </c>
      <c r="Q288" s="133" t="s">
        <v>888</v>
      </c>
      <c r="R288" s="326" t="s">
        <v>888</v>
      </c>
      <c r="AA288" s="178" t="s">
        <v>4499</v>
      </c>
      <c r="AB288" s="178" t="s">
        <v>4521</v>
      </c>
    </row>
    <row r="289" spans="2:28">
      <c r="B289" s="182" t="str">
        <f t="shared" si="20"/>
        <v>AVENTOS HKS TIP ON</v>
      </c>
      <c r="M289" s="175" t="s">
        <v>410</v>
      </c>
      <c r="N289" s="175" t="s">
        <v>410</v>
      </c>
      <c r="O289" s="133" t="s">
        <v>410</v>
      </c>
      <c r="P289" s="133" t="s">
        <v>1260</v>
      </c>
      <c r="Q289" s="133" t="s">
        <v>410</v>
      </c>
      <c r="R289" s="326" t="s">
        <v>410</v>
      </c>
      <c r="AA289" s="178" t="s">
        <v>4505</v>
      </c>
      <c r="AB289" s="209" t="s">
        <v>4522</v>
      </c>
    </row>
    <row r="290" spans="2:28">
      <c r="B290" s="182" t="str">
        <f t="shared" si="20"/>
        <v>AVENTOS HK TOP Servo Drive</v>
      </c>
      <c r="M290" s="175" t="s">
        <v>887</v>
      </c>
      <c r="N290" s="175" t="s">
        <v>887</v>
      </c>
      <c r="O290" s="133" t="s">
        <v>887</v>
      </c>
      <c r="P290" s="133" t="s">
        <v>887</v>
      </c>
      <c r="Q290" s="133" t="s">
        <v>887</v>
      </c>
      <c r="R290" s="326" t="s">
        <v>887</v>
      </c>
      <c r="AA290" s="179" t="s">
        <v>4528</v>
      </c>
      <c r="AB290" s="178" t="s">
        <v>4532</v>
      </c>
    </row>
    <row r="291" spans="2:28">
      <c r="B291" s="182" t="str">
        <f t="shared" si="20"/>
        <v>AVENTOS HL Servo Drive</v>
      </c>
      <c r="M291" s="175" t="s">
        <v>411</v>
      </c>
      <c r="N291" s="175" t="s">
        <v>411</v>
      </c>
      <c r="O291" s="133" t="s">
        <v>411</v>
      </c>
      <c r="P291" s="133" t="s">
        <v>411</v>
      </c>
      <c r="Q291" s="133" t="s">
        <v>411</v>
      </c>
      <c r="R291" s="326" t="s">
        <v>411</v>
      </c>
      <c r="AA291" s="178" t="s">
        <v>4511</v>
      </c>
      <c r="AB291" s="178" t="s">
        <v>4523</v>
      </c>
    </row>
    <row r="292" spans="2:28">
      <c r="B292" s="182" t="str">
        <f t="shared" si="20"/>
        <v>AVENTOS HS Servo Drive</v>
      </c>
      <c r="M292" s="175" t="s">
        <v>412</v>
      </c>
      <c r="N292" s="175" t="s">
        <v>412</v>
      </c>
      <c r="O292" s="133" t="s">
        <v>412</v>
      </c>
      <c r="P292" s="133" t="s">
        <v>412</v>
      </c>
      <c r="Q292" s="133" t="s">
        <v>412</v>
      </c>
      <c r="R292" s="326" t="s">
        <v>412</v>
      </c>
      <c r="AA292" s="178" t="s">
        <v>4516</v>
      </c>
      <c r="AB292" s="178" t="s">
        <v>4524</v>
      </c>
    </row>
    <row r="293" spans="2:28">
      <c r="B293" s="182" t="str">
        <f t="shared" si="20"/>
        <v>Dolne</v>
      </c>
      <c r="M293" s="175" t="s">
        <v>414</v>
      </c>
      <c r="N293" s="133" t="s">
        <v>426</v>
      </c>
      <c r="O293" s="133" t="s">
        <v>427</v>
      </c>
      <c r="P293" s="133" t="s">
        <v>428</v>
      </c>
      <c r="Q293" s="133" t="s">
        <v>1367</v>
      </c>
      <c r="R293" s="325" t="s">
        <v>3945</v>
      </c>
      <c r="AA293" s="178" t="s">
        <v>4500</v>
      </c>
      <c r="AB293" s="178" t="s">
        <v>4521</v>
      </c>
    </row>
    <row r="294" spans="2:28">
      <c r="B294" s="182" t="str">
        <f t="shared" si="20"/>
        <v>Minimalna odległość umieszczenia zawiasu</v>
      </c>
      <c r="M294" s="201" t="s">
        <v>430</v>
      </c>
      <c r="N294" s="133" t="s">
        <v>473</v>
      </c>
      <c r="O294" s="133" t="s">
        <v>483</v>
      </c>
      <c r="P294" s="133" t="s">
        <v>484</v>
      </c>
      <c r="Q294" s="133" t="s">
        <v>1495</v>
      </c>
      <c r="R294" s="325" t="s">
        <v>3946</v>
      </c>
      <c r="AA294" s="209" t="s">
        <v>4506</v>
      </c>
      <c r="AB294" s="209" t="s">
        <v>4522</v>
      </c>
    </row>
    <row r="295" spans="2:28">
      <c r="B295" s="182" t="str">
        <f t="shared" si="20"/>
        <v>Nakładany ze zintegrowanym Blumotionem</v>
      </c>
      <c r="M295" s="175" t="s">
        <v>431</v>
      </c>
      <c r="N295" s="133" t="s">
        <v>474</v>
      </c>
      <c r="O295" s="133" t="s">
        <v>1308</v>
      </c>
      <c r="P295" s="133" t="s">
        <v>485</v>
      </c>
      <c r="Q295" s="133" t="s">
        <v>1496</v>
      </c>
      <c r="R295" s="325" t="s">
        <v>3947</v>
      </c>
      <c r="AA295" s="178" t="s">
        <v>4533</v>
      </c>
      <c r="AB295" s="178" t="s">
        <v>4532</v>
      </c>
    </row>
    <row r="296" spans="2:28">
      <c r="B296" s="182" t="str">
        <f t="shared" si="20"/>
        <v>Standardowe wiercenia pod wszystkie zawiasy w Aventosie HF wynosi 100mm od krawędzi.</v>
      </c>
      <c r="M296" s="199" t="s">
        <v>466</v>
      </c>
      <c r="N296" s="133" t="s">
        <v>475</v>
      </c>
      <c r="O296" s="133" t="s">
        <v>879</v>
      </c>
      <c r="P296" s="133" t="s">
        <v>1261</v>
      </c>
      <c r="Q296" s="133" t="s">
        <v>1368</v>
      </c>
      <c r="R296" s="325" t="s">
        <v>3948</v>
      </c>
      <c r="AA296" s="178" t="s">
        <v>4510</v>
      </c>
      <c r="AB296" s="178" t="s">
        <v>4523</v>
      </c>
    </row>
    <row r="297" spans="2:28">
      <c r="B297" s="182" t="str">
        <f t="shared" si="20"/>
        <v xml:space="preserve">Standardowa średnica otworów dla uchwytów jest w szkle 7 mm, a w ramce 5 mm (opakowanie zawiera podkładki) </v>
      </c>
      <c r="M297" s="175" t="s">
        <v>435</v>
      </c>
      <c r="N297" s="133" t="s">
        <v>476</v>
      </c>
      <c r="O297" s="133" t="s">
        <v>486</v>
      </c>
      <c r="P297" s="133" t="s">
        <v>487</v>
      </c>
      <c r="Q297" s="133" t="s">
        <v>1369</v>
      </c>
      <c r="R297" s="325" t="s">
        <v>3949</v>
      </c>
      <c r="AA297" s="178" t="s">
        <v>4517</v>
      </c>
      <c r="AB297" s="178" t="s">
        <v>4524</v>
      </c>
    </row>
    <row r="298" spans="2:28">
      <c r="B298" s="182" t="str">
        <f t="shared" ref="B298:B361" si="21">IF($D$1=1,M298,IF($D$1=2,N298,IF($D$1=3,O298,IF($D$1=4,P298,IF($D$1=5,Q298,IF($D$1=6,R298,0))))))</f>
        <v>Jeżeli Państwa wymagania są inne niż powyżej, należy zapisać je w notatce.</v>
      </c>
      <c r="M298" s="175" t="s">
        <v>436</v>
      </c>
      <c r="N298" s="133" t="s">
        <v>477</v>
      </c>
      <c r="O298" s="133" t="s">
        <v>488</v>
      </c>
      <c r="P298" s="133" t="s">
        <v>489</v>
      </c>
      <c r="Q298" s="133" t="s">
        <v>1370</v>
      </c>
      <c r="R298" s="325" t="s">
        <v>3950</v>
      </c>
      <c r="AA298" s="178" t="s">
        <v>4501</v>
      </c>
      <c r="AB298" s="178" t="s">
        <v>4521</v>
      </c>
    </row>
    <row r="299" spans="2:28">
      <c r="B299" s="182" t="str">
        <f t="shared" si="21"/>
        <v>W przypadku niektórych typów uchwytów gwinty do wkrętów są wpuszczone i należy zastosować odpowiednie podkładki dystansowe.</v>
      </c>
      <c r="M299" s="175" t="s">
        <v>440</v>
      </c>
      <c r="N299" s="133" t="s">
        <v>478</v>
      </c>
      <c r="O299" s="133" t="s">
        <v>1309</v>
      </c>
      <c r="P299" s="133" t="s">
        <v>873</v>
      </c>
      <c r="Q299" s="133" t="s">
        <v>1497</v>
      </c>
      <c r="R299" s="325" t="s">
        <v>3951</v>
      </c>
      <c r="AA299" s="178" t="s">
        <v>4507</v>
      </c>
      <c r="AB299" s="209" t="s">
        <v>4522</v>
      </c>
    </row>
    <row r="300" spans="2:28">
      <c r="B300" s="182" t="str">
        <f t="shared" si="21"/>
        <v>Reklamacja nie będzie uwzględniana w przypadku, gdy ramka została już zamontowana..</v>
      </c>
      <c r="M300" s="175" t="s">
        <v>437</v>
      </c>
      <c r="N300" s="133" t="s">
        <v>479</v>
      </c>
      <c r="O300" s="133" t="s">
        <v>3590</v>
      </c>
      <c r="P300" s="133" t="s">
        <v>490</v>
      </c>
      <c r="Q300" s="133" t="s">
        <v>1498</v>
      </c>
      <c r="R300" s="325" t="s">
        <v>3952</v>
      </c>
      <c r="AA300" s="179" t="s">
        <v>4529</v>
      </c>
      <c r="AB300" s="178" t="s">
        <v>4532</v>
      </c>
    </row>
    <row r="301" spans="2:28">
      <c r="B301" s="182" t="str">
        <f t="shared" si="21"/>
        <v>Do zamocowania okuć do ramki aluminiowej należy stosować specjalnie do tego przeznaczone wkręty (np. kod 13681)</v>
      </c>
      <c r="M301" s="175" t="s">
        <v>438</v>
      </c>
      <c r="N301" s="133" t="s">
        <v>480</v>
      </c>
      <c r="O301" s="133" t="s">
        <v>880</v>
      </c>
      <c r="P301" s="133" t="s">
        <v>491</v>
      </c>
      <c r="Q301" s="133" t="s">
        <v>1499</v>
      </c>
      <c r="R301" s="325" t="s">
        <v>3953</v>
      </c>
      <c r="AA301" s="178" t="s">
        <v>4512</v>
      </c>
      <c r="AB301" s="178" t="s">
        <v>4523</v>
      </c>
    </row>
    <row r="302" spans="2:28">
      <c r="B302" s="182" t="str">
        <f t="shared" si="21"/>
        <v>Zawsze korzystaj z aktualnej wersji formularza, który jest umieszczony na naszej stronie web.</v>
      </c>
      <c r="M302" s="175" t="s">
        <v>2650</v>
      </c>
      <c r="N302" s="133" t="s">
        <v>481</v>
      </c>
      <c r="O302" s="133" t="s">
        <v>3585</v>
      </c>
      <c r="P302" s="133" t="s">
        <v>1262</v>
      </c>
      <c r="Q302" s="133" t="s">
        <v>1500</v>
      </c>
      <c r="R302" s="325" t="s">
        <v>3954</v>
      </c>
      <c r="AA302" s="178" t="s">
        <v>4518</v>
      </c>
      <c r="AB302" s="178" t="s">
        <v>4524</v>
      </c>
    </row>
    <row r="303" spans="2:28">
      <c r="B303" s="182" t="str">
        <f t="shared" si="21"/>
        <v>Szczelina między szprosami musi wynosić co najmniej 100 mm.</v>
      </c>
      <c r="M303" s="175" t="s">
        <v>1203</v>
      </c>
      <c r="N303" s="133" t="s">
        <v>1205</v>
      </c>
      <c r="O303" s="133" t="s">
        <v>1310</v>
      </c>
      <c r="P303" s="133" t="s">
        <v>1204</v>
      </c>
      <c r="Q303" s="133" t="s">
        <v>1501</v>
      </c>
      <c r="R303" s="325" t="s">
        <v>3955</v>
      </c>
      <c r="AA303" s="209" t="s">
        <v>4502</v>
      </c>
      <c r="AB303" s="178" t="s">
        <v>4521</v>
      </c>
    </row>
    <row r="304" spans="2:28">
      <c r="B304" s="182" t="str">
        <f t="shared" si="21"/>
        <v>W jednym formularzu możemy wybrać różne rodzaje i wymiary ramek. Przed odesłaniem zamówienia należy sprawdzić poprawność wprowadzonych parametrów.</v>
      </c>
      <c r="M304" s="175" t="s">
        <v>439</v>
      </c>
      <c r="N304" s="133" t="s">
        <v>492</v>
      </c>
      <c r="O304" s="133" t="s">
        <v>881</v>
      </c>
      <c r="P304" s="133" t="s">
        <v>493</v>
      </c>
      <c r="Q304" s="133" t="s">
        <v>1502</v>
      </c>
      <c r="R304" s="325" t="s">
        <v>3956</v>
      </c>
      <c r="AA304" s="209" t="s">
        <v>4508</v>
      </c>
      <c r="AB304" s="209" t="s">
        <v>4522</v>
      </c>
    </row>
    <row r="305" spans="2:28">
      <c r="B305" s="182" t="str">
        <f t="shared" si="21"/>
        <v>Formularz składa się z kilku stron, które można przełączać w dolnej części.</v>
      </c>
      <c r="M305" s="175" t="s">
        <v>441</v>
      </c>
      <c r="N305" s="133" t="s">
        <v>494</v>
      </c>
      <c r="O305" s="133" t="s">
        <v>495</v>
      </c>
      <c r="P305" s="133" t="s">
        <v>496</v>
      </c>
      <c r="Q305" s="133" t="s">
        <v>1503</v>
      </c>
      <c r="R305" s="325" t="s">
        <v>3957</v>
      </c>
      <c r="AA305" s="209" t="s">
        <v>4530</v>
      </c>
      <c r="AB305" s="178" t="s">
        <v>4532</v>
      </c>
    </row>
    <row r="306" spans="2:28">
      <c r="B306" s="182" t="str">
        <f t="shared" si="21"/>
        <v>Wpisz proszę dane kontaktowe i kliknij w odpowiednie okienko poniżej.</v>
      </c>
      <c r="M306" s="175" t="s">
        <v>550</v>
      </c>
      <c r="N306" s="133" t="s">
        <v>497</v>
      </c>
      <c r="O306" s="133" t="s">
        <v>498</v>
      </c>
      <c r="P306" s="133" t="s">
        <v>499</v>
      </c>
      <c r="Q306" s="133" t="s">
        <v>1371</v>
      </c>
      <c r="R306" s="325" t="s">
        <v>3958</v>
      </c>
      <c r="AA306" s="209" t="s">
        <v>4513</v>
      </c>
      <c r="AB306" s="178" t="s">
        <v>4523</v>
      </c>
    </row>
    <row r="307" spans="2:28">
      <c r="B307" s="182" t="str">
        <f t="shared" si="21"/>
        <v>Poprzez zapisanie danych potwierdzasz, że zapoznałeś się z podanymi niżej informacjami!</v>
      </c>
      <c r="M307" s="175" t="s">
        <v>464</v>
      </c>
      <c r="N307" s="133" t="s">
        <v>500</v>
      </c>
      <c r="O307" s="133" t="s">
        <v>501</v>
      </c>
      <c r="P307" s="133" t="s">
        <v>502</v>
      </c>
      <c r="Q307" s="133" t="s">
        <v>1504</v>
      </c>
      <c r="R307" s="325" t="s">
        <v>3959</v>
      </c>
      <c r="AA307" s="209" t="s">
        <v>4519</v>
      </c>
      <c r="AB307" s="178" t="s">
        <v>4524</v>
      </c>
    </row>
    <row r="308" spans="2:28">
      <c r="B308" s="182" t="str">
        <f t="shared" si="21"/>
        <v>Zwykłe ramki</v>
      </c>
      <c r="M308" s="175" t="s">
        <v>442</v>
      </c>
      <c r="N308" s="133" t="s">
        <v>503</v>
      </c>
      <c r="O308" s="133" t="s">
        <v>504</v>
      </c>
      <c r="P308" s="133" t="s">
        <v>505</v>
      </c>
      <c r="Q308" s="133" t="s">
        <v>1406</v>
      </c>
      <c r="R308" s="325" t="s">
        <v>3960</v>
      </c>
      <c r="AA308" s="325" t="s">
        <v>4503</v>
      </c>
      <c r="AB308" s="178" t="s">
        <v>4521</v>
      </c>
    </row>
    <row r="309" spans="2:28">
      <c r="B309" s="182" t="str">
        <f t="shared" si="21"/>
        <v>Ramki przesuwne</v>
      </c>
      <c r="M309" s="175" t="s">
        <v>7</v>
      </c>
      <c r="N309" s="133" t="s">
        <v>343</v>
      </c>
      <c r="O309" s="133" t="s">
        <v>506</v>
      </c>
      <c r="P309" s="133" t="s">
        <v>507</v>
      </c>
      <c r="Q309" s="133" t="s">
        <v>913</v>
      </c>
      <c r="R309" s="325" t="s">
        <v>3934</v>
      </c>
      <c r="AA309" s="325" t="s">
        <v>4525</v>
      </c>
      <c r="AB309" s="209" t="s">
        <v>4522</v>
      </c>
    </row>
    <row r="310" spans="2:28">
      <c r="B310" s="182" t="str">
        <f t="shared" si="21"/>
        <v>Rysunki profili i okuć łączących</v>
      </c>
      <c r="M310" s="175" t="s">
        <v>443</v>
      </c>
      <c r="N310" s="133" t="s">
        <v>2554</v>
      </c>
      <c r="O310" s="133" t="s">
        <v>508</v>
      </c>
      <c r="P310" s="133" t="s">
        <v>509</v>
      </c>
      <c r="Q310" s="133" t="s">
        <v>1505</v>
      </c>
      <c r="R310" s="325" t="s">
        <v>3961</v>
      </c>
      <c r="AA310" s="325" t="s">
        <v>4531</v>
      </c>
      <c r="AB310" s="178" t="s">
        <v>4532</v>
      </c>
    </row>
    <row r="311" spans="2:28">
      <c r="B311" s="182" t="str">
        <f t="shared" si="21"/>
        <v>Maksymalny zalecany rozmiar ramki to 2500 x 1250 mm (w wypadku ramek ze szkłem wklejanym, np. Corleone 1500 x 600 mm)</v>
      </c>
      <c r="M311" s="175" t="s">
        <v>3146</v>
      </c>
      <c r="N311" s="133" t="s">
        <v>3147</v>
      </c>
      <c r="O311" s="133" t="s">
        <v>3148</v>
      </c>
      <c r="P311" s="133" t="s">
        <v>3149</v>
      </c>
      <c r="Q311" s="133" t="s">
        <v>3150</v>
      </c>
      <c r="R311" s="325" t="s">
        <v>3962</v>
      </c>
      <c r="AA311" s="325" t="s">
        <v>4514</v>
      </c>
      <c r="AB311" s="178" t="s">
        <v>4523</v>
      </c>
    </row>
    <row r="312" spans="2:28">
      <c r="B312" s="182" t="str">
        <f t="shared" si="21"/>
        <v>Na prośbę klienta można dostarczyć ramki o maksymalnej długości profilu 3m. Rozmiar maksymalny szkła wynosi 2500 x 1300 mm.</v>
      </c>
      <c r="M312" s="175" t="s">
        <v>551</v>
      </c>
      <c r="N312" s="133" t="s">
        <v>510</v>
      </c>
      <c r="O312" s="133" t="s">
        <v>1311</v>
      </c>
      <c r="P312" s="133" t="s">
        <v>511</v>
      </c>
      <c r="Q312" s="133" t="s">
        <v>1372</v>
      </c>
      <c r="R312" s="325" t="s">
        <v>3963</v>
      </c>
      <c r="AA312" s="325" t="s">
        <v>4520</v>
      </c>
      <c r="AB312" s="178" t="s">
        <v>4524</v>
      </c>
    </row>
    <row r="313" spans="2:28">
      <c r="B313" s="182" t="str">
        <f t="shared" si="21"/>
        <v>Wszystkie szkła Lacobel i Matelac można podkleić folią bezpieczną (należy dopisać taką informację w notatce)</v>
      </c>
      <c r="M313" s="175" t="s">
        <v>444</v>
      </c>
      <c r="N313" s="133" t="s">
        <v>512</v>
      </c>
      <c r="O313" s="133" t="s">
        <v>1312</v>
      </c>
      <c r="P313" s="133" t="s">
        <v>1263</v>
      </c>
      <c r="Q313" s="133" t="s">
        <v>1373</v>
      </c>
      <c r="R313" s="325" t="s">
        <v>3964</v>
      </c>
    </row>
    <row r="314" spans="2:28">
      <c r="B314" s="182" t="str">
        <f t="shared" si="21"/>
        <v>Wypełniony formularz wyślij pod adres email:</v>
      </c>
      <c r="M314" s="175" t="s">
        <v>445</v>
      </c>
      <c r="N314" s="133" t="s">
        <v>513</v>
      </c>
      <c r="O314" s="133" t="s">
        <v>3589</v>
      </c>
      <c r="P314" s="133" t="s">
        <v>514</v>
      </c>
      <c r="Q314" s="133" t="s">
        <v>1374</v>
      </c>
      <c r="R314" s="325" t="s">
        <v>3965</v>
      </c>
    </row>
    <row r="315" spans="2:28">
      <c r="B315" s="182" t="str">
        <f t="shared" si="21"/>
        <v>zamowienia@demos-trade.com</v>
      </c>
      <c r="M315" s="202" t="s">
        <v>448</v>
      </c>
      <c r="N315" s="133" t="s">
        <v>3203</v>
      </c>
      <c r="O315" s="133" t="s">
        <v>446</v>
      </c>
      <c r="P315" s="133" t="s">
        <v>447</v>
      </c>
      <c r="Q315" s="133" t="s">
        <v>1375</v>
      </c>
      <c r="R315" s="133" t="s">
        <v>917</v>
      </c>
    </row>
    <row r="316" spans="2:28">
      <c r="B316" s="182" t="str">
        <f t="shared" si="21"/>
        <v>Rysunki profili</v>
      </c>
      <c r="M316" s="175" t="s">
        <v>449</v>
      </c>
      <c r="N316" s="133" t="s">
        <v>515</v>
      </c>
      <c r="O316" s="133" t="s">
        <v>516</v>
      </c>
      <c r="P316" s="133" t="s">
        <v>517</v>
      </c>
      <c r="Q316" s="133" t="s">
        <v>918</v>
      </c>
      <c r="R316" s="325" t="s">
        <v>3966</v>
      </c>
    </row>
    <row r="317" spans="2:28">
      <c r="B317" s="182" t="str">
        <f t="shared" si="21"/>
        <v>Komplet okuć do wąskiej ramki H27AL (88630)</v>
      </c>
      <c r="M317" s="175" t="s">
        <v>450</v>
      </c>
      <c r="N317" s="133" t="s">
        <v>518</v>
      </c>
      <c r="O317" s="133" t="s">
        <v>519</v>
      </c>
      <c r="P317" s="133" t="s">
        <v>520</v>
      </c>
      <c r="Q317" s="133" t="s">
        <v>1376</v>
      </c>
      <c r="R317" s="325" t="s">
        <v>3967</v>
      </c>
    </row>
    <row r="318" spans="2:28">
      <c r="B318" s="182" t="str">
        <f t="shared" si="21"/>
        <v>Komplet okuć do szerokiej ramki H37AL (88631)</v>
      </c>
      <c r="M318" s="175" t="s">
        <v>451</v>
      </c>
      <c r="N318" s="133" t="s">
        <v>521</v>
      </c>
      <c r="O318" s="133" t="s">
        <v>522</v>
      </c>
      <c r="P318" s="133" t="s">
        <v>523</v>
      </c>
      <c r="Q318" s="133" t="s">
        <v>1377</v>
      </c>
      <c r="R318" s="325" t="s">
        <v>3968</v>
      </c>
      <c r="AA318" s="181"/>
      <c r="AB318" s="185"/>
    </row>
    <row r="319" spans="2:28">
      <c r="B319" s="182" t="str">
        <f t="shared" si="21"/>
        <v>Wysokość ramki = wysokość wewnętrzna szafki - 6 mm.</v>
      </c>
      <c r="M319" s="175" t="s">
        <v>3571</v>
      </c>
      <c r="N319" s="133" t="s">
        <v>3573</v>
      </c>
      <c r="O319" s="133" t="s">
        <v>3572</v>
      </c>
      <c r="P319" s="133" t="s">
        <v>3574</v>
      </c>
      <c r="Q319" s="133" t="s">
        <v>3575</v>
      </c>
      <c r="R319" s="325" t="s">
        <v>3969</v>
      </c>
      <c r="AA319" s="181"/>
      <c r="AB319" s="185"/>
    </row>
    <row r="320" spans="2:28">
      <c r="B320" s="182" t="str">
        <f t="shared" si="21"/>
        <v>Standardowo ościeżnice przygotowane są pod okucia przesuwne H27AL (nośność 25 kg na ościeżnicę) i H37AL (nośność 35 kg na ościeżnicę).</v>
      </c>
      <c r="M320" s="175" t="s">
        <v>1227</v>
      </c>
      <c r="N320" s="133" t="s">
        <v>1228</v>
      </c>
      <c r="O320" s="133" t="s">
        <v>1297</v>
      </c>
      <c r="P320" s="133" t="s">
        <v>1296</v>
      </c>
      <c r="Q320" s="133" t="s">
        <v>1378</v>
      </c>
      <c r="R320" s="325" t="s">
        <v>3970</v>
      </c>
      <c r="AA320" s="181"/>
      <c r="AB320" s="185"/>
    </row>
    <row r="321" spans="2:28">
      <c r="B321" s="182" t="str">
        <f t="shared" si="21"/>
        <v>Prowadzenie górne długość 2 m (87313)</v>
      </c>
      <c r="M321" s="175" t="s">
        <v>452</v>
      </c>
      <c r="N321" s="133" t="s">
        <v>524</v>
      </c>
      <c r="O321" s="133" t="s">
        <v>525</v>
      </c>
      <c r="P321" s="133" t="s">
        <v>526</v>
      </c>
      <c r="Q321" s="133" t="s">
        <v>1506</v>
      </c>
      <c r="R321" s="325" t="s">
        <v>3971</v>
      </c>
      <c r="AA321" s="181"/>
      <c r="AB321" s="185"/>
    </row>
    <row r="322" spans="2:28">
      <c r="B322" s="182" t="str">
        <f t="shared" si="21"/>
        <v>Prowadzenie dolne długość 2 m (87315)</v>
      </c>
      <c r="M322" s="175" t="s">
        <v>3204</v>
      </c>
      <c r="N322" s="133" t="s">
        <v>527</v>
      </c>
      <c r="O322" s="133" t="s">
        <v>528</v>
      </c>
      <c r="P322" s="133" t="s">
        <v>529</v>
      </c>
      <c r="Q322" s="133" t="s">
        <v>1507</v>
      </c>
      <c r="R322" s="325" t="s">
        <v>3972</v>
      </c>
      <c r="AA322" s="181"/>
      <c r="AB322" s="185"/>
    </row>
    <row r="323" spans="2:28">
      <c r="B323" s="182" t="str">
        <f t="shared" si="21"/>
        <v>Prowadzenie górne długość 3 m (87312)</v>
      </c>
      <c r="M323" s="175" t="s">
        <v>453</v>
      </c>
      <c r="N323" s="133" t="s">
        <v>530</v>
      </c>
      <c r="O323" s="133" t="s">
        <v>531</v>
      </c>
      <c r="P323" s="133" t="s">
        <v>532</v>
      </c>
      <c r="Q323" s="133" t="s">
        <v>1508</v>
      </c>
      <c r="R323" s="325" t="s">
        <v>3973</v>
      </c>
      <c r="AA323" s="181"/>
      <c r="AB323" s="185"/>
    </row>
    <row r="324" spans="2:28" ht="15" thickBot="1">
      <c r="B324" s="182" t="str">
        <f t="shared" si="21"/>
        <v>Prowadzenie dolne długość 3 m (87314)</v>
      </c>
      <c r="M324" s="175" t="s">
        <v>3205</v>
      </c>
      <c r="N324" s="133" t="s">
        <v>533</v>
      </c>
      <c r="O324" s="133" t="s">
        <v>534</v>
      </c>
      <c r="P324" s="133" t="s">
        <v>535</v>
      </c>
      <c r="Q324" s="133" t="s">
        <v>1509</v>
      </c>
      <c r="R324" s="325" t="s">
        <v>3974</v>
      </c>
      <c r="AA324" s="191"/>
      <c r="AB324" s="192"/>
    </row>
    <row r="325" spans="2:28">
      <c r="B325" s="182" t="str">
        <f t="shared" si="21"/>
        <v>Inne wymagania (szt)</v>
      </c>
      <c r="M325" s="175" t="s">
        <v>460</v>
      </c>
      <c r="N325" s="133" t="s">
        <v>536</v>
      </c>
      <c r="O325" s="133" t="s">
        <v>537</v>
      </c>
      <c r="P325" s="133" t="s">
        <v>538</v>
      </c>
      <c r="Q325" s="133" t="s">
        <v>1510</v>
      </c>
      <c r="R325" s="325" t="s">
        <v>3975</v>
      </c>
      <c r="AA325" s="181"/>
      <c r="AB325" s="185"/>
    </row>
    <row r="326" spans="2:28" ht="15" thickBot="1">
      <c r="B326" s="182" t="str">
        <f t="shared" si="21"/>
        <v>Ilość (szt)</v>
      </c>
      <c r="M326" s="175" t="s">
        <v>463</v>
      </c>
      <c r="N326" s="133" t="s">
        <v>539</v>
      </c>
      <c r="O326" s="133" t="s">
        <v>540</v>
      </c>
      <c r="P326" s="133" t="s">
        <v>541</v>
      </c>
      <c r="Q326" s="133" t="s">
        <v>1511</v>
      </c>
      <c r="R326" s="325" t="s">
        <v>3976</v>
      </c>
      <c r="AA326" s="191"/>
      <c r="AB326" s="192"/>
    </row>
    <row r="327" spans="2:28" ht="15" thickBot="1">
      <c r="B327" s="182" t="str">
        <f t="shared" si="21"/>
        <v>Do ramek ponadgabarytowych (ponad rozmiar 1200 x 800 mm) może być doliczana opłata za specjalne zapakowanie i transport (dodatkowe informacje w Biurze Obsługi Klienta tel. 32 790 85 82)</v>
      </c>
      <c r="M327" s="175" t="s">
        <v>2643</v>
      </c>
      <c r="N327" s="133" t="s">
        <v>542</v>
      </c>
      <c r="O327" s="133" t="s">
        <v>3598</v>
      </c>
      <c r="P327" s="133" t="s">
        <v>1264</v>
      </c>
      <c r="Q327" s="133" t="s">
        <v>1512</v>
      </c>
      <c r="R327" s="325" t="s">
        <v>3977</v>
      </c>
      <c r="AA327" s="191"/>
      <c r="AB327" s="192"/>
    </row>
    <row r="328" spans="2:28">
      <c r="B328" s="182" t="str">
        <f t="shared" si="21"/>
        <v>Przed odesłaniem zamówienia należy sprawdzić czy nie przekroczone zostały maksymalne wymiary ramki względem zastosowanego okucia. Formularz nie ma ustawionych ograniczeń.</v>
      </c>
      <c r="M328" s="175" t="s">
        <v>465</v>
      </c>
      <c r="N328" s="133" t="s">
        <v>543</v>
      </c>
      <c r="O328" s="133" t="s">
        <v>1313</v>
      </c>
      <c r="P328" s="133" t="s">
        <v>544</v>
      </c>
      <c r="Q328" s="133" t="s">
        <v>1379</v>
      </c>
      <c r="R328" s="325" t="s">
        <v>3978</v>
      </c>
      <c r="AA328" s="187"/>
      <c r="AB328" s="186"/>
    </row>
    <row r="329" spans="2:28">
      <c r="B329" s="182" t="str">
        <f t="shared" si="21"/>
        <v>Wzornik szkieł można zamawiać pod kodami Lacebel VZK003P oraz Matelac VZK004P.</v>
      </c>
      <c r="M329" s="175" t="s">
        <v>467</v>
      </c>
      <c r="N329" s="133" t="s">
        <v>546</v>
      </c>
      <c r="O329" s="133" t="s">
        <v>545</v>
      </c>
      <c r="P329" s="133" t="s">
        <v>1265</v>
      </c>
      <c r="Q329" s="133" t="s">
        <v>1380</v>
      </c>
      <c r="R329" s="325" t="s">
        <v>3979</v>
      </c>
      <c r="AA329" s="190"/>
      <c r="AB329" s="185"/>
    </row>
    <row r="330" spans="2:28">
      <c r="B330" s="182" t="str">
        <f t="shared" si="21"/>
        <v>Cena za ramy przesuwne jest taka sama jak cena za zwykłe ramy.</v>
      </c>
      <c r="M330" s="175" t="s">
        <v>1229</v>
      </c>
      <c r="N330" s="133" t="s">
        <v>552</v>
      </c>
      <c r="O330" s="133" t="s">
        <v>1298</v>
      </c>
      <c r="P330" s="133" t="s">
        <v>1299</v>
      </c>
      <c r="Q330" s="133" t="s">
        <v>1381</v>
      </c>
      <c r="R330" s="325" t="s">
        <v>3980</v>
      </c>
      <c r="AA330" s="190"/>
      <c r="AB330" s="185"/>
    </row>
    <row r="331" spans="2:28">
      <c r="B331" s="182" t="str">
        <f t="shared" si="21"/>
        <v>Jeśli uchwyt będzie zamocowany w wierceniach w szkle, należy zastosować podkładkę dystansową (np. kod 144516, 191970, C0315)</v>
      </c>
      <c r="M331" s="175" t="s">
        <v>882</v>
      </c>
      <c r="N331" s="133" t="s">
        <v>883</v>
      </c>
      <c r="O331" s="133" t="s">
        <v>884</v>
      </c>
      <c r="P331" s="133" t="s">
        <v>885</v>
      </c>
      <c r="Q331" s="133" t="s">
        <v>1410</v>
      </c>
      <c r="R331" s="325" t="s">
        <v>3981</v>
      </c>
      <c r="AA331" s="190"/>
      <c r="AB331" s="185"/>
    </row>
    <row r="332" spans="2:28">
      <c r="B332" s="182" t="str">
        <f t="shared" si="21"/>
        <v>Podane rysunki techniczne frontów przedstawione są z przodu.</v>
      </c>
      <c r="M332" s="175" t="s">
        <v>559</v>
      </c>
      <c r="N332" s="133" t="s">
        <v>793</v>
      </c>
      <c r="O332" s="133" t="s">
        <v>1314</v>
      </c>
      <c r="P332" s="133" t="s">
        <v>1266</v>
      </c>
      <c r="Q332" s="133" t="s">
        <v>1382</v>
      </c>
      <c r="R332" s="325" t="s">
        <v>3982</v>
      </c>
      <c r="AA332" s="190"/>
      <c r="AB332" s="185"/>
    </row>
    <row r="333" spans="2:28">
      <c r="B333" s="182" t="str">
        <f t="shared" si="21"/>
        <v>Ramki ponadwymiarowe, może być doliczona wyższa opłata transportu.</v>
      </c>
      <c r="M333" s="175" t="s">
        <v>560</v>
      </c>
      <c r="N333" s="133" t="s">
        <v>561</v>
      </c>
      <c r="O333" s="133" t="s">
        <v>562</v>
      </c>
      <c r="P333" s="133" t="s">
        <v>563</v>
      </c>
      <c r="Q333" s="133" t="s">
        <v>1383</v>
      </c>
      <c r="R333" s="325" t="s">
        <v>3983</v>
      </c>
      <c r="AA333" s="190"/>
      <c r="AB333" s="185"/>
    </row>
    <row r="334" spans="2:28">
      <c r="B334" s="182" t="str">
        <f t="shared" si="21"/>
        <v>Umieszczenie ramienia</v>
      </c>
      <c r="M334" s="175" t="s">
        <v>581</v>
      </c>
      <c r="N334" s="133" t="s">
        <v>794</v>
      </c>
      <c r="O334" s="133" t="s">
        <v>1315</v>
      </c>
      <c r="P334" s="133" t="s">
        <v>795</v>
      </c>
      <c r="Q334" s="133" t="s">
        <v>1384</v>
      </c>
      <c r="R334" s="325" t="s">
        <v>3984</v>
      </c>
      <c r="AA334" s="190"/>
      <c r="AB334" s="185"/>
    </row>
    <row r="335" spans="2:28" ht="15" thickBot="1">
      <c r="B335" s="182" t="str">
        <f t="shared" si="21"/>
        <v>Maksymalne wymiary ramki to 2500x1300mm</v>
      </c>
      <c r="M335" s="175" t="s">
        <v>648</v>
      </c>
      <c r="N335" s="133" t="s">
        <v>652</v>
      </c>
      <c r="O335" s="133" t="s">
        <v>653</v>
      </c>
      <c r="P335" s="133" t="s">
        <v>654</v>
      </c>
      <c r="Q335" s="133" t="s">
        <v>1513</v>
      </c>
      <c r="R335" s="325" t="s">
        <v>3985</v>
      </c>
      <c r="AA335" s="193"/>
      <c r="AB335" s="192"/>
    </row>
    <row r="336" spans="2:28">
      <c r="B336" s="182" t="str">
        <f t="shared" si="21"/>
        <v>Minimalna odległość zawiasu od krawędzi ramki jest 70mm</v>
      </c>
      <c r="M336" s="175" t="s">
        <v>649</v>
      </c>
      <c r="N336" s="133" t="s">
        <v>655</v>
      </c>
      <c r="O336" s="133" t="s">
        <v>656</v>
      </c>
      <c r="P336" s="133" t="s">
        <v>657</v>
      </c>
      <c r="Q336" s="133" t="s">
        <v>1385</v>
      </c>
      <c r="R336" s="325" t="s">
        <v>3986</v>
      </c>
      <c r="AA336" s="190"/>
      <c r="AB336" s="185"/>
    </row>
    <row r="337" spans="2:28" ht="15" thickBot="1">
      <c r="B337" s="182" t="str">
        <f t="shared" si="21"/>
        <v>Minimalna odległość zawiasu od krawędzi ramki jest 80mm</v>
      </c>
      <c r="M337" s="175" t="s">
        <v>650</v>
      </c>
      <c r="N337" s="133" t="s">
        <v>658</v>
      </c>
      <c r="O337" s="133" t="s">
        <v>659</v>
      </c>
      <c r="P337" s="133" t="s">
        <v>660</v>
      </c>
      <c r="Q337" s="133" t="s">
        <v>1386</v>
      </c>
      <c r="R337" s="325" t="s">
        <v>3987</v>
      </c>
      <c r="AA337" s="193"/>
      <c r="AB337" s="192"/>
    </row>
    <row r="338" spans="2:28" ht="15" thickBot="1">
      <c r="B338" s="182" t="str">
        <f t="shared" si="21"/>
        <v>Nakładany Clip</v>
      </c>
      <c r="M338" s="175" t="s">
        <v>64</v>
      </c>
      <c r="N338" s="133" t="s">
        <v>64</v>
      </c>
      <c r="O338" s="133" t="s">
        <v>216</v>
      </c>
      <c r="P338" s="133" t="s">
        <v>282</v>
      </c>
      <c r="Q338" s="133" t="s">
        <v>1448</v>
      </c>
      <c r="R338" s="325" t="s">
        <v>3867</v>
      </c>
      <c r="AA338" s="193"/>
      <c r="AB338" s="192"/>
    </row>
    <row r="339" spans="2:28">
      <c r="B339" s="182" t="str">
        <f t="shared" si="21"/>
        <v>Półnakładany Clip</v>
      </c>
      <c r="M339" s="175" t="s">
        <v>65</v>
      </c>
      <c r="N339" s="133" t="s">
        <v>65</v>
      </c>
      <c r="O339" s="133" t="s">
        <v>217</v>
      </c>
      <c r="P339" s="133" t="s">
        <v>1242</v>
      </c>
      <c r="Q339" s="133" t="s">
        <v>1449</v>
      </c>
      <c r="R339" s="325" t="s">
        <v>3868</v>
      </c>
      <c r="AB339" s="186"/>
    </row>
    <row r="340" spans="2:28">
      <c r="B340" s="182" t="str">
        <f t="shared" si="21"/>
        <v>Wpuszczany Clip</v>
      </c>
      <c r="M340" s="175" t="s">
        <v>66</v>
      </c>
      <c r="N340" s="133" t="s">
        <v>66</v>
      </c>
      <c r="O340" s="133" t="s">
        <v>218</v>
      </c>
      <c r="P340" s="133" t="s">
        <v>1243</v>
      </c>
      <c r="Q340" s="133" t="s">
        <v>1450</v>
      </c>
      <c r="R340" s="325" t="s">
        <v>3988</v>
      </c>
      <c r="AB340" s="185"/>
    </row>
    <row r="341" spans="2:28">
      <c r="B341" s="182" t="str">
        <f t="shared" si="21"/>
        <v>Kąt 45°</v>
      </c>
      <c r="M341" s="175" t="s">
        <v>67</v>
      </c>
      <c r="N341" s="133" t="s">
        <v>160</v>
      </c>
      <c r="O341" s="133" t="s">
        <v>219</v>
      </c>
      <c r="P341" s="133" t="s">
        <v>283</v>
      </c>
      <c r="Q341" s="133" t="s">
        <v>1350</v>
      </c>
      <c r="R341" s="325" t="s">
        <v>3870</v>
      </c>
      <c r="AB341" s="185"/>
    </row>
    <row r="342" spans="2:28">
      <c r="B342" s="182" t="str">
        <f t="shared" si="21"/>
        <v>Nakładany</v>
      </c>
      <c r="M342" s="175" t="s">
        <v>68</v>
      </c>
      <c r="N342" s="133" t="s">
        <v>161</v>
      </c>
      <c r="O342" s="133" t="s">
        <v>220</v>
      </c>
      <c r="P342" s="133" t="s">
        <v>284</v>
      </c>
      <c r="Q342" s="133" t="s">
        <v>1451</v>
      </c>
      <c r="R342" s="325" t="s">
        <v>3871</v>
      </c>
      <c r="AB342" s="185"/>
    </row>
    <row r="343" spans="2:28">
      <c r="B343" s="182" t="str">
        <f t="shared" si="21"/>
        <v>Półnakładany</v>
      </c>
      <c r="M343" s="175" t="s">
        <v>69</v>
      </c>
      <c r="N343" s="133" t="s">
        <v>162</v>
      </c>
      <c r="O343" s="133" t="s">
        <v>221</v>
      </c>
      <c r="P343" s="133" t="s">
        <v>1244</v>
      </c>
      <c r="Q343" s="133" t="s">
        <v>1452</v>
      </c>
      <c r="R343" s="325" t="s">
        <v>3872</v>
      </c>
      <c r="AB343" s="185"/>
    </row>
    <row r="344" spans="2:28">
      <c r="B344" s="182" t="str">
        <f t="shared" si="21"/>
        <v xml:space="preserve">Wpuszczany </v>
      </c>
      <c r="M344" s="175" t="s">
        <v>70</v>
      </c>
      <c r="N344" s="133" t="s">
        <v>163</v>
      </c>
      <c r="O344" s="133" t="s">
        <v>222</v>
      </c>
      <c r="P344" s="133" t="s">
        <v>1245</v>
      </c>
      <c r="Q344" s="133" t="s">
        <v>905</v>
      </c>
      <c r="R344" s="325" t="s">
        <v>3873</v>
      </c>
      <c r="AB344" s="185"/>
    </row>
    <row r="345" spans="2:28">
      <c r="B345" s="182" t="str">
        <f t="shared" si="21"/>
        <v>Kąt 45°</v>
      </c>
      <c r="M345" s="175" t="s">
        <v>67</v>
      </c>
      <c r="N345" s="133" t="s">
        <v>160</v>
      </c>
      <c r="O345" s="133" t="s">
        <v>219</v>
      </c>
      <c r="P345" s="133" t="s">
        <v>283</v>
      </c>
      <c r="Q345" s="133" t="s">
        <v>1350</v>
      </c>
      <c r="R345" s="325" t="s">
        <v>3870</v>
      </c>
      <c r="AB345" s="185"/>
    </row>
    <row r="346" spans="2:28" ht="15" thickBot="1">
      <c r="B346" s="182" t="str">
        <f t="shared" si="21"/>
        <v>Nakładany z odwrotną funkcją sprężyny</v>
      </c>
      <c r="M346" s="175" t="s">
        <v>71</v>
      </c>
      <c r="N346" s="133" t="s">
        <v>71</v>
      </c>
      <c r="O346" s="133" t="s">
        <v>223</v>
      </c>
      <c r="P346" s="133" t="s">
        <v>287</v>
      </c>
      <c r="Q346" s="133" t="s">
        <v>1453</v>
      </c>
      <c r="R346" s="325" t="s">
        <v>3874</v>
      </c>
      <c r="AB346" s="192"/>
    </row>
    <row r="347" spans="2:28">
      <c r="B347" s="182" t="str">
        <f t="shared" si="21"/>
        <v>Wpuszczany z odwrotną funkcją sprężyny</v>
      </c>
      <c r="M347" s="175" t="s">
        <v>72</v>
      </c>
      <c r="N347" s="133" t="s">
        <v>72</v>
      </c>
      <c r="O347" s="133" t="s">
        <v>224</v>
      </c>
      <c r="P347" s="133" t="s">
        <v>1246</v>
      </c>
      <c r="Q347" s="133" t="s">
        <v>1454</v>
      </c>
      <c r="R347" s="325" t="s">
        <v>3875</v>
      </c>
      <c r="AB347" s="185"/>
    </row>
    <row r="348" spans="2:28" ht="15" thickBot="1">
      <c r="B348" s="182" t="str">
        <f t="shared" si="21"/>
        <v>Clip na wkręt H2</v>
      </c>
      <c r="M348" s="175" t="s">
        <v>87</v>
      </c>
      <c r="N348" s="133" t="s">
        <v>164</v>
      </c>
      <c r="O348" s="133" t="s">
        <v>225</v>
      </c>
      <c r="P348" s="133" t="s">
        <v>288</v>
      </c>
      <c r="Q348" s="133" t="s">
        <v>1455</v>
      </c>
      <c r="R348" s="325" t="s">
        <v>3876</v>
      </c>
      <c r="AB348" s="192"/>
    </row>
    <row r="349" spans="2:28" ht="15" thickBot="1">
      <c r="B349" s="182" t="str">
        <f t="shared" si="21"/>
        <v>Clip na wkręt H4</v>
      </c>
      <c r="M349" s="175" t="s">
        <v>88</v>
      </c>
      <c r="N349" s="133" t="s">
        <v>165</v>
      </c>
      <c r="O349" s="133" t="s">
        <v>226</v>
      </c>
      <c r="P349" s="133" t="s">
        <v>289</v>
      </c>
      <c r="Q349" s="133" t="s">
        <v>1456</v>
      </c>
      <c r="R349" s="325" t="s">
        <v>3877</v>
      </c>
      <c r="AB349" s="192"/>
    </row>
    <row r="350" spans="2:28">
      <c r="B350" s="182" t="str">
        <f t="shared" si="21"/>
        <v>Clip na wkręt euro H2</v>
      </c>
      <c r="M350" s="175" t="s">
        <v>89</v>
      </c>
      <c r="N350" s="133" t="s">
        <v>166</v>
      </c>
      <c r="O350" s="133" t="s">
        <v>227</v>
      </c>
      <c r="P350" s="133" t="s">
        <v>290</v>
      </c>
      <c r="Q350" s="133" t="s">
        <v>1457</v>
      </c>
      <c r="R350" s="325" t="s">
        <v>4243</v>
      </c>
    </row>
    <row r="351" spans="2:28">
      <c r="B351" s="182" t="str">
        <f t="shared" si="21"/>
        <v>Clip na wkręt euro H4</v>
      </c>
      <c r="M351" s="175" t="s">
        <v>90</v>
      </c>
      <c r="N351" s="133" t="s">
        <v>167</v>
      </c>
      <c r="O351" s="133" t="s">
        <v>228</v>
      </c>
      <c r="P351" s="133" t="s">
        <v>291</v>
      </c>
      <c r="Q351" s="133" t="s">
        <v>1458</v>
      </c>
      <c r="R351" s="325" t="s">
        <v>3878</v>
      </c>
    </row>
    <row r="352" spans="2:28">
      <c r="B352" s="182" t="str">
        <f t="shared" si="21"/>
        <v>Slide on na wkręt H2</v>
      </c>
      <c r="M352" s="175" t="s">
        <v>91</v>
      </c>
      <c r="N352" s="133" t="s">
        <v>168</v>
      </c>
      <c r="O352" s="133" t="s">
        <v>229</v>
      </c>
      <c r="P352" s="133" t="s">
        <v>292</v>
      </c>
      <c r="Q352" s="133" t="s">
        <v>1459</v>
      </c>
      <c r="R352" s="325" t="s">
        <v>3879</v>
      </c>
    </row>
    <row r="353" spans="2:18">
      <c r="B353" s="182" t="str">
        <f t="shared" si="21"/>
        <v>Slide on na wkręt H4</v>
      </c>
      <c r="M353" s="175" t="s">
        <v>92</v>
      </c>
      <c r="N353" s="133" t="s">
        <v>169</v>
      </c>
      <c r="O353" s="133" t="s">
        <v>230</v>
      </c>
      <c r="P353" s="133" t="s">
        <v>293</v>
      </c>
      <c r="Q353" s="133" t="s">
        <v>1460</v>
      </c>
      <c r="R353" s="325" t="s">
        <v>3880</v>
      </c>
    </row>
    <row r="354" spans="2:18">
      <c r="B354" s="182" t="str">
        <f t="shared" si="21"/>
        <v>Slide on na euro wkręt H2</v>
      </c>
      <c r="M354" s="175" t="s">
        <v>93</v>
      </c>
      <c r="N354" s="133" t="s">
        <v>170</v>
      </c>
      <c r="O354" s="133" t="s">
        <v>231</v>
      </c>
      <c r="P354" s="133" t="s">
        <v>294</v>
      </c>
      <c r="Q354" s="133" t="s">
        <v>1461</v>
      </c>
      <c r="R354" s="325" t="s">
        <v>3881</v>
      </c>
    </row>
    <row r="355" spans="2:18">
      <c r="B355" s="182" t="str">
        <f t="shared" si="21"/>
        <v>Slide on na euro wkręt H4</v>
      </c>
      <c r="M355" s="175" t="s">
        <v>94</v>
      </c>
      <c r="N355" s="133" t="s">
        <v>171</v>
      </c>
      <c r="O355" s="133" t="s">
        <v>232</v>
      </c>
      <c r="P355" s="133" t="s">
        <v>295</v>
      </c>
      <c r="Q355" s="133" t="s">
        <v>1462</v>
      </c>
      <c r="R355" s="325" t="s">
        <v>3882</v>
      </c>
    </row>
    <row r="356" spans="2:18">
      <c r="B356" s="182" t="str">
        <f t="shared" si="21"/>
        <v>Nakładany Clip</v>
      </c>
      <c r="M356" s="175" t="s">
        <v>64</v>
      </c>
      <c r="N356" s="133" t="s">
        <v>64</v>
      </c>
      <c r="O356" s="133" t="s">
        <v>216</v>
      </c>
      <c r="P356" s="133" t="s">
        <v>282</v>
      </c>
      <c r="Q356" s="133" t="s">
        <v>1448</v>
      </c>
      <c r="R356" s="325" t="s">
        <v>3867</v>
      </c>
    </row>
    <row r="357" spans="2:18">
      <c r="B357" s="182" t="str">
        <f t="shared" si="21"/>
        <v>Półnakładany Clip</v>
      </c>
      <c r="M357" s="175" t="s">
        <v>65</v>
      </c>
      <c r="N357" s="133" t="s">
        <v>65</v>
      </c>
      <c r="O357" s="133" t="s">
        <v>217</v>
      </c>
      <c r="P357" s="133" t="s">
        <v>1242</v>
      </c>
      <c r="Q357" s="133" t="s">
        <v>1449</v>
      </c>
      <c r="R357" s="325" t="s">
        <v>3868</v>
      </c>
    </row>
    <row r="358" spans="2:18">
      <c r="B358" s="182" t="str">
        <f t="shared" si="21"/>
        <v>Wpuszczany Clip</v>
      </c>
      <c r="M358" s="175" t="s">
        <v>66</v>
      </c>
      <c r="N358" s="133" t="s">
        <v>66</v>
      </c>
      <c r="O358" s="133" t="s">
        <v>218</v>
      </c>
      <c r="P358" s="133" t="s">
        <v>1243</v>
      </c>
      <c r="Q358" s="133" t="s">
        <v>1450</v>
      </c>
      <c r="R358" s="325" t="s">
        <v>3869</v>
      </c>
    </row>
    <row r="359" spans="2:18">
      <c r="B359" s="182" t="str">
        <f t="shared" si="21"/>
        <v>45° clip</v>
      </c>
      <c r="M359" s="175" t="s">
        <v>0</v>
      </c>
      <c r="N359" s="133" t="s">
        <v>178</v>
      </c>
      <c r="O359" s="133" t="s">
        <v>0</v>
      </c>
      <c r="P359" s="133" t="s">
        <v>1249</v>
      </c>
      <c r="Q359" s="133" t="s">
        <v>1472</v>
      </c>
      <c r="R359" s="325" t="s">
        <v>3893</v>
      </c>
    </row>
    <row r="360" spans="2:18">
      <c r="B360" s="182" t="str">
        <f t="shared" si="21"/>
        <v xml:space="preserve">StrongHinges Clip na wkręt euro H0 </v>
      </c>
      <c r="M360" s="175" t="s">
        <v>2332</v>
      </c>
      <c r="N360" s="133" t="s">
        <v>2333</v>
      </c>
      <c r="O360" s="133" t="s">
        <v>2334</v>
      </c>
      <c r="P360" s="133" t="s">
        <v>2335</v>
      </c>
      <c r="Q360" s="133" t="s">
        <v>2336</v>
      </c>
      <c r="R360" s="325" t="s">
        <v>3989</v>
      </c>
    </row>
    <row r="361" spans="2:18">
      <c r="B361" s="182" t="str">
        <f t="shared" si="21"/>
        <v>StrongHinges Clip na wkręt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Clip na wkręt euro H2</v>
      </c>
      <c r="M362" s="175" t="s">
        <v>2342</v>
      </c>
      <c r="N362" s="133" t="s">
        <v>2343</v>
      </c>
      <c r="O362" s="133" t="s">
        <v>2344</v>
      </c>
      <c r="P362" s="133" t="s">
        <v>2345</v>
      </c>
      <c r="Q362" s="133" t="s">
        <v>2346</v>
      </c>
      <c r="R362" s="325" t="s">
        <v>3991</v>
      </c>
    </row>
    <row r="363" spans="2:18">
      <c r="B363" s="182" t="str">
        <f t="shared" si="22"/>
        <v>StrongHinges Clip na wkręt H2</v>
      </c>
      <c r="M363" s="175" t="s">
        <v>2347</v>
      </c>
      <c r="N363" s="133" t="s">
        <v>2348</v>
      </c>
      <c r="O363" s="133" t="s">
        <v>2349</v>
      </c>
      <c r="P363" s="133" t="s">
        <v>2350</v>
      </c>
      <c r="Q363" s="133" t="s">
        <v>2351</v>
      </c>
      <c r="R363" s="325" t="s">
        <v>3992</v>
      </c>
    </row>
    <row r="364" spans="2:18">
      <c r="B364" s="182" t="str">
        <f t="shared" si="22"/>
        <v>Nakładany Clip</v>
      </c>
      <c r="M364" s="175" t="s">
        <v>64</v>
      </c>
      <c r="N364" s="133" t="s">
        <v>64</v>
      </c>
      <c r="O364" s="133" t="s">
        <v>216</v>
      </c>
      <c r="P364" s="133" t="s">
        <v>282</v>
      </c>
      <c r="Q364" s="133" t="s">
        <v>1448</v>
      </c>
      <c r="R364" s="325" t="s">
        <v>3867</v>
      </c>
    </row>
    <row r="365" spans="2:18">
      <c r="B365" s="182" t="str">
        <f t="shared" si="22"/>
        <v>Nakładany Clip</v>
      </c>
      <c r="M365" s="175" t="s">
        <v>64</v>
      </c>
      <c r="N365" s="133" t="s">
        <v>64</v>
      </c>
      <c r="O365" s="133" t="s">
        <v>216</v>
      </c>
      <c r="P365" s="133" t="s">
        <v>282</v>
      </c>
      <c r="Q365" s="133" t="s">
        <v>1448</v>
      </c>
      <c r="R365" s="325" t="s">
        <v>3867</v>
      </c>
    </row>
    <row r="366" spans="2:18">
      <c r="B366" s="182" t="str">
        <f t="shared" si="22"/>
        <v>Półnakładany Clip</v>
      </c>
      <c r="M366" s="175" t="s">
        <v>65</v>
      </c>
      <c r="N366" s="133" t="s">
        <v>65</v>
      </c>
      <c r="O366" s="133" t="s">
        <v>217</v>
      </c>
      <c r="P366" s="133" t="s">
        <v>1242</v>
      </c>
      <c r="Q366" s="133" t="s">
        <v>1449</v>
      </c>
      <c r="R366" s="325" t="s">
        <v>3868</v>
      </c>
    </row>
    <row r="367" spans="2:18">
      <c r="B367" s="182" t="str">
        <f t="shared" si="22"/>
        <v>Wpuszczany Clip</v>
      </c>
      <c r="M367" s="175" t="s">
        <v>66</v>
      </c>
      <c r="N367" s="133" t="s">
        <v>66</v>
      </c>
      <c r="O367" s="133" t="s">
        <v>218</v>
      </c>
      <c r="P367" s="133" t="s">
        <v>1243</v>
      </c>
      <c r="Q367" s="133" t="s">
        <v>1450</v>
      </c>
      <c r="R367" s="325" t="s">
        <v>3869</v>
      </c>
    </row>
    <row r="368" spans="2:18">
      <c r="B368" s="182" t="str">
        <f t="shared" si="22"/>
        <v>45° clip</v>
      </c>
      <c r="M368" s="175" t="s">
        <v>0</v>
      </c>
      <c r="N368" s="133" t="s">
        <v>178</v>
      </c>
      <c r="O368" s="133" t="s">
        <v>0</v>
      </c>
      <c r="P368" s="133" t="s">
        <v>1249</v>
      </c>
      <c r="Q368" s="133" t="s">
        <v>1472</v>
      </c>
      <c r="R368" s="325" t="s">
        <v>3893</v>
      </c>
    </row>
    <row r="369" spans="2:18">
      <c r="B369" s="182" t="str">
        <f t="shared" si="22"/>
        <v xml:space="preserve">Clip na wkręt euro H0 </v>
      </c>
      <c r="M369" s="175" t="s">
        <v>86</v>
      </c>
      <c r="N369" s="133" t="s">
        <v>179</v>
      </c>
      <c r="O369" s="133" t="s">
        <v>240</v>
      </c>
      <c r="P369" s="133" t="s">
        <v>303</v>
      </c>
      <c r="Q369" s="133" t="s">
        <v>1473</v>
      </c>
      <c r="R369" s="325" t="s">
        <v>3993</v>
      </c>
    </row>
    <row r="370" spans="2:18">
      <c r="B370" s="182" t="str">
        <f t="shared" si="22"/>
        <v>Clip na wkręt H0</v>
      </c>
      <c r="M370" s="175" t="s">
        <v>85</v>
      </c>
      <c r="N370" s="133" t="s">
        <v>180</v>
      </c>
      <c r="O370" s="133" t="s">
        <v>241</v>
      </c>
      <c r="P370" s="133" t="s">
        <v>304</v>
      </c>
      <c r="Q370" s="133" t="s">
        <v>1474</v>
      </c>
      <c r="R370" s="325" t="s">
        <v>3895</v>
      </c>
    </row>
    <row r="371" spans="2:18">
      <c r="B371" s="182" t="str">
        <f t="shared" si="22"/>
        <v>Clip na wkręt euro H2</v>
      </c>
      <c r="M371" s="175" t="s">
        <v>89</v>
      </c>
      <c r="N371" s="133" t="s">
        <v>166</v>
      </c>
      <c r="O371" s="133" t="s">
        <v>227</v>
      </c>
      <c r="P371" s="133" t="s">
        <v>290</v>
      </c>
      <c r="Q371" s="133" t="s">
        <v>1457</v>
      </c>
      <c r="R371" s="325" t="s">
        <v>3994</v>
      </c>
    </row>
    <row r="372" spans="2:18">
      <c r="B372" s="182" t="str">
        <f t="shared" si="22"/>
        <v>Sensys nakładany z tłumieniem</v>
      </c>
      <c r="M372" s="175" t="s">
        <v>569</v>
      </c>
      <c r="N372" s="133" t="s">
        <v>661</v>
      </c>
      <c r="O372" s="133" t="s">
        <v>662</v>
      </c>
      <c r="P372" s="133" t="s">
        <v>663</v>
      </c>
      <c r="Q372" s="133" t="s">
        <v>1514</v>
      </c>
      <c r="R372" s="325" t="s">
        <v>3995</v>
      </c>
    </row>
    <row r="373" spans="2:18">
      <c r="B373" s="182" t="str">
        <f t="shared" si="22"/>
        <v>Sensys półnakładany z tłumieniem</v>
      </c>
      <c r="M373" s="175" t="s">
        <v>570</v>
      </c>
      <c r="N373" s="133" t="s">
        <v>664</v>
      </c>
      <c r="O373" s="133" t="s">
        <v>665</v>
      </c>
      <c r="P373" s="133" t="s">
        <v>1267</v>
      </c>
      <c r="Q373" s="133" t="s">
        <v>1515</v>
      </c>
      <c r="R373" s="325" t="s">
        <v>3996</v>
      </c>
    </row>
    <row r="374" spans="2:18">
      <c r="B374" s="182" t="str">
        <f t="shared" si="22"/>
        <v>Sensys wpuszczany z tłumieniem</v>
      </c>
      <c r="M374" s="175" t="s">
        <v>571</v>
      </c>
      <c r="N374" s="133" t="s">
        <v>666</v>
      </c>
      <c r="O374" s="133" t="s">
        <v>667</v>
      </c>
      <c r="P374" s="133" t="s">
        <v>1268</v>
      </c>
      <c r="Q374" s="133" t="s">
        <v>1516</v>
      </c>
      <c r="R374" s="325" t="s">
        <v>3997</v>
      </c>
    </row>
    <row r="375" spans="2:18">
      <c r="B375" s="182" t="str">
        <f t="shared" si="22"/>
        <v>Sensys równoległy z tłumieniem</v>
      </c>
      <c r="M375" s="175" t="s">
        <v>572</v>
      </c>
      <c r="N375" s="133" t="s">
        <v>668</v>
      </c>
      <c r="O375" s="133" t="s">
        <v>669</v>
      </c>
      <c r="P375" s="133" t="s">
        <v>670</v>
      </c>
      <c r="Q375" s="133" t="s">
        <v>1517</v>
      </c>
      <c r="R375" s="329" t="s">
        <v>3998</v>
      </c>
    </row>
    <row r="376" spans="2:18">
      <c r="B376" s="182" t="str">
        <f t="shared" si="22"/>
        <v>Sensys nakładany bez tłumienia</v>
      </c>
      <c r="M376" s="175" t="s">
        <v>573</v>
      </c>
      <c r="N376" s="133" t="s">
        <v>671</v>
      </c>
      <c r="O376" s="133" t="s">
        <v>672</v>
      </c>
      <c r="P376" s="133" t="s">
        <v>673</v>
      </c>
      <c r="Q376" s="133" t="s">
        <v>1518</v>
      </c>
      <c r="R376" s="325" t="s">
        <v>3999</v>
      </c>
    </row>
    <row r="377" spans="2:18">
      <c r="B377" s="182" t="str">
        <f t="shared" si="22"/>
        <v>Intermat nakładany</v>
      </c>
      <c r="M377" s="175" t="s">
        <v>574</v>
      </c>
      <c r="N377" s="133" t="s">
        <v>574</v>
      </c>
      <c r="O377" s="133" t="s">
        <v>674</v>
      </c>
      <c r="P377" s="133" t="s">
        <v>675</v>
      </c>
      <c r="Q377" s="133" t="s">
        <v>1519</v>
      </c>
      <c r="R377" s="325" t="s">
        <v>4000</v>
      </c>
    </row>
    <row r="378" spans="2:18">
      <c r="B378" s="182" t="str">
        <f t="shared" si="22"/>
        <v>Intermat nakładany 125°</v>
      </c>
      <c r="M378" s="175" t="s">
        <v>575</v>
      </c>
      <c r="N378" s="133" t="s">
        <v>575</v>
      </c>
      <c r="O378" s="133" t="s">
        <v>676</v>
      </c>
      <c r="P378" s="133" t="s">
        <v>677</v>
      </c>
      <c r="Q378" s="133" t="s">
        <v>1520</v>
      </c>
      <c r="R378" s="325" t="s">
        <v>4001</v>
      </c>
    </row>
    <row r="379" spans="2:18">
      <c r="B379" s="182" t="str">
        <f t="shared" si="22"/>
        <v>Intermat półnakładany</v>
      </c>
      <c r="M379" s="175" t="s">
        <v>576</v>
      </c>
      <c r="N379" s="133" t="s">
        <v>576</v>
      </c>
      <c r="O379" s="133" t="s">
        <v>678</v>
      </c>
      <c r="P379" s="133" t="s">
        <v>1269</v>
      </c>
      <c r="Q379" s="133" t="s">
        <v>1521</v>
      </c>
      <c r="R379" s="325" t="s">
        <v>4244</v>
      </c>
    </row>
    <row r="380" spans="2:18">
      <c r="B380" s="182" t="str">
        <f t="shared" si="22"/>
        <v>Intermat wpuszczany</v>
      </c>
      <c r="M380" s="175" t="s">
        <v>577</v>
      </c>
      <c r="N380" s="133" t="s">
        <v>577</v>
      </c>
      <c r="O380" s="133" t="s">
        <v>679</v>
      </c>
      <c r="P380" s="133" t="s">
        <v>1270</v>
      </c>
      <c r="Q380" s="133" t="s">
        <v>1387</v>
      </c>
      <c r="R380" s="325" t="s">
        <v>4002</v>
      </c>
    </row>
    <row r="381" spans="2:18">
      <c r="B381" s="182" t="str">
        <f t="shared" si="22"/>
        <v>Intermat równoległy</v>
      </c>
      <c r="M381" s="175" t="s">
        <v>578</v>
      </c>
      <c r="N381" s="133" t="s">
        <v>680</v>
      </c>
      <c r="O381" s="133" t="s">
        <v>681</v>
      </c>
      <c r="P381" s="133" t="s">
        <v>682</v>
      </c>
      <c r="Q381" s="133" t="s">
        <v>1522</v>
      </c>
      <c r="R381" s="325" t="s">
        <v>4003</v>
      </c>
    </row>
    <row r="382" spans="2:18">
      <c r="B382" s="182" t="str">
        <f t="shared" si="22"/>
        <v>Sensys nakładany bez tłumienia</v>
      </c>
      <c r="M382" s="175" t="s">
        <v>597</v>
      </c>
      <c r="N382" s="133" t="s">
        <v>683</v>
      </c>
      <c r="O382" s="133" t="s">
        <v>672</v>
      </c>
      <c r="P382" s="133" t="s">
        <v>673</v>
      </c>
      <c r="Q382" s="133" t="s">
        <v>1523</v>
      </c>
      <c r="R382" s="325" t="s">
        <v>3999</v>
      </c>
    </row>
    <row r="383" spans="2:18">
      <c r="B383" s="182" t="str">
        <f t="shared" si="22"/>
        <v>Sensys wpuszczany bez tłumienia</v>
      </c>
      <c r="M383" s="175" t="s">
        <v>598</v>
      </c>
      <c r="N383" s="133" t="s">
        <v>684</v>
      </c>
      <c r="O383" s="133" t="s">
        <v>685</v>
      </c>
      <c r="P383" s="133" t="s">
        <v>1271</v>
      </c>
      <c r="Q383" s="133" t="s">
        <v>1524</v>
      </c>
      <c r="R383" s="325" t="s">
        <v>4004</v>
      </c>
    </row>
    <row r="384" spans="2:18">
      <c r="B384" s="182" t="str">
        <f t="shared" si="22"/>
        <v>Sensys nakładany z tłumieniem</v>
      </c>
      <c r="M384" s="175" t="s">
        <v>569</v>
      </c>
      <c r="N384" s="133" t="s">
        <v>661</v>
      </c>
      <c r="O384" s="133" t="s">
        <v>662</v>
      </c>
      <c r="P384" s="133" t="s">
        <v>663</v>
      </c>
      <c r="Q384" s="133" t="s">
        <v>1514</v>
      </c>
      <c r="R384" s="325" t="s">
        <v>3995</v>
      </c>
    </row>
    <row r="385" spans="2:18">
      <c r="B385" s="182" t="str">
        <f t="shared" si="22"/>
        <v>Sensys wpuszczany z tłumieniem</v>
      </c>
      <c r="M385" s="175" t="s">
        <v>571</v>
      </c>
      <c r="N385" s="133" t="s">
        <v>666</v>
      </c>
      <c r="O385" s="133" t="s">
        <v>667</v>
      </c>
      <c r="P385" s="133" t="s">
        <v>1268</v>
      </c>
      <c r="Q385" s="133" t="s">
        <v>1516</v>
      </c>
      <c r="R385" s="325" t="s">
        <v>3997</v>
      </c>
    </row>
    <row r="386" spans="2:18">
      <c r="B386" s="182" t="str">
        <f t="shared" si="22"/>
        <v>Intermat nakładany</v>
      </c>
      <c r="M386" s="175" t="s">
        <v>574</v>
      </c>
      <c r="N386" s="133" t="s">
        <v>574</v>
      </c>
      <c r="O386" s="133" t="s">
        <v>674</v>
      </c>
      <c r="P386" s="133" t="s">
        <v>675</v>
      </c>
      <c r="Q386" s="133" t="s">
        <v>1519</v>
      </c>
      <c r="R386" s="325" t="s">
        <v>4000</v>
      </c>
    </row>
    <row r="387" spans="2:18">
      <c r="B387" s="182" t="str">
        <f t="shared" si="22"/>
        <v>Intermat wpuszczany</v>
      </c>
      <c r="M387" s="175" t="s">
        <v>577</v>
      </c>
      <c r="N387" s="133" t="s">
        <v>577</v>
      </c>
      <c r="O387" s="133" t="s">
        <v>679</v>
      </c>
      <c r="P387" s="133" t="s">
        <v>1270</v>
      </c>
      <c r="Q387" s="133" t="s">
        <v>1387</v>
      </c>
      <c r="R387" s="325" t="s">
        <v>4002</v>
      </c>
    </row>
    <row r="388" spans="2:18">
      <c r="B388" s="182" t="str">
        <f t="shared" si="22"/>
        <v>prowadnik na wkręt</v>
      </c>
      <c r="M388" s="175" t="s">
        <v>645</v>
      </c>
      <c r="N388" s="133" t="s">
        <v>645</v>
      </c>
      <c r="O388" s="133" t="s">
        <v>686</v>
      </c>
      <c r="P388" s="133" t="s">
        <v>687</v>
      </c>
      <c r="Q388" s="133" t="s">
        <v>1525</v>
      </c>
      <c r="R388" s="329" t="s">
        <v>4005</v>
      </c>
    </row>
    <row r="389" spans="2:18">
      <c r="B389" s="182" t="str">
        <f t="shared" si="22"/>
        <v>prowadnik na Eurowkręt</v>
      </c>
      <c r="M389" s="175" t="s">
        <v>579</v>
      </c>
      <c r="N389" s="133" t="s">
        <v>579</v>
      </c>
      <c r="O389" s="133" t="s">
        <v>688</v>
      </c>
      <c r="P389" s="133" t="s">
        <v>689</v>
      </c>
      <c r="Q389" s="133" t="s">
        <v>1526</v>
      </c>
      <c r="R389" s="329" t="s">
        <v>4006</v>
      </c>
    </row>
    <row r="390" spans="2:18">
      <c r="B390" s="182" t="str">
        <f t="shared" si="22"/>
        <v>prowadnik z kołkiem rozporowym</v>
      </c>
      <c r="M390" s="175" t="s">
        <v>580</v>
      </c>
      <c r="N390" s="133" t="s">
        <v>690</v>
      </c>
      <c r="O390" s="133" t="s">
        <v>691</v>
      </c>
      <c r="P390" s="133" t="s">
        <v>692</v>
      </c>
      <c r="Q390" s="133" t="s">
        <v>1527</v>
      </c>
      <c r="R390" s="329" t="s">
        <v>4007</v>
      </c>
    </row>
    <row r="391" spans="2:18">
      <c r="B391" s="182" t="str">
        <f t="shared" si="22"/>
        <v>Nakładany Clip</v>
      </c>
      <c r="M391" s="175" t="s">
        <v>646</v>
      </c>
      <c r="N391" s="133" t="s">
        <v>64</v>
      </c>
      <c r="O391" s="133" t="s">
        <v>216</v>
      </c>
      <c r="P391" s="133" t="s">
        <v>282</v>
      </c>
      <c r="Q391" s="133" t="s">
        <v>1448</v>
      </c>
      <c r="R391" s="325" t="s">
        <v>3867</v>
      </c>
    </row>
    <row r="392" spans="2:18">
      <c r="B392" s="182" t="str">
        <f t="shared" si="22"/>
        <v>Półnakładany Clip</v>
      </c>
      <c r="M392" s="175" t="s">
        <v>647</v>
      </c>
      <c r="N392" s="133" t="s">
        <v>65</v>
      </c>
      <c r="O392" s="133" t="s">
        <v>217</v>
      </c>
      <c r="P392" s="133" t="s">
        <v>1242</v>
      </c>
      <c r="Q392" s="133" t="s">
        <v>1449</v>
      </c>
      <c r="R392" s="325" t="s">
        <v>3868</v>
      </c>
    </row>
    <row r="393" spans="2:18">
      <c r="B393" s="182" t="str">
        <f t="shared" si="22"/>
        <v>Wpuszczany Clip</v>
      </c>
      <c r="M393" s="175" t="s">
        <v>66</v>
      </c>
      <c r="N393" s="133" t="s">
        <v>66</v>
      </c>
      <c r="O393" s="133" t="s">
        <v>218</v>
      </c>
      <c r="P393" s="133" t="s">
        <v>1243</v>
      </c>
      <c r="Q393" s="133" t="s">
        <v>1450</v>
      </c>
      <c r="R393" s="325" t="s">
        <v>3869</v>
      </c>
    </row>
    <row r="394" spans="2:18">
      <c r="B394" s="182" t="str">
        <f t="shared" si="22"/>
        <v>nakładany z tłumieniem clip 110°</v>
      </c>
      <c r="M394" s="175" t="s">
        <v>583</v>
      </c>
      <c r="N394" s="133" t="s">
        <v>693</v>
      </c>
      <c r="O394" s="133" t="s">
        <v>694</v>
      </c>
      <c r="P394" s="133" t="s">
        <v>827</v>
      </c>
      <c r="Q394" s="133" t="s">
        <v>1528</v>
      </c>
      <c r="R394" s="325" t="s">
        <v>4008</v>
      </c>
    </row>
    <row r="395" spans="2:18">
      <c r="B395" s="182" t="str">
        <f t="shared" si="22"/>
        <v>półnakładany z tłumieniem clip 110°</v>
      </c>
      <c r="M395" s="175" t="s">
        <v>584</v>
      </c>
      <c r="N395" s="133" t="s">
        <v>695</v>
      </c>
      <c r="O395" s="133" t="s">
        <v>696</v>
      </c>
      <c r="P395" s="133" t="s">
        <v>1272</v>
      </c>
      <c r="Q395" s="133" t="s">
        <v>1529</v>
      </c>
      <c r="R395" s="325" t="s">
        <v>4009</v>
      </c>
    </row>
    <row r="396" spans="2:18">
      <c r="B396" s="182" t="str">
        <f t="shared" si="22"/>
        <v>wpuszczany z tłumieniem clip 110°</v>
      </c>
      <c r="M396" s="175" t="s">
        <v>585</v>
      </c>
      <c r="N396" s="133" t="s">
        <v>697</v>
      </c>
      <c r="O396" s="133" t="s">
        <v>698</v>
      </c>
      <c r="P396" s="133" t="s">
        <v>1273</v>
      </c>
      <c r="Q396" s="133" t="s">
        <v>1530</v>
      </c>
      <c r="R396" s="325" t="s">
        <v>4010</v>
      </c>
    </row>
    <row r="397" spans="2:18">
      <c r="B397" s="182" t="str">
        <f t="shared" si="22"/>
        <v>nakładany bez tłumienia clip 110°</v>
      </c>
      <c r="M397" s="175" t="s">
        <v>586</v>
      </c>
      <c r="N397" s="133" t="s">
        <v>699</v>
      </c>
      <c r="O397" s="133" t="s">
        <v>700</v>
      </c>
      <c r="P397" s="133" t="s">
        <v>828</v>
      </c>
      <c r="Q397" s="133" t="s">
        <v>1531</v>
      </c>
      <c r="R397" s="325" t="s">
        <v>4011</v>
      </c>
    </row>
    <row r="398" spans="2:18">
      <c r="B398" s="182" t="str">
        <f t="shared" si="22"/>
        <v>półnakładany bez tłumienia clip 110°</v>
      </c>
      <c r="M398" s="175" t="s">
        <v>587</v>
      </c>
      <c r="N398" s="133" t="s">
        <v>701</v>
      </c>
      <c r="O398" s="133" t="s">
        <v>702</v>
      </c>
      <c r="P398" s="133" t="s">
        <v>1274</v>
      </c>
      <c r="Q398" s="133" t="s">
        <v>1532</v>
      </c>
      <c r="R398" s="325" t="s">
        <v>4012</v>
      </c>
    </row>
    <row r="399" spans="2:18">
      <c r="B399" s="182" t="str">
        <f t="shared" si="22"/>
        <v>wpuszczany bez tłumienia clip 110°</v>
      </c>
      <c r="M399" s="175" t="s">
        <v>588</v>
      </c>
      <c r="N399" s="133" t="s">
        <v>703</v>
      </c>
      <c r="O399" s="133" t="s">
        <v>704</v>
      </c>
      <c r="P399" s="133" t="s">
        <v>841</v>
      </c>
      <c r="Q399" s="133" t="s">
        <v>1533</v>
      </c>
      <c r="R399" s="325" t="s">
        <v>4013</v>
      </c>
    </row>
    <row r="400" spans="2:18">
      <c r="B400" s="182" t="str">
        <f t="shared" si="22"/>
        <v>nakładany TIP-ON clip 110°</v>
      </c>
      <c r="M400" s="175" t="s">
        <v>589</v>
      </c>
      <c r="N400" s="133" t="s">
        <v>589</v>
      </c>
      <c r="O400" s="133" t="s">
        <v>705</v>
      </c>
      <c r="P400" s="133" t="s">
        <v>829</v>
      </c>
      <c r="Q400" s="133" t="s">
        <v>1534</v>
      </c>
      <c r="R400" s="325" t="s">
        <v>4014</v>
      </c>
    </row>
    <row r="401" spans="2:18">
      <c r="B401" s="182" t="str">
        <f t="shared" si="22"/>
        <v>półnakładany TIP-ON clip 110°</v>
      </c>
      <c r="M401" s="175" t="s">
        <v>590</v>
      </c>
      <c r="N401" s="133" t="s">
        <v>590</v>
      </c>
      <c r="O401" s="133" t="s">
        <v>706</v>
      </c>
      <c r="P401" s="133" t="s">
        <v>1275</v>
      </c>
      <c r="Q401" s="133" t="s">
        <v>1535</v>
      </c>
      <c r="R401" s="325" t="s">
        <v>4015</v>
      </c>
    </row>
    <row r="402" spans="2:18">
      <c r="B402" s="182" t="str">
        <f t="shared" si="22"/>
        <v>wpuszczany TIP-ON clip 110°</v>
      </c>
      <c r="M402" s="175" t="s">
        <v>591</v>
      </c>
      <c r="N402" s="133" t="s">
        <v>591</v>
      </c>
      <c r="O402" s="133" t="s">
        <v>707</v>
      </c>
      <c r="P402" s="133" t="s">
        <v>1276</v>
      </c>
      <c r="Q402" s="133" t="s">
        <v>1536</v>
      </c>
      <c r="R402" s="325" t="s">
        <v>4016</v>
      </c>
    </row>
    <row r="403" spans="2:18">
      <c r="B403" s="182" t="str">
        <f t="shared" si="22"/>
        <v>Nakładany Clip</v>
      </c>
      <c r="M403" s="175" t="s">
        <v>646</v>
      </c>
      <c r="N403" s="133" t="s">
        <v>64</v>
      </c>
      <c r="O403" s="133" t="s">
        <v>216</v>
      </c>
      <c r="P403" s="133" t="s">
        <v>282</v>
      </c>
      <c r="Q403" s="133" t="s">
        <v>1448</v>
      </c>
      <c r="R403" s="325" t="s">
        <v>3867</v>
      </c>
    </row>
    <row r="404" spans="2:18">
      <c r="B404" s="182" t="str">
        <f t="shared" si="22"/>
        <v>Półnakładany Clip</v>
      </c>
      <c r="M404" s="175" t="s">
        <v>647</v>
      </c>
      <c r="N404" s="133" t="s">
        <v>65</v>
      </c>
      <c r="O404" s="133" t="s">
        <v>217</v>
      </c>
      <c r="P404" s="133" t="s">
        <v>1242</v>
      </c>
      <c r="Q404" s="133" t="s">
        <v>1449</v>
      </c>
      <c r="R404" s="325" t="s">
        <v>3868</v>
      </c>
    </row>
    <row r="405" spans="2:18">
      <c r="B405" s="182" t="str">
        <f t="shared" si="22"/>
        <v>Wpuszczany Clip</v>
      </c>
      <c r="M405" s="175" t="s">
        <v>66</v>
      </c>
      <c r="N405" s="133" t="s">
        <v>66</v>
      </c>
      <c r="O405" s="133" t="s">
        <v>218</v>
      </c>
      <c r="P405" s="133" t="s">
        <v>1243</v>
      </c>
      <c r="Q405" s="133" t="s">
        <v>1450</v>
      </c>
      <c r="R405" s="325" t="s">
        <v>3869</v>
      </c>
    </row>
    <row r="406" spans="2:18">
      <c r="B406" s="182" t="str">
        <f t="shared" si="22"/>
        <v>nakładany z tłumieniem clip 95°</v>
      </c>
      <c r="M406" s="175" t="s">
        <v>592</v>
      </c>
      <c r="N406" s="133" t="s">
        <v>708</v>
      </c>
      <c r="O406" s="133" t="s">
        <v>709</v>
      </c>
      <c r="P406" s="133" t="s">
        <v>830</v>
      </c>
      <c r="Q406" s="133" t="s">
        <v>1537</v>
      </c>
      <c r="R406" s="325" t="s">
        <v>4017</v>
      </c>
    </row>
    <row r="407" spans="2:18">
      <c r="B407" s="182" t="str">
        <f t="shared" si="22"/>
        <v>półnakładany z tłumieniem clip 95°</v>
      </c>
      <c r="M407" s="175" t="s">
        <v>593</v>
      </c>
      <c r="N407" s="133" t="s">
        <v>710</v>
      </c>
      <c r="O407" s="133" t="s">
        <v>711</v>
      </c>
      <c r="P407" s="133" t="s">
        <v>1277</v>
      </c>
      <c r="Q407" s="133" t="s">
        <v>1538</v>
      </c>
      <c r="R407" s="325" t="s">
        <v>4018</v>
      </c>
    </row>
    <row r="408" spans="2:18">
      <c r="B408" s="182" t="str">
        <f t="shared" si="22"/>
        <v>wpuszczany z tłumieniem clip 95°</v>
      </c>
      <c r="M408" s="175" t="s">
        <v>594</v>
      </c>
      <c r="N408" s="133" t="s">
        <v>712</v>
      </c>
      <c r="O408" s="133" t="s">
        <v>713</v>
      </c>
      <c r="P408" s="133" t="s">
        <v>1278</v>
      </c>
      <c r="Q408" s="133" t="s">
        <v>1539</v>
      </c>
      <c r="R408" s="325" t="s">
        <v>4019</v>
      </c>
    </row>
    <row r="409" spans="2:18">
      <c r="B409" s="182" t="str">
        <f t="shared" si="22"/>
        <v>nakładany TIP-ON clip 95°</v>
      </c>
      <c r="M409" s="175" t="s">
        <v>595</v>
      </c>
      <c r="N409" s="133" t="s">
        <v>595</v>
      </c>
      <c r="O409" s="133" t="s">
        <v>714</v>
      </c>
      <c r="P409" s="133" t="s">
        <v>831</v>
      </c>
      <c r="Q409" s="133" t="s">
        <v>1540</v>
      </c>
      <c r="R409" s="325" t="s">
        <v>4020</v>
      </c>
    </row>
    <row r="410" spans="2:18">
      <c r="B410" s="182" t="str">
        <f t="shared" si="22"/>
        <v>nakładany TIP-ON clip 120°</v>
      </c>
      <c r="M410" s="175" t="s">
        <v>596</v>
      </c>
      <c r="N410" s="133" t="s">
        <v>596</v>
      </c>
      <c r="O410" s="133" t="s">
        <v>715</v>
      </c>
      <c r="P410" s="133" t="s">
        <v>832</v>
      </c>
      <c r="Q410" s="133" t="s">
        <v>1541</v>
      </c>
      <c r="R410" s="325" t="s">
        <v>4021</v>
      </c>
    </row>
    <row r="411" spans="2:18">
      <c r="B411" s="182" t="str">
        <f t="shared" si="22"/>
        <v xml:space="preserve">Clip na wkręt euro </v>
      </c>
      <c r="M411" s="175" t="s">
        <v>83</v>
      </c>
      <c r="N411" s="133" t="s">
        <v>175</v>
      </c>
      <c r="O411" s="133" t="s">
        <v>238</v>
      </c>
      <c r="P411" s="133" t="s">
        <v>300</v>
      </c>
      <c r="Q411" s="133" t="s">
        <v>1470</v>
      </c>
      <c r="R411" s="325" t="s">
        <v>4022</v>
      </c>
    </row>
    <row r="412" spans="2:18">
      <c r="B412" s="182" t="str">
        <f t="shared" si="22"/>
        <v>Clip na wkręt</v>
      </c>
      <c r="M412" s="175" t="s">
        <v>82</v>
      </c>
      <c r="N412" s="133" t="s">
        <v>176</v>
      </c>
      <c r="O412" s="133" t="s">
        <v>239</v>
      </c>
      <c r="P412" s="133" t="s">
        <v>301</v>
      </c>
      <c r="Q412" s="133" t="s">
        <v>1471</v>
      </c>
      <c r="R412" s="325" t="s">
        <v>3891</v>
      </c>
    </row>
    <row r="413" spans="2:18">
      <c r="B413" s="182" t="str">
        <f t="shared" si="22"/>
        <v>Podwyższenie o 6mm</v>
      </c>
      <c r="M413" s="175" t="s">
        <v>84</v>
      </c>
      <c r="N413" s="133" t="s">
        <v>177</v>
      </c>
      <c r="O413" s="133" t="s">
        <v>1303</v>
      </c>
      <c r="P413" s="133" t="s">
        <v>302</v>
      </c>
      <c r="Q413" s="133" t="s">
        <v>906</v>
      </c>
      <c r="R413" s="325" t="s">
        <v>4023</v>
      </c>
    </row>
    <row r="414" spans="2:18">
      <c r="B414" s="182" t="str">
        <f t="shared" si="22"/>
        <v>nakładany nasuwany</v>
      </c>
      <c r="M414" s="133" t="s">
        <v>635</v>
      </c>
      <c r="N414" s="133" t="s">
        <v>716</v>
      </c>
      <c r="O414" s="133" t="s">
        <v>717</v>
      </c>
      <c r="P414" s="133" t="s">
        <v>1279</v>
      </c>
      <c r="Q414" s="133" t="s">
        <v>1542</v>
      </c>
      <c r="R414" s="325" t="s">
        <v>4024</v>
      </c>
    </row>
    <row r="415" spans="2:18">
      <c r="B415" s="182" t="str">
        <f t="shared" si="22"/>
        <v>półnakładany nasuwany</v>
      </c>
      <c r="M415" s="133" t="s">
        <v>636</v>
      </c>
      <c r="N415" s="133" t="s">
        <v>718</v>
      </c>
      <c r="O415" s="133" t="s">
        <v>719</v>
      </c>
      <c r="P415" s="133" t="s">
        <v>1280</v>
      </c>
      <c r="Q415" s="133" t="s">
        <v>1543</v>
      </c>
      <c r="R415" s="325" t="s">
        <v>4025</v>
      </c>
    </row>
    <row r="416" spans="2:18">
      <c r="B416" s="182" t="str">
        <f t="shared" si="22"/>
        <v>wpuszczany nasuwany</v>
      </c>
      <c r="M416" s="133" t="s">
        <v>637</v>
      </c>
      <c r="N416" s="133" t="s">
        <v>720</v>
      </c>
      <c r="O416" s="133" t="s">
        <v>721</v>
      </c>
      <c r="P416" s="133" t="s">
        <v>1281</v>
      </c>
      <c r="Q416" s="133" t="s">
        <v>1544</v>
      </c>
      <c r="R416" s="325" t="s">
        <v>4026</v>
      </c>
    </row>
    <row r="417" spans="2:18">
      <c r="B417" s="182" t="str">
        <f t="shared" si="22"/>
        <v>STRONG 30N biały Automatyczny</v>
      </c>
      <c r="M417" s="133" t="s">
        <v>600</v>
      </c>
      <c r="N417" s="133" t="s">
        <v>722</v>
      </c>
      <c r="O417" s="133" t="s">
        <v>723</v>
      </c>
      <c r="P417" s="133" t="s">
        <v>724</v>
      </c>
      <c r="Q417" s="133" t="s">
        <v>919</v>
      </c>
      <c r="R417" t="s">
        <v>4027</v>
      </c>
    </row>
    <row r="418" spans="2:18">
      <c r="B418" s="182" t="str">
        <f t="shared" si="22"/>
        <v>STRONG 60N biały Automatyczny</v>
      </c>
      <c r="M418" s="133" t="s">
        <v>601</v>
      </c>
      <c r="N418" s="133" t="s">
        <v>725</v>
      </c>
      <c r="O418" s="133" t="s">
        <v>726</v>
      </c>
      <c r="P418" s="133" t="s">
        <v>727</v>
      </c>
      <c r="Q418" s="133" t="s">
        <v>920</v>
      </c>
      <c r="R418" t="s">
        <v>4028</v>
      </c>
    </row>
    <row r="419" spans="2:18">
      <c r="B419" s="182" t="str">
        <f t="shared" si="22"/>
        <v>STRONG 80N biały Automatyczny</v>
      </c>
      <c r="M419" s="133" t="s">
        <v>602</v>
      </c>
      <c r="N419" s="133" t="s">
        <v>728</v>
      </c>
      <c r="O419" s="133" t="s">
        <v>729</v>
      </c>
      <c r="P419" s="133" t="s">
        <v>730</v>
      </c>
      <c r="Q419" s="133" t="s">
        <v>921</v>
      </c>
      <c r="R419" t="s">
        <v>4029</v>
      </c>
    </row>
    <row r="420" spans="2:18">
      <c r="B420" s="182" t="str">
        <f t="shared" si="22"/>
        <v>STRONG 100N biały Automatyczny</v>
      </c>
      <c r="M420" s="133" t="s">
        <v>603</v>
      </c>
      <c r="N420" s="133" t="s">
        <v>731</v>
      </c>
      <c r="O420" s="133" t="s">
        <v>732</v>
      </c>
      <c r="P420" s="133" t="s">
        <v>733</v>
      </c>
      <c r="Q420" s="133" t="s">
        <v>922</v>
      </c>
      <c r="R420" t="s">
        <v>4030</v>
      </c>
    </row>
    <row r="421" spans="2:18">
      <c r="B421" s="182" t="str">
        <f t="shared" si="22"/>
        <v>STRONG 120N biały Automatyczny</v>
      </c>
      <c r="M421" s="133" t="s">
        <v>604</v>
      </c>
      <c r="N421" s="133" t="s">
        <v>734</v>
      </c>
      <c r="O421" s="133" t="s">
        <v>735</v>
      </c>
      <c r="P421" s="133" t="s">
        <v>736</v>
      </c>
      <c r="Q421" s="133" t="s">
        <v>923</v>
      </c>
      <c r="R421" t="s">
        <v>4031</v>
      </c>
    </row>
    <row r="422" spans="2:18">
      <c r="B422" s="182" t="str">
        <f t="shared" si="22"/>
        <v>STRONG 60N biały do pozycjonowania</v>
      </c>
      <c r="M422" s="133" t="s">
        <v>605</v>
      </c>
      <c r="N422" s="133" t="s">
        <v>737</v>
      </c>
      <c r="O422" s="133" t="s">
        <v>738</v>
      </c>
      <c r="P422" s="133" t="s">
        <v>739</v>
      </c>
      <c r="Q422" s="133" t="s">
        <v>1545</v>
      </c>
      <c r="R422" t="s">
        <v>4032</v>
      </c>
    </row>
    <row r="423" spans="2:18">
      <c r="B423" s="182" t="str">
        <f t="shared" si="22"/>
        <v>STRONG 80N biały do pozycjonowania</v>
      </c>
      <c r="M423" s="133" t="s">
        <v>606</v>
      </c>
      <c r="N423" s="133" t="s">
        <v>740</v>
      </c>
      <c r="O423" s="133" t="s">
        <v>741</v>
      </c>
      <c r="P423" s="133" t="s">
        <v>742</v>
      </c>
      <c r="Q423" s="133" t="s">
        <v>1546</v>
      </c>
      <c r="R423" t="s">
        <v>4033</v>
      </c>
    </row>
    <row r="424" spans="2:18">
      <c r="B424" s="182" t="str">
        <f t="shared" si="22"/>
        <v>STRONG 100N biały do pozycjonowania</v>
      </c>
      <c r="M424" s="133" t="s">
        <v>607</v>
      </c>
      <c r="N424" s="133" t="s">
        <v>743</v>
      </c>
      <c r="O424" s="133" t="s">
        <v>744</v>
      </c>
      <c r="P424" s="133" t="s">
        <v>745</v>
      </c>
      <c r="Q424" s="133" t="s">
        <v>1547</v>
      </c>
      <c r="R424" t="s">
        <v>4034</v>
      </c>
    </row>
    <row r="425" spans="2:18">
      <c r="B425" s="182" t="str">
        <f t="shared" si="22"/>
        <v>STRONG 120N biały do pozycjonowania</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szary Automatyczny</v>
      </c>
      <c r="M426" s="133" t="s">
        <v>609</v>
      </c>
      <c r="N426" s="133" t="s">
        <v>609</v>
      </c>
      <c r="O426" s="133" t="s">
        <v>749</v>
      </c>
      <c r="P426" s="133" t="s">
        <v>750</v>
      </c>
      <c r="Q426" s="133" t="s">
        <v>1388</v>
      </c>
      <c r="R426" s="325" t="s">
        <v>4036</v>
      </c>
    </row>
    <row r="427" spans="2:18">
      <c r="B427" s="182" t="str">
        <f t="shared" si="23"/>
        <v>STRONG 60N szary Automatyczny</v>
      </c>
      <c r="M427" s="133" t="s">
        <v>610</v>
      </c>
      <c r="N427" s="133" t="s">
        <v>610</v>
      </c>
      <c r="O427" s="133" t="s">
        <v>751</v>
      </c>
      <c r="P427" s="133" t="s">
        <v>752</v>
      </c>
      <c r="Q427" s="133" t="s">
        <v>924</v>
      </c>
      <c r="R427" s="325" t="s">
        <v>4037</v>
      </c>
    </row>
    <row r="428" spans="2:18">
      <c r="B428" s="182" t="str">
        <f t="shared" si="23"/>
        <v>STRONG 80N szary Automatyczny</v>
      </c>
      <c r="M428" s="133" t="s">
        <v>611</v>
      </c>
      <c r="N428" s="133" t="s">
        <v>611</v>
      </c>
      <c r="O428" s="133" t="s">
        <v>753</v>
      </c>
      <c r="P428" s="133" t="s">
        <v>754</v>
      </c>
      <c r="Q428" s="133" t="s">
        <v>1389</v>
      </c>
      <c r="R428" s="325" t="s">
        <v>4038</v>
      </c>
    </row>
    <row r="429" spans="2:18">
      <c r="B429" s="182" t="str">
        <f t="shared" si="23"/>
        <v>STRONG 100N szary Automatyczny</v>
      </c>
      <c r="M429" s="133" t="s">
        <v>612</v>
      </c>
      <c r="N429" s="133" t="s">
        <v>612</v>
      </c>
      <c r="O429" s="133" t="s">
        <v>755</v>
      </c>
      <c r="P429" s="133" t="s">
        <v>756</v>
      </c>
      <c r="Q429" s="133" t="s">
        <v>925</v>
      </c>
      <c r="R429" s="325" t="s">
        <v>4039</v>
      </c>
    </row>
    <row r="430" spans="2:18">
      <c r="B430" s="182" t="str">
        <f t="shared" si="23"/>
        <v>STRONG 120N szary Automatyczny</v>
      </c>
      <c r="M430" s="133" t="s">
        <v>613</v>
      </c>
      <c r="N430" s="133" t="s">
        <v>613</v>
      </c>
      <c r="O430" s="133" t="s">
        <v>757</v>
      </c>
      <c r="P430" s="133" t="s">
        <v>758</v>
      </c>
      <c r="Q430" s="133" t="s">
        <v>926</v>
      </c>
      <c r="R430" s="325" t="s">
        <v>4040</v>
      </c>
    </row>
    <row r="431" spans="2:18">
      <c r="B431" s="182" t="str">
        <f t="shared" si="23"/>
        <v>STRONG 60N szary do pozycjonowania</v>
      </c>
      <c r="M431" s="133" t="s">
        <v>614</v>
      </c>
      <c r="N431" s="133" t="s">
        <v>614</v>
      </c>
      <c r="O431" s="133" t="s">
        <v>759</v>
      </c>
      <c r="P431" s="133" t="s">
        <v>760</v>
      </c>
      <c r="Q431" s="133" t="s">
        <v>1549</v>
      </c>
      <c r="R431" s="325" t="s">
        <v>4041</v>
      </c>
    </row>
    <row r="432" spans="2:18">
      <c r="B432" s="182" t="str">
        <f t="shared" si="23"/>
        <v>STRONG 80N szary do pozycjonowania</v>
      </c>
      <c r="M432" s="133" t="s">
        <v>615</v>
      </c>
      <c r="N432" s="133" t="s">
        <v>615</v>
      </c>
      <c r="O432" s="133" t="s">
        <v>761</v>
      </c>
      <c r="P432" s="133" t="s">
        <v>762</v>
      </c>
      <c r="Q432" s="133" t="s">
        <v>1550</v>
      </c>
      <c r="R432" s="325" t="s">
        <v>4042</v>
      </c>
    </row>
    <row r="433" spans="2:18">
      <c r="B433" s="182" t="str">
        <f t="shared" si="23"/>
        <v>STRONG 100N szary do pozycjonowania</v>
      </c>
      <c r="M433" s="133" t="s">
        <v>616</v>
      </c>
      <c r="N433" s="133" t="s">
        <v>616</v>
      </c>
      <c r="O433" s="133" t="s">
        <v>763</v>
      </c>
      <c r="P433" s="133" t="s">
        <v>764</v>
      </c>
      <c r="Q433" s="133" t="s">
        <v>1551</v>
      </c>
      <c r="R433" s="325" t="s">
        <v>4043</v>
      </c>
    </row>
    <row r="434" spans="2:18">
      <c r="B434" s="182" t="str">
        <f t="shared" si="23"/>
        <v>STRONG 120N szary do pozycjonowania</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dolny biały</v>
      </c>
      <c r="M456" s="133" t="s">
        <v>629</v>
      </c>
      <c r="N456" s="133" t="s">
        <v>767</v>
      </c>
      <c r="O456" s="133" t="s">
        <v>768</v>
      </c>
      <c r="P456" s="133" t="s">
        <v>769</v>
      </c>
      <c r="Q456" s="133" t="s">
        <v>1552</v>
      </c>
      <c r="R456" s="325" t="s">
        <v>4245</v>
      </c>
    </row>
    <row r="457" spans="2:18">
      <c r="B457" s="182" t="str">
        <f t="shared" si="23"/>
        <v>STRONG dolny szary</v>
      </c>
      <c r="M457" s="133" t="s">
        <v>3289</v>
      </c>
      <c r="N457" s="133" t="s">
        <v>770</v>
      </c>
      <c r="O457" s="133" t="s">
        <v>771</v>
      </c>
      <c r="P457" s="133" t="s">
        <v>772</v>
      </c>
      <c r="Q457" s="133" t="s">
        <v>1553</v>
      </c>
      <c r="R457" s="325" t="s">
        <v>4246</v>
      </c>
    </row>
    <row r="458" spans="2:18">
      <c r="B458" s="182" t="str">
        <f t="shared" si="23"/>
        <v xml:space="preserve">HUWIL DUO (90°) </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KRABY 164 dolny</v>
      </c>
      <c r="M460" s="133" t="s">
        <v>632</v>
      </c>
      <c r="N460" s="133" t="s">
        <v>773</v>
      </c>
      <c r="O460" s="133" t="s">
        <v>774</v>
      </c>
      <c r="P460" s="133" t="s">
        <v>775</v>
      </c>
      <c r="Q460" s="133" t="s">
        <v>1391</v>
      </c>
      <c r="R460" s="325" t="s">
        <v>4247</v>
      </c>
    </row>
    <row r="461" spans="2:18">
      <c r="B461" s="182" t="str">
        <f t="shared" si="23"/>
        <v>KRABY 244 dolny</v>
      </c>
      <c r="M461" s="133" t="s">
        <v>633</v>
      </c>
      <c r="N461" s="133" t="s">
        <v>776</v>
      </c>
      <c r="O461" s="133" t="s">
        <v>777</v>
      </c>
      <c r="P461" s="133" t="s">
        <v>778</v>
      </c>
      <c r="Q461" s="133" t="s">
        <v>1392</v>
      </c>
      <c r="R461" s="325" t="s">
        <v>4248</v>
      </c>
    </row>
    <row r="462" spans="2:18">
      <c r="B462" s="182" t="str">
        <f t="shared" si="23"/>
        <v>KRABY 355 dolny</v>
      </c>
      <c r="M462" s="133" t="s">
        <v>634</v>
      </c>
      <c r="N462" s="133" t="s">
        <v>779</v>
      </c>
      <c r="O462" s="133" t="s">
        <v>780</v>
      </c>
      <c r="P462" s="133" t="s">
        <v>781</v>
      </c>
      <c r="Q462" s="133" t="s">
        <v>1393</v>
      </c>
      <c r="R462" s="325" t="s">
        <v>4249</v>
      </c>
    </row>
    <row r="463" spans="2:18">
      <c r="B463" s="182" t="str">
        <f t="shared" si="23"/>
        <v>STRONG 30N biały Automatyczny</v>
      </c>
      <c r="M463" s="133" t="s">
        <v>600</v>
      </c>
      <c r="N463" s="133" t="s">
        <v>722</v>
      </c>
      <c r="O463" s="133" t="s">
        <v>723</v>
      </c>
      <c r="P463" s="133" t="s">
        <v>724</v>
      </c>
      <c r="Q463" s="133" t="s">
        <v>919</v>
      </c>
      <c r="R463" s="325" t="s">
        <v>4027</v>
      </c>
    </row>
    <row r="464" spans="2:18">
      <c r="B464" s="182" t="str">
        <f t="shared" si="23"/>
        <v>STRONG 60N biały Automatyczny</v>
      </c>
      <c r="M464" s="133" t="s">
        <v>601</v>
      </c>
      <c r="N464" s="133" t="s">
        <v>725</v>
      </c>
      <c r="O464" s="133" t="s">
        <v>726</v>
      </c>
      <c r="P464" s="133" t="s">
        <v>727</v>
      </c>
      <c r="Q464" s="133" t="s">
        <v>920</v>
      </c>
      <c r="R464" s="325" t="s">
        <v>4028</v>
      </c>
    </row>
    <row r="465" spans="2:18">
      <c r="B465" s="182" t="str">
        <f t="shared" si="23"/>
        <v>STRONG 80N biały Automatyczny</v>
      </c>
      <c r="M465" s="133" t="s">
        <v>602</v>
      </c>
      <c r="N465" s="133" t="s">
        <v>728</v>
      </c>
      <c r="O465" s="133" t="s">
        <v>729</v>
      </c>
      <c r="P465" s="133" t="s">
        <v>730</v>
      </c>
      <c r="Q465" s="133" t="s">
        <v>921</v>
      </c>
      <c r="R465" s="325" t="s">
        <v>4029</v>
      </c>
    </row>
    <row r="466" spans="2:18">
      <c r="B466" s="182" t="str">
        <f t="shared" si="23"/>
        <v>STRONG 100N biały Automatyczny</v>
      </c>
      <c r="M466" s="133" t="s">
        <v>603</v>
      </c>
      <c r="N466" s="133" t="s">
        <v>731</v>
      </c>
      <c r="O466" s="133" t="s">
        <v>732</v>
      </c>
      <c r="P466" s="133" t="s">
        <v>733</v>
      </c>
      <c r="Q466" s="133" t="s">
        <v>922</v>
      </c>
      <c r="R466" s="325" t="s">
        <v>4030</v>
      </c>
    </row>
    <row r="467" spans="2:18">
      <c r="B467" s="182" t="str">
        <f t="shared" si="23"/>
        <v>STRONG 120N biały Automatyczny</v>
      </c>
      <c r="M467" s="133" t="s">
        <v>604</v>
      </c>
      <c r="N467" s="133" t="s">
        <v>734</v>
      </c>
      <c r="O467" s="133" t="s">
        <v>735</v>
      </c>
      <c r="P467" s="133" t="s">
        <v>736</v>
      </c>
      <c r="Q467" s="133" t="s">
        <v>923</v>
      </c>
      <c r="R467" s="325" t="s">
        <v>4031</v>
      </c>
    </row>
    <row r="468" spans="2:18">
      <c r="B468" s="182" t="str">
        <f t="shared" si="23"/>
        <v>STRONG 60N biały do pozycjonowania</v>
      </c>
      <c r="M468" s="133" t="s">
        <v>605</v>
      </c>
      <c r="N468" s="133" t="s">
        <v>737</v>
      </c>
      <c r="O468" s="133" t="s">
        <v>738</v>
      </c>
      <c r="P468" s="133" t="s">
        <v>739</v>
      </c>
      <c r="Q468" s="133" t="s">
        <v>1545</v>
      </c>
      <c r="R468" s="325" t="s">
        <v>4032</v>
      </c>
    </row>
    <row r="469" spans="2:18">
      <c r="B469" s="182" t="str">
        <f t="shared" si="23"/>
        <v>STRONG 80N biały do pozycjonowania</v>
      </c>
      <c r="M469" s="133" t="s">
        <v>606</v>
      </c>
      <c r="N469" s="133" t="s">
        <v>740</v>
      </c>
      <c r="O469" s="133" t="s">
        <v>741</v>
      </c>
      <c r="P469" s="133" t="s">
        <v>742</v>
      </c>
      <c r="Q469" s="133" t="s">
        <v>1546</v>
      </c>
      <c r="R469" s="325" t="s">
        <v>4033</v>
      </c>
    </row>
    <row r="470" spans="2:18">
      <c r="B470" s="182" t="str">
        <f t="shared" si="23"/>
        <v>STRONG 100N biały do pozycjonowania</v>
      </c>
      <c r="M470" s="133" t="s">
        <v>607</v>
      </c>
      <c r="N470" s="133" t="s">
        <v>743</v>
      </c>
      <c r="O470" s="133" t="s">
        <v>744</v>
      </c>
      <c r="P470" s="133" t="s">
        <v>745</v>
      </c>
      <c r="Q470" s="133" t="s">
        <v>1547</v>
      </c>
      <c r="R470" s="325" t="s">
        <v>4034</v>
      </c>
    </row>
    <row r="471" spans="2:18">
      <c r="B471" s="182" t="str">
        <f t="shared" si="23"/>
        <v>STRONG 120N biały do pozycjonowania</v>
      </c>
      <c r="M471" s="133" t="s">
        <v>608</v>
      </c>
      <c r="N471" s="133" t="s">
        <v>746</v>
      </c>
      <c r="O471" s="133" t="s">
        <v>747</v>
      </c>
      <c r="P471" s="133" t="s">
        <v>748</v>
      </c>
      <c r="Q471" s="133" t="s">
        <v>1548</v>
      </c>
      <c r="R471" s="325" t="s">
        <v>4035</v>
      </c>
    </row>
    <row r="472" spans="2:18">
      <c r="B472" s="182" t="str">
        <f t="shared" si="23"/>
        <v>STRONG 30N szary Automatyczny</v>
      </c>
      <c r="M472" s="133" t="s">
        <v>609</v>
      </c>
      <c r="N472" s="133" t="s">
        <v>609</v>
      </c>
      <c r="O472" s="133" t="s">
        <v>749</v>
      </c>
      <c r="P472" s="133" t="s">
        <v>750</v>
      </c>
      <c r="Q472" s="133" t="s">
        <v>1388</v>
      </c>
      <c r="R472" s="325" t="s">
        <v>4036</v>
      </c>
    </row>
    <row r="473" spans="2:18">
      <c r="B473" s="182" t="str">
        <f t="shared" si="23"/>
        <v>STRONG 60N szary Automatyczny</v>
      </c>
      <c r="M473" s="133" t="s">
        <v>610</v>
      </c>
      <c r="N473" s="133" t="s">
        <v>610</v>
      </c>
      <c r="O473" s="133" t="s">
        <v>751</v>
      </c>
      <c r="P473" s="133" t="s">
        <v>752</v>
      </c>
      <c r="Q473" s="133" t="s">
        <v>924</v>
      </c>
      <c r="R473" s="325" t="s">
        <v>4037</v>
      </c>
    </row>
    <row r="474" spans="2:18">
      <c r="B474" s="182" t="str">
        <f t="shared" si="23"/>
        <v>STRONG 80N szary Automatyczny</v>
      </c>
      <c r="M474" s="133" t="s">
        <v>611</v>
      </c>
      <c r="N474" s="133" t="s">
        <v>611</v>
      </c>
      <c r="O474" s="133" t="s">
        <v>753</v>
      </c>
      <c r="P474" s="133" t="s">
        <v>754</v>
      </c>
      <c r="Q474" s="133" t="s">
        <v>1389</v>
      </c>
      <c r="R474" s="325" t="s">
        <v>4038</v>
      </c>
    </row>
    <row r="475" spans="2:18">
      <c r="B475" s="182" t="str">
        <f t="shared" si="23"/>
        <v>STRONG 100N szary Automatyczny</v>
      </c>
      <c r="M475" s="133" t="s">
        <v>612</v>
      </c>
      <c r="N475" s="133" t="s">
        <v>612</v>
      </c>
      <c r="O475" s="133" t="s">
        <v>755</v>
      </c>
      <c r="P475" s="133" t="s">
        <v>756</v>
      </c>
      <c r="Q475" s="133" t="s">
        <v>925</v>
      </c>
      <c r="R475" s="325" t="s">
        <v>4039</v>
      </c>
    </row>
    <row r="476" spans="2:18">
      <c r="B476" s="182" t="str">
        <f t="shared" si="23"/>
        <v>STRONG 120N szary Automatyczny</v>
      </c>
      <c r="M476" s="133" t="s">
        <v>613</v>
      </c>
      <c r="N476" s="133" t="s">
        <v>613</v>
      </c>
      <c r="O476" s="133" t="s">
        <v>757</v>
      </c>
      <c r="P476" s="133" t="s">
        <v>758</v>
      </c>
      <c r="Q476" s="133" t="s">
        <v>926</v>
      </c>
      <c r="R476" s="325" t="s">
        <v>4040</v>
      </c>
    </row>
    <row r="477" spans="2:18">
      <c r="B477" s="182" t="str">
        <f t="shared" si="23"/>
        <v>STRONG 60N szary do pozycjonowania</v>
      </c>
      <c r="M477" s="133" t="s">
        <v>614</v>
      </c>
      <c r="N477" s="133" t="s">
        <v>614</v>
      </c>
      <c r="O477" s="133" t="s">
        <v>759</v>
      </c>
      <c r="P477" s="133" t="s">
        <v>760</v>
      </c>
      <c r="Q477" s="133" t="s">
        <v>1549</v>
      </c>
      <c r="R477" s="325" t="s">
        <v>4041</v>
      </c>
    </row>
    <row r="478" spans="2:18">
      <c r="B478" s="182" t="str">
        <f t="shared" si="23"/>
        <v>STRONG 80N szary do pozycjonowania</v>
      </c>
      <c r="M478" s="133" t="s">
        <v>615</v>
      </c>
      <c r="N478" s="133" t="s">
        <v>615</v>
      </c>
      <c r="O478" s="133" t="s">
        <v>761</v>
      </c>
      <c r="P478" s="133" t="s">
        <v>762</v>
      </c>
      <c r="Q478" s="133" t="s">
        <v>1550</v>
      </c>
      <c r="R478" s="325" t="s">
        <v>4042</v>
      </c>
    </row>
    <row r="479" spans="2:18">
      <c r="B479" s="182" t="str">
        <f t="shared" si="23"/>
        <v>STRONG 100N szary do pozycjonowania</v>
      </c>
      <c r="M479" s="133" t="s">
        <v>616</v>
      </c>
      <c r="N479" s="133" t="s">
        <v>616</v>
      </c>
      <c r="O479" s="133" t="s">
        <v>763</v>
      </c>
      <c r="P479" s="133" t="s">
        <v>764</v>
      </c>
      <c r="Q479" s="133" t="s">
        <v>1551</v>
      </c>
      <c r="R479" s="325" t="s">
        <v>4043</v>
      </c>
    </row>
    <row r="480" spans="2:18">
      <c r="B480" s="182" t="str">
        <f t="shared" si="23"/>
        <v>STRONG 120N szary do pozycjonowania</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dolny biały</v>
      </c>
      <c r="M501" s="133" t="s">
        <v>629</v>
      </c>
      <c r="N501" s="133" t="s">
        <v>767</v>
      </c>
      <c r="O501" s="133" t="s">
        <v>768</v>
      </c>
      <c r="P501" s="133" t="s">
        <v>769</v>
      </c>
      <c r="Q501" s="133" t="s">
        <v>1552</v>
      </c>
      <c r="R501" s="325" t="s">
        <v>4245</v>
      </c>
    </row>
    <row r="502" spans="2:18">
      <c r="B502" s="182" t="str">
        <f t="shared" si="24"/>
        <v>STRONG dolny szary</v>
      </c>
      <c r="M502" s="133" t="s">
        <v>630</v>
      </c>
      <c r="N502" s="133" t="s">
        <v>770</v>
      </c>
      <c r="O502" s="133" t="s">
        <v>771</v>
      </c>
      <c r="P502" s="133" t="s">
        <v>772</v>
      </c>
      <c r="Q502" s="133" t="s">
        <v>1553</v>
      </c>
      <c r="R502" s="325" t="s">
        <v>4250</v>
      </c>
    </row>
    <row r="503" spans="2:18">
      <c r="B503" s="182" t="str">
        <f t="shared" si="24"/>
        <v xml:space="preserve">HUWIL DUO (90°) </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KRABY 164 dolny</v>
      </c>
      <c r="M505" s="133" t="s">
        <v>632</v>
      </c>
      <c r="N505" s="133" t="s">
        <v>773</v>
      </c>
      <c r="O505" s="133" t="s">
        <v>774</v>
      </c>
      <c r="P505" s="133" t="s">
        <v>775</v>
      </c>
      <c r="Q505" s="133" t="s">
        <v>1391</v>
      </c>
      <c r="R505" s="325" t="s">
        <v>4247</v>
      </c>
    </row>
    <row r="506" spans="2:18">
      <c r="B506" s="182" t="str">
        <f t="shared" si="24"/>
        <v>KRABY 244 dolny</v>
      </c>
      <c r="M506" s="133" t="s">
        <v>633</v>
      </c>
      <c r="N506" s="133" t="s">
        <v>776</v>
      </c>
      <c r="O506" s="133" t="s">
        <v>777</v>
      </c>
      <c r="P506" s="133" t="s">
        <v>778</v>
      </c>
      <c r="Q506" s="133" t="s">
        <v>1392</v>
      </c>
      <c r="R506" s="325" t="s">
        <v>4248</v>
      </c>
    </row>
    <row r="507" spans="2:18">
      <c r="B507" s="182" t="str">
        <f t="shared" si="24"/>
        <v>KRABY 355 dolny</v>
      </c>
      <c r="M507" s="133" t="s">
        <v>634</v>
      </c>
      <c r="N507" s="133" t="s">
        <v>779</v>
      </c>
      <c r="O507" s="133" t="s">
        <v>780</v>
      </c>
      <c r="P507" s="133" t="s">
        <v>781</v>
      </c>
      <c r="Q507" s="133" t="s">
        <v>1393</v>
      </c>
      <c r="R507" s="325" t="s">
        <v>4249</v>
      </c>
    </row>
    <row r="508" spans="2:18">
      <c r="B508" s="182" t="str">
        <f t="shared" si="24"/>
        <v>nasuwany na wkręt H0</v>
      </c>
      <c r="M508" s="133" t="s">
        <v>640</v>
      </c>
      <c r="N508" s="133" t="s">
        <v>782</v>
      </c>
      <c r="O508" s="133" t="s">
        <v>783</v>
      </c>
      <c r="P508" s="133" t="s">
        <v>1282</v>
      </c>
      <c r="Q508" s="133" t="s">
        <v>1554</v>
      </c>
      <c r="R508" s="325" t="s">
        <v>4251</v>
      </c>
    </row>
    <row r="509" spans="2:18">
      <c r="B509" s="182" t="str">
        <f t="shared" si="24"/>
        <v>nasuwany EURO wkręt H0</v>
      </c>
      <c r="M509" s="133" t="s">
        <v>641</v>
      </c>
      <c r="N509" s="133" t="s">
        <v>784</v>
      </c>
      <c r="O509" s="133" t="s">
        <v>785</v>
      </c>
      <c r="P509" s="133" t="s">
        <v>1283</v>
      </c>
      <c r="Q509" s="133" t="s">
        <v>1555</v>
      </c>
      <c r="R509" s="325" t="s">
        <v>4252</v>
      </c>
    </row>
    <row r="510" spans="2:18">
      <c r="B510" s="182" t="str">
        <f t="shared" si="24"/>
        <v>nasuwany na wkręt H2</v>
      </c>
      <c r="M510" s="133" t="s">
        <v>642</v>
      </c>
      <c r="N510" s="133" t="s">
        <v>786</v>
      </c>
      <c r="O510" s="133" t="s">
        <v>787</v>
      </c>
      <c r="P510" s="133" t="s">
        <v>788</v>
      </c>
      <c r="Q510" s="133" t="s">
        <v>1556</v>
      </c>
      <c r="R510" s="325" t="s">
        <v>4253</v>
      </c>
    </row>
    <row r="511" spans="2:18">
      <c r="B511" s="182" t="str">
        <f t="shared" si="24"/>
        <v>nasuwany EURO wkręt H2</v>
      </c>
      <c r="M511" s="133" t="s">
        <v>643</v>
      </c>
      <c r="N511" s="133" t="s">
        <v>789</v>
      </c>
      <c r="O511" s="133" t="s">
        <v>790</v>
      </c>
      <c r="P511" s="133" t="s">
        <v>1284</v>
      </c>
      <c r="Q511" s="133" t="s">
        <v>1557</v>
      </c>
      <c r="R511" s="325" t="s">
        <v>4254</v>
      </c>
    </row>
    <row r="512" spans="2:18">
      <c r="B512" s="182" t="str">
        <f t="shared" si="24"/>
        <v>Clip na wkręt H2</v>
      </c>
      <c r="M512" s="133" t="s">
        <v>87</v>
      </c>
      <c r="N512" s="133" t="s">
        <v>164</v>
      </c>
      <c r="O512" s="133" t="s">
        <v>225</v>
      </c>
      <c r="P512" s="133" t="s">
        <v>288</v>
      </c>
      <c r="Q512" s="133" t="s">
        <v>1455</v>
      </c>
      <c r="R512" s="325" t="s">
        <v>4255</v>
      </c>
    </row>
    <row r="513" spans="2:18">
      <c r="B513" s="182" t="str">
        <f t="shared" si="24"/>
        <v>Clip wkręt z mimośrodem H0</v>
      </c>
      <c r="M513" s="133" t="s">
        <v>644</v>
      </c>
      <c r="N513" s="133" t="s">
        <v>791</v>
      </c>
      <c r="O513" s="133" t="s">
        <v>792</v>
      </c>
      <c r="P513" s="133" t="s">
        <v>842</v>
      </c>
      <c r="Q513" s="133" t="s">
        <v>1558</v>
      </c>
      <c r="R513" s="325" t="s">
        <v>4256</v>
      </c>
    </row>
    <row r="514" spans="2:18">
      <c r="B514" s="182" t="str">
        <f t="shared" si="24"/>
        <v>Clip na wkręt H0</v>
      </c>
      <c r="M514" s="133" t="s">
        <v>85</v>
      </c>
      <c r="N514" s="133" t="s">
        <v>180</v>
      </c>
      <c r="O514" s="133" t="s">
        <v>241</v>
      </c>
      <c r="P514" s="133" t="s">
        <v>304</v>
      </c>
      <c r="Q514" s="133" t="s">
        <v>1474</v>
      </c>
      <c r="R514" s="325" t="s">
        <v>4257</v>
      </c>
    </row>
    <row r="515" spans="2:18">
      <c r="B515" s="182" t="str">
        <f t="shared" si="24"/>
        <v>Minimalny rozmiar ramek wynosi 140x140mm</v>
      </c>
      <c r="M515" s="133" t="s">
        <v>796</v>
      </c>
      <c r="N515" s="133" t="s">
        <v>797</v>
      </c>
      <c r="O515" s="133" t="s">
        <v>798</v>
      </c>
      <c r="P515" s="133" t="s">
        <v>799</v>
      </c>
      <c r="Q515" s="133" t="s">
        <v>927</v>
      </c>
      <c r="R515" s="325" t="s">
        <v>4045</v>
      </c>
    </row>
    <row r="516" spans="2:18">
      <c r="B516" s="182" t="str">
        <f t="shared" si="24"/>
        <v>Sensys SiSy nakładany</v>
      </c>
      <c r="M516" s="156" t="s">
        <v>800</v>
      </c>
      <c r="N516" s="133" t="s">
        <v>800</v>
      </c>
      <c r="O516" s="133" t="s">
        <v>815</v>
      </c>
      <c r="P516" s="133" t="s">
        <v>816</v>
      </c>
      <c r="Q516" s="133" t="s">
        <v>1559</v>
      </c>
      <c r="R516" s="325" t="s">
        <v>4258</v>
      </c>
    </row>
    <row r="517" spans="2:18">
      <c r="B517" s="182" t="str">
        <f t="shared" si="24"/>
        <v>Sensys SiSy półnakładany</v>
      </c>
      <c r="M517" s="156" t="s">
        <v>801</v>
      </c>
      <c r="N517" s="133" t="s">
        <v>801</v>
      </c>
      <c r="O517" s="133" t="s">
        <v>823</v>
      </c>
      <c r="P517" s="133" t="s">
        <v>1285</v>
      </c>
      <c r="Q517" s="133" t="s">
        <v>1560</v>
      </c>
      <c r="R517" s="325" t="s">
        <v>4259</v>
      </c>
    </row>
    <row r="518" spans="2:18">
      <c r="B518" s="182" t="str">
        <f t="shared" si="24"/>
        <v xml:space="preserve">Sensys SiSy wpuszczany </v>
      </c>
      <c r="M518" s="156" t="s">
        <v>802</v>
      </c>
      <c r="N518" s="133" t="s">
        <v>835</v>
      </c>
      <c r="O518" s="133" t="s">
        <v>836</v>
      </c>
      <c r="P518" s="133" t="s">
        <v>1286</v>
      </c>
      <c r="Q518" s="133" t="s">
        <v>1561</v>
      </c>
      <c r="R518" s="325" t="s">
        <v>4260</v>
      </c>
    </row>
    <row r="519" spans="2:18">
      <c r="B519" s="182" t="str">
        <f t="shared" si="24"/>
        <v>Sensys P2o nakładany</v>
      </c>
      <c r="M519" s="156" t="s">
        <v>803</v>
      </c>
      <c r="N519" s="133" t="s">
        <v>803</v>
      </c>
      <c r="O519" s="133" t="s">
        <v>817</v>
      </c>
      <c r="P519" s="133" t="s">
        <v>818</v>
      </c>
      <c r="Q519" s="133" t="s">
        <v>1562</v>
      </c>
      <c r="R519" s="325" t="s">
        <v>4261</v>
      </c>
    </row>
    <row r="520" spans="2:18">
      <c r="B520" s="182" t="str">
        <f t="shared" si="24"/>
        <v>Sensys P2o półnakładany</v>
      </c>
      <c r="M520" s="156" t="s">
        <v>804</v>
      </c>
      <c r="N520" s="133" t="s">
        <v>804</v>
      </c>
      <c r="O520" s="133" t="s">
        <v>824</v>
      </c>
      <c r="P520" s="133" t="s">
        <v>1287</v>
      </c>
      <c r="Q520" s="133" t="s">
        <v>1563</v>
      </c>
      <c r="R520" s="325" t="s">
        <v>4262</v>
      </c>
    </row>
    <row r="521" spans="2:18">
      <c r="B521" s="182" t="str">
        <f t="shared" si="24"/>
        <v xml:space="preserve">Sensys P2o wpuszczany </v>
      </c>
      <c r="M521" s="156" t="s">
        <v>805</v>
      </c>
      <c r="N521" s="133" t="s">
        <v>837</v>
      </c>
      <c r="O521" s="133" t="s">
        <v>838</v>
      </c>
      <c r="P521" s="133" t="s">
        <v>1288</v>
      </c>
      <c r="Q521" s="133" t="s">
        <v>1564</v>
      </c>
      <c r="R521" s="325" t="s">
        <v>4263</v>
      </c>
    </row>
    <row r="522" spans="2:18">
      <c r="B522" s="182" t="str">
        <f t="shared" si="24"/>
        <v>Sensys P2o nakładany</v>
      </c>
      <c r="M522" s="156" t="s">
        <v>806</v>
      </c>
      <c r="N522" s="133" t="s">
        <v>803</v>
      </c>
      <c r="O522" s="133" t="s">
        <v>817</v>
      </c>
      <c r="P522" s="133" t="s">
        <v>818</v>
      </c>
      <c r="Q522" s="133" t="s">
        <v>1565</v>
      </c>
      <c r="R522" s="325" t="s">
        <v>4046</v>
      </c>
    </row>
    <row r="523" spans="2:18">
      <c r="B523" s="182" t="str">
        <f t="shared" si="24"/>
        <v>nakładany z tłumieniem clip 110° ONYX</v>
      </c>
      <c r="M523" s="133" t="s">
        <v>807</v>
      </c>
      <c r="N523" s="133" t="s">
        <v>819</v>
      </c>
      <c r="O523" s="133" t="s">
        <v>820</v>
      </c>
      <c r="P523" s="133" t="s">
        <v>833</v>
      </c>
      <c r="Q523" s="133" t="s">
        <v>1566</v>
      </c>
      <c r="R523" s="325" t="s">
        <v>4047</v>
      </c>
    </row>
    <row r="524" spans="2:18">
      <c r="B524" s="182" t="str">
        <f t="shared" si="24"/>
        <v>półnakładany z tłumieniem clip 110° ONYX</v>
      </c>
      <c r="M524" s="133" t="s">
        <v>808</v>
      </c>
      <c r="N524" s="133" t="s">
        <v>821</v>
      </c>
      <c r="O524" s="133" t="s">
        <v>822</v>
      </c>
      <c r="P524" s="133" t="s">
        <v>1289</v>
      </c>
      <c r="Q524" s="133" t="s">
        <v>1567</v>
      </c>
      <c r="R524" s="325" t="s">
        <v>4048</v>
      </c>
    </row>
    <row r="525" spans="2:18">
      <c r="B525" s="182" t="str">
        <f t="shared" si="24"/>
        <v>wpuszczany z tłumieniem clip 110° Onyx</v>
      </c>
      <c r="M525" s="133" t="s">
        <v>809</v>
      </c>
      <c r="N525" s="133" t="s">
        <v>839</v>
      </c>
      <c r="O525" s="133" t="s">
        <v>840</v>
      </c>
      <c r="P525" s="133" t="s">
        <v>1290</v>
      </c>
      <c r="Q525" s="133" t="s">
        <v>1568</v>
      </c>
      <c r="R525" s="325" t="s">
        <v>4049</v>
      </c>
    </row>
    <row r="526" spans="2:18">
      <c r="B526" s="182" t="str">
        <f t="shared" si="24"/>
        <v>nakładany clip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 xml:space="preserve">StrongHinges S3 nakładany clip bez sprężyny </v>
      </c>
      <c r="M528" s="133" t="s">
        <v>2402</v>
      </c>
      <c r="N528" s="133" t="s">
        <v>2403</v>
      </c>
      <c r="O528" s="133" t="s">
        <v>2404</v>
      </c>
      <c r="P528" s="133" t="s">
        <v>2405</v>
      </c>
      <c r="Q528" s="133" t="s">
        <v>2406</v>
      </c>
      <c r="R528" s="325" t="s">
        <v>4264</v>
      </c>
    </row>
    <row r="529" spans="2:18">
      <c r="B529" s="182" t="str">
        <f t="shared" si="24"/>
        <v xml:space="preserve">StrongHinges S3 nakładany clip bez sprężyny </v>
      </c>
      <c r="M529" s="133" t="s">
        <v>2402</v>
      </c>
      <c r="N529" s="133" t="s">
        <v>2407</v>
      </c>
      <c r="O529" s="133" t="s">
        <v>2404</v>
      </c>
      <c r="P529" s="133" t="s">
        <v>2405</v>
      </c>
      <c r="Q529" s="133" t="s">
        <v>2406</v>
      </c>
      <c r="R529" s="325" t="s">
        <v>4264</v>
      </c>
    </row>
    <row r="530" spans="2:18">
      <c r="B530" s="182" t="str">
        <f t="shared" si="24"/>
        <v xml:space="preserve">StrongHinges S3 wpuszczany bez sprężyny </v>
      </c>
      <c r="M530" s="133" t="s">
        <v>2368</v>
      </c>
      <c r="N530" s="133" t="s">
        <v>2408</v>
      </c>
      <c r="O530" s="133" t="s">
        <v>2409</v>
      </c>
      <c r="P530" s="133" t="s">
        <v>2410</v>
      </c>
      <c r="Q530" s="133" t="s">
        <v>2369</v>
      </c>
      <c r="R530" s="325" t="s">
        <v>4265</v>
      </c>
    </row>
    <row r="531" spans="2:18">
      <c r="B531" s="182" t="str">
        <f t="shared" si="24"/>
        <v xml:space="preserve">StrongHinges S3 30° clip bez sprężyny </v>
      </c>
      <c r="M531" s="133" t="s">
        <v>2411</v>
      </c>
      <c r="N531" s="133" t="s">
        <v>2412</v>
      </c>
      <c r="O531" s="133" t="s">
        <v>2413</v>
      </c>
      <c r="P531" s="133" t="s">
        <v>2414</v>
      </c>
      <c r="Q531" s="133" t="s">
        <v>2415</v>
      </c>
      <c r="R531" s="325" t="s">
        <v>4266</v>
      </c>
    </row>
    <row r="532" spans="2:18">
      <c r="B532" s="182" t="str">
        <f t="shared" si="24"/>
        <v>StrongHinges S3 nakładany Clip</v>
      </c>
      <c r="M532" s="133" t="s">
        <v>2416</v>
      </c>
      <c r="N532" s="133" t="s">
        <v>2416</v>
      </c>
      <c r="O532" s="133" t="s">
        <v>2417</v>
      </c>
      <c r="P532" s="133" t="s">
        <v>2418</v>
      </c>
      <c r="Q532" s="133" t="s">
        <v>2419</v>
      </c>
      <c r="R532" s="325" t="s">
        <v>4267</v>
      </c>
    </row>
    <row r="533" spans="2:18">
      <c r="B533" s="182" t="str">
        <f t="shared" si="24"/>
        <v>StrongHinges S3 półnakładany ¨clip</v>
      </c>
      <c r="M533" s="133" t="s">
        <v>2420</v>
      </c>
      <c r="N533" s="133" t="s">
        <v>2420</v>
      </c>
      <c r="O533" s="133" t="s">
        <v>2421</v>
      </c>
      <c r="P533" s="133" t="s">
        <v>2422</v>
      </c>
      <c r="Q533" s="133" t="s">
        <v>2423</v>
      </c>
      <c r="R533" s="325" t="s">
        <v>4268</v>
      </c>
    </row>
    <row r="534" spans="2:18">
      <c r="B534" s="182" t="str">
        <f t="shared" si="24"/>
        <v>StrongHinges S3 wpuszczany Clip</v>
      </c>
      <c r="M534" s="133" t="s">
        <v>2424</v>
      </c>
      <c r="N534" s="133" t="s">
        <v>2424</v>
      </c>
      <c r="O534" s="133" t="s">
        <v>2425</v>
      </c>
      <c r="P534" s="133" t="s">
        <v>2426</v>
      </c>
      <c r="Q534" s="133" t="s">
        <v>2427</v>
      </c>
      <c r="R534" s="325" t="s">
        <v>4269</v>
      </c>
    </row>
    <row r="535" spans="2:18">
      <c r="B535" s="182" t="str">
        <f t="shared" si="24"/>
        <v>StrongHinges S3 30°clip</v>
      </c>
      <c r="M535" s="133" t="s">
        <v>2428</v>
      </c>
      <c r="N535" s="133" t="s">
        <v>2428</v>
      </c>
      <c r="O535" s="133" t="s">
        <v>2428</v>
      </c>
      <c r="P535" s="133" t="s">
        <v>2428</v>
      </c>
      <c r="Q535" s="133" t="s">
        <v>2429</v>
      </c>
      <c r="R535" s="325" t="s">
        <v>4270</v>
      </c>
    </row>
    <row r="536" spans="2:18">
      <c r="B536" s="182" t="str">
        <f t="shared" si="24"/>
        <v>StrongHinges S3 nakładany Clip</v>
      </c>
      <c r="M536" s="133" t="s">
        <v>2416</v>
      </c>
      <c r="N536" s="133" t="s">
        <v>2416</v>
      </c>
      <c r="O536" s="133" t="s">
        <v>2417</v>
      </c>
      <c r="P536" s="133" t="s">
        <v>2418</v>
      </c>
      <c r="Q536" s="133" t="s">
        <v>2419</v>
      </c>
      <c r="R536" s="325" t="s">
        <v>4267</v>
      </c>
    </row>
    <row r="537" spans="2:18">
      <c r="B537" s="182" t="str">
        <f t="shared" si="24"/>
        <v xml:space="preserve">StrongHinges S3 nakładany clip bez sprężyny </v>
      </c>
      <c r="M537" s="133" t="s">
        <v>2402</v>
      </c>
      <c r="N537" s="133" t="s">
        <v>2403</v>
      </c>
      <c r="O537" s="133" t="s">
        <v>2404</v>
      </c>
      <c r="P537" s="133" t="s">
        <v>2405</v>
      </c>
      <c r="Q537" s="133" t="s">
        <v>2406</v>
      </c>
      <c r="R537" s="325" t="s">
        <v>4264</v>
      </c>
    </row>
    <row r="538" spans="2:18">
      <c r="B538" s="182" t="str">
        <f t="shared" si="24"/>
        <v>StrongHinges S3 Clip wkręt z mimośrodem H0</v>
      </c>
      <c r="M538" s="133" t="s">
        <v>2430</v>
      </c>
      <c r="N538" s="133" t="s">
        <v>2431</v>
      </c>
      <c r="O538" s="133" t="s">
        <v>2432</v>
      </c>
      <c r="P538" s="133" t="s">
        <v>2433</v>
      </c>
      <c r="Q538" s="133" t="s">
        <v>2434</v>
      </c>
      <c r="R538" s="325" t="s">
        <v>4271</v>
      </c>
    </row>
    <row r="539" spans="2:18">
      <c r="B539" s="182" t="str">
        <f t="shared" si="24"/>
        <v>StrongHinges S3 Clip wkręt z mimośrodem H2</v>
      </c>
      <c r="M539" s="133" t="s">
        <v>2435</v>
      </c>
      <c r="N539" s="133" t="s">
        <v>2436</v>
      </c>
      <c r="O539" s="133" t="s">
        <v>2437</v>
      </c>
      <c r="P539" s="133" t="s">
        <v>2438</v>
      </c>
      <c r="Q539" s="133" t="s">
        <v>2439</v>
      </c>
      <c r="R539" s="325" t="s">
        <v>4051</v>
      </c>
    </row>
    <row r="540" spans="2:18">
      <c r="B540" s="182" t="str">
        <f t="shared" si="24"/>
        <v>Wprowadzenie</v>
      </c>
      <c r="M540" s="133" t="s">
        <v>843</v>
      </c>
      <c r="N540" s="133" t="s">
        <v>843</v>
      </c>
      <c r="O540" s="133" t="s">
        <v>844</v>
      </c>
      <c r="P540" s="133" t="s">
        <v>1291</v>
      </c>
      <c r="Q540" s="133" t="s">
        <v>928</v>
      </c>
      <c r="R540" s="325" t="s">
        <v>4052</v>
      </c>
    </row>
    <row r="541" spans="2:18">
      <c r="B541" s="182" t="str">
        <f t="shared" si="24"/>
        <v>Maksymalne wymiary ramki Corleone to 1500x600mm</v>
      </c>
      <c r="M541" s="175" t="s">
        <v>851</v>
      </c>
      <c r="N541" s="133" t="s">
        <v>852</v>
      </c>
      <c r="O541" s="133" t="s">
        <v>853</v>
      </c>
      <c r="P541" s="133" t="s">
        <v>854</v>
      </c>
      <c r="Q541" s="133" t="s">
        <v>1570</v>
      </c>
      <c r="R541" s="325" t="s">
        <v>4053</v>
      </c>
    </row>
    <row r="542" spans="2:18">
      <c r="B542" s="182" t="str">
        <f t="shared" si="24"/>
        <v>Połączenie 2 profili</v>
      </c>
      <c r="M542" s="133" t="s">
        <v>1005</v>
      </c>
      <c r="N542" s="133" t="s">
        <v>1114</v>
      </c>
      <c r="O542" s="133" t="s">
        <v>1115</v>
      </c>
      <c r="P542" s="133" t="s">
        <v>1116</v>
      </c>
      <c r="Q542" s="133" t="s">
        <v>1571</v>
      </c>
      <c r="R542" s="325" t="s">
        <v>4054</v>
      </c>
    </row>
    <row r="543" spans="2:18">
      <c r="B543" s="182" t="str">
        <f t="shared" si="24"/>
        <v>Szprosy</v>
      </c>
      <c r="M543" s="133" t="s">
        <v>1117</v>
      </c>
      <c r="N543" s="133" t="s">
        <v>1119</v>
      </c>
      <c r="O543" s="133" t="s">
        <v>932</v>
      </c>
      <c r="P543" s="133" t="s">
        <v>1118</v>
      </c>
      <c r="Q543" s="133" t="s">
        <v>1394</v>
      </c>
      <c r="R543" s="325" t="s">
        <v>4055</v>
      </c>
    </row>
    <row r="544" spans="2:18">
      <c r="B544" s="182" t="str">
        <f t="shared" si="24"/>
        <v>Marka okucia</v>
      </c>
      <c r="M544" s="133" t="s">
        <v>1007</v>
      </c>
      <c r="N544" s="133" t="s">
        <v>1120</v>
      </c>
      <c r="O544" s="133" t="s">
        <v>1121</v>
      </c>
      <c r="P544" s="133" t="s">
        <v>1292</v>
      </c>
      <c r="Q544" s="133" t="s">
        <v>1409</v>
      </c>
      <c r="R544" s="325" t="s">
        <v>4056</v>
      </c>
    </row>
    <row r="545" spans="2:18">
      <c r="B545" s="182" t="str">
        <f t="shared" si="24"/>
        <v>Wariant okucia</v>
      </c>
      <c r="M545" s="133" t="s">
        <v>1008</v>
      </c>
      <c r="N545" s="133" t="s">
        <v>1123</v>
      </c>
      <c r="O545" s="133" t="s">
        <v>1122</v>
      </c>
      <c r="P545" s="133" t="s">
        <v>1293</v>
      </c>
      <c r="Q545" s="133" t="s">
        <v>1408</v>
      </c>
      <c r="R545" s="325" t="s">
        <v>4057</v>
      </c>
    </row>
    <row r="546" spans="2:18">
      <c r="B546" s="182" t="str">
        <f t="shared" si="24"/>
        <v>Nałożenie</v>
      </c>
      <c r="M546" s="133" t="s">
        <v>1107</v>
      </c>
      <c r="N546" s="133" t="s">
        <v>1124</v>
      </c>
      <c r="O546" s="133" t="s">
        <v>1316</v>
      </c>
      <c r="P546" s="133" t="s">
        <v>1125</v>
      </c>
      <c r="Q546" s="133" t="s">
        <v>1395</v>
      </c>
      <c r="R546" s="325" t="s">
        <v>4058</v>
      </c>
    </row>
    <row r="547" spans="2:18">
      <c r="B547" s="182" t="str">
        <f t="shared" si="24"/>
        <v>Zawiasy do podnośników</v>
      </c>
      <c r="M547" s="133" t="s">
        <v>2330</v>
      </c>
      <c r="N547" s="133" t="s">
        <v>1126</v>
      </c>
      <c r="O547" s="133" t="s">
        <v>1317</v>
      </c>
      <c r="P547" s="133" t="s">
        <v>1294</v>
      </c>
      <c r="Q547" s="133" t="s">
        <v>1572</v>
      </c>
      <c r="R547" s="325" t="s">
        <v>4059</v>
      </c>
    </row>
    <row r="548" spans="2:18">
      <c r="B548" s="182" t="str">
        <f t="shared" si="24"/>
        <v>Rozstaw</v>
      </c>
      <c r="M548" s="133" t="s">
        <v>1129</v>
      </c>
      <c r="N548" s="133" t="s">
        <v>1129</v>
      </c>
      <c r="O548" s="133" t="s">
        <v>1130</v>
      </c>
      <c r="P548" s="133" t="s">
        <v>1131</v>
      </c>
      <c r="Q548" s="133" t="s">
        <v>1396</v>
      </c>
      <c r="R548" s="325" t="s">
        <v>4060</v>
      </c>
    </row>
    <row r="549" spans="2:18">
      <c r="B549" s="182" t="str">
        <f t="shared" si="24"/>
        <v>Rozstaw uchwytu (mm)</v>
      </c>
      <c r="M549" s="133" t="s">
        <v>1341</v>
      </c>
      <c r="N549" s="133" t="s">
        <v>1342</v>
      </c>
      <c r="O549" s="133" t="s">
        <v>1343</v>
      </c>
      <c r="P549" s="133" t="s">
        <v>1344</v>
      </c>
      <c r="Q549" s="133" t="s">
        <v>1411</v>
      </c>
      <c r="R549" s="325" t="s">
        <v>4061</v>
      </c>
    </row>
    <row r="550" spans="2:18">
      <c r="B550" s="182" t="str">
        <f t="shared" si="24"/>
        <v>Umieszczenie uchwytu</v>
      </c>
      <c r="M550" s="133" t="s">
        <v>1031</v>
      </c>
      <c r="N550" s="133" t="s">
        <v>1127</v>
      </c>
      <c r="O550" s="133" t="s">
        <v>1318</v>
      </c>
      <c r="P550" s="133" t="s">
        <v>1128</v>
      </c>
      <c r="Q550" s="133" t="s">
        <v>1412</v>
      </c>
      <c r="R550" s="325" t="s">
        <v>4062</v>
      </c>
    </row>
    <row r="551" spans="2:18">
      <c r="B551" s="182" t="str">
        <f t="shared" si="24"/>
        <v>Zawiasy</v>
      </c>
      <c r="M551" s="133" t="s">
        <v>399</v>
      </c>
      <c r="N551" s="133" t="s">
        <v>400</v>
      </c>
      <c r="O551" s="133" t="s">
        <v>401</v>
      </c>
      <c r="P551" s="133" t="s">
        <v>402</v>
      </c>
      <c r="Q551" s="133" t="s">
        <v>1444</v>
      </c>
      <c r="R551" s="325" t="s">
        <v>3861</v>
      </c>
    </row>
    <row r="552" spans="2:18">
      <c r="B552" s="182" t="str">
        <f t="shared" si="24"/>
        <v>Podnośniki</v>
      </c>
      <c r="M552" s="133" t="s">
        <v>599</v>
      </c>
      <c r="N552" s="133" t="s">
        <v>599</v>
      </c>
      <c r="O552" s="133" t="s">
        <v>1143</v>
      </c>
      <c r="P552" s="133" t="s">
        <v>1144</v>
      </c>
      <c r="Q552" s="133" t="s">
        <v>1573</v>
      </c>
      <c r="R552" s="325" t="s">
        <v>4063</v>
      </c>
    </row>
    <row r="553" spans="2:18">
      <c r="B553" s="182" t="str">
        <f t="shared" si="24"/>
        <v>Nakładany</v>
      </c>
      <c r="M553" s="175" t="s">
        <v>68</v>
      </c>
      <c r="N553" s="133" t="s">
        <v>68</v>
      </c>
      <c r="O553" s="133" t="s">
        <v>220</v>
      </c>
      <c r="P553" s="133" t="s">
        <v>284</v>
      </c>
      <c r="Q553" s="133" t="s">
        <v>1595</v>
      </c>
      <c r="R553" s="325" t="s">
        <v>3871</v>
      </c>
    </row>
    <row r="554" spans="2:18">
      <c r="B554" s="182" t="str">
        <f t="shared" ref="B554:B567" si="25">IF($D$1=1,M554,IF($D$1=2,N554,IF($D$1=3,O554,IF($D$1=4,P554,IF($D$1=5,Q554,IF($D$1=6,R554,0))))))</f>
        <v>Półnakładany</v>
      </c>
      <c r="M554" s="175" t="s">
        <v>69</v>
      </c>
      <c r="N554" s="133" t="s">
        <v>69</v>
      </c>
      <c r="O554" s="133" t="s">
        <v>221</v>
      </c>
      <c r="P554" s="133" t="s">
        <v>1244</v>
      </c>
      <c r="Q554" s="133" t="s">
        <v>1452</v>
      </c>
      <c r="R554" s="325" t="s">
        <v>4064</v>
      </c>
    </row>
    <row r="555" spans="2:18">
      <c r="B555" s="182" t="str">
        <f t="shared" si="25"/>
        <v>Wpuszczany</v>
      </c>
      <c r="M555" s="175" t="s">
        <v>70</v>
      </c>
      <c r="N555" s="133" t="s">
        <v>70</v>
      </c>
      <c r="O555" s="133" t="s">
        <v>1145</v>
      </c>
      <c r="P555" s="133" t="s">
        <v>1245</v>
      </c>
      <c r="Q555" s="133" t="s">
        <v>905</v>
      </c>
      <c r="R555" s="325" t="s">
        <v>4065</v>
      </c>
    </row>
    <row r="556" spans="2:18">
      <c r="B556" s="182" t="str">
        <f t="shared" si="25"/>
        <v>Tak</v>
      </c>
      <c r="M556" s="175" t="s">
        <v>1180</v>
      </c>
      <c r="N556" s="133" t="s">
        <v>1186</v>
      </c>
      <c r="O556" s="133" t="s">
        <v>1185</v>
      </c>
      <c r="P556" s="133" t="s">
        <v>1182</v>
      </c>
      <c r="Q556" s="133" t="s">
        <v>1397</v>
      </c>
      <c r="R556" s="325" t="s">
        <v>4066</v>
      </c>
    </row>
    <row r="557" spans="2:18">
      <c r="B557" s="182" t="str">
        <f t="shared" si="25"/>
        <v>Nie</v>
      </c>
      <c r="M557" s="175" t="s">
        <v>1181</v>
      </c>
      <c r="N557" s="133" t="s">
        <v>1184</v>
      </c>
      <c r="O557" s="133" t="s">
        <v>1184</v>
      </c>
      <c r="P557" s="133" t="s">
        <v>1183</v>
      </c>
      <c r="Q557" s="133" t="s">
        <v>1398</v>
      </c>
      <c r="R557" s="325" t="s">
        <v>4067</v>
      </c>
    </row>
    <row r="558" spans="2:18">
      <c r="B558" s="182" t="str">
        <f t="shared" si="25"/>
        <v>Poziomo (termin dostawy 4 tygodnie)</v>
      </c>
      <c r="M558" s="175" t="s">
        <v>3188</v>
      </c>
      <c r="N558" s="133" t="s">
        <v>3189</v>
      </c>
      <c r="O558" s="133" t="s">
        <v>3190</v>
      </c>
      <c r="P558" s="133" t="s">
        <v>3191</v>
      </c>
      <c r="Q558" s="133" t="s">
        <v>3192</v>
      </c>
      <c r="R558" s="325" t="s">
        <v>4068</v>
      </c>
    </row>
    <row r="559" spans="2:18">
      <c r="B559" s="182" t="str">
        <f t="shared" si="25"/>
        <v>Pionowo (termin dostawy 4 tygodnie)</v>
      </c>
      <c r="M559" s="175" t="s">
        <v>3193</v>
      </c>
      <c r="N559" s="133" t="s">
        <v>3194</v>
      </c>
      <c r="O559" s="133" t="s">
        <v>3195</v>
      </c>
      <c r="P559" s="133" t="s">
        <v>3196</v>
      </c>
      <c r="Q559" s="133" t="s">
        <v>3197</v>
      </c>
      <c r="R559" s="325" t="s">
        <v>4069</v>
      </c>
    </row>
    <row r="560" spans="2:18">
      <c r="B560" s="182" t="str">
        <f t="shared" si="25"/>
        <v>Poziomo i pionowo (termin dostawy 4 tygodnie)</v>
      </c>
      <c r="M560" s="175" t="s">
        <v>3198</v>
      </c>
      <c r="N560" s="133" t="s">
        <v>3199</v>
      </c>
      <c r="O560" s="133" t="s">
        <v>3200</v>
      </c>
      <c r="P560" s="133" t="s">
        <v>3201</v>
      </c>
      <c r="Q560" s="133" t="s">
        <v>3202</v>
      </c>
      <c r="R560" s="325" t="s">
        <v>4070</v>
      </c>
    </row>
    <row r="561" spans="2:18">
      <c r="B561" s="182" t="str">
        <f t="shared" si="25"/>
        <v>Ramka złożona z dwóch różnych profili</v>
      </c>
      <c r="M561" s="133" t="s">
        <v>1006</v>
      </c>
      <c r="N561" s="133" t="s">
        <v>1187</v>
      </c>
      <c r="O561" s="133" t="s">
        <v>1319</v>
      </c>
      <c r="P561" s="133" t="s">
        <v>1188</v>
      </c>
      <c r="Q561" s="133" t="s">
        <v>1574</v>
      </c>
      <c r="R561" s="325" t="s">
        <v>4071</v>
      </c>
    </row>
    <row r="562" spans="2:18">
      <c r="B562" s="182" t="str">
        <f t="shared" si="25"/>
        <v>Rodzaj folii</v>
      </c>
      <c r="M562" s="175" t="s">
        <v>942</v>
      </c>
      <c r="N562" s="133" t="s">
        <v>1207</v>
      </c>
      <c r="O562" s="133" t="s">
        <v>1208</v>
      </c>
      <c r="P562" s="133" t="s">
        <v>1209</v>
      </c>
      <c r="Q562" s="133" t="s">
        <v>1575</v>
      </c>
      <c r="R562" s="325" t="s">
        <v>4072</v>
      </c>
    </row>
    <row r="563" spans="2:18">
      <c r="B563" s="182" t="str">
        <f t="shared" si="25"/>
        <v>transparentna</v>
      </c>
      <c r="M563" s="133" t="s">
        <v>953</v>
      </c>
      <c r="N563" s="133" t="s">
        <v>1210</v>
      </c>
      <c r="O563" s="133" t="s">
        <v>1320</v>
      </c>
      <c r="P563" s="133" t="s">
        <v>1213</v>
      </c>
      <c r="Q563" s="133" t="s">
        <v>1399</v>
      </c>
      <c r="R563" s="325" t="s">
        <v>1399</v>
      </c>
    </row>
    <row r="564" spans="2:18">
      <c r="B564" s="182" t="str">
        <f t="shared" si="25"/>
        <v>Biała</v>
      </c>
      <c r="M564" s="133" t="s">
        <v>956</v>
      </c>
      <c r="N564" s="133" t="s">
        <v>1211</v>
      </c>
      <c r="O564" s="133" t="s">
        <v>1321</v>
      </c>
      <c r="P564" s="133" t="s">
        <v>1295</v>
      </c>
      <c r="Q564" s="133" t="s">
        <v>1400</v>
      </c>
      <c r="R564" s="325" t="s">
        <v>4073</v>
      </c>
    </row>
    <row r="565" spans="2:18">
      <c r="B565" s="182" t="str">
        <f t="shared" si="25"/>
        <v>czarna</v>
      </c>
      <c r="M565" s="133" t="s">
        <v>959</v>
      </c>
      <c r="N565" s="133" t="s">
        <v>1212</v>
      </c>
      <c r="O565" s="133" t="s">
        <v>1322</v>
      </c>
      <c r="P565" s="133" t="s">
        <v>1214</v>
      </c>
      <c r="Q565" s="133" t="s">
        <v>1401</v>
      </c>
      <c r="R565" s="325" t="s">
        <v>4074</v>
      </c>
    </row>
    <row r="566" spans="2:18">
      <c r="B566" s="182" t="str">
        <f t="shared" si="25"/>
        <v>Kolejne</v>
      </c>
      <c r="M566" s="133" t="s">
        <v>1221</v>
      </c>
      <c r="N566" s="133" t="s">
        <v>1222</v>
      </c>
      <c r="O566" s="133" t="s">
        <v>1323</v>
      </c>
      <c r="P566" s="133" t="s">
        <v>1223</v>
      </c>
      <c r="Q566" s="133" t="s">
        <v>1402</v>
      </c>
      <c r="R566" s="325" t="s">
        <v>4075</v>
      </c>
    </row>
    <row r="567" spans="2:18">
      <c r="B567" s="182" t="str">
        <f t="shared" si="25"/>
        <v>Podsumowanie</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Widok szpros ma charakter poglądowy i nie pokazuje wybranej liczby szpros.</v>
      </c>
      <c r="M571" s="133" t="s">
        <v>3068</v>
      </c>
      <c r="N571" s="133" t="s">
        <v>3070</v>
      </c>
      <c r="O571" s="133" t="s">
        <v>3069</v>
      </c>
      <c r="P571" s="133" t="s">
        <v>3071</v>
      </c>
      <c r="Q571" s="133" t="s">
        <v>1576</v>
      </c>
      <c r="R571" s="325" t="s">
        <v>4272</v>
      </c>
    </row>
    <row r="572" spans="2:18">
      <c r="B572" s="182" t="str">
        <f t="shared" si="27"/>
        <v>Ważne informacje:</v>
      </c>
      <c r="M572" s="133" t="s">
        <v>3594</v>
      </c>
      <c r="N572" s="133" t="s">
        <v>3593</v>
      </c>
      <c r="O572" s="133" t="s">
        <v>3592</v>
      </c>
      <c r="P572" s="133" t="s">
        <v>3595</v>
      </c>
      <c r="Q572" s="133" t="s">
        <v>3596</v>
      </c>
      <c r="R572" s="325" t="s">
        <v>4273</v>
      </c>
    </row>
    <row r="573" spans="2:18">
      <c r="B573" s="182" t="str">
        <f t="shared" si="27"/>
        <v>Nie zmieniaj po wybraniu rodzaj szkła/siatka</v>
      </c>
      <c r="M573" s="133" t="s">
        <v>4341</v>
      </c>
      <c r="N573" s="133" t="s">
        <v>4342</v>
      </c>
      <c r="O573" s="133" t="s">
        <v>4343</v>
      </c>
      <c r="P573" s="133" t="s">
        <v>4344</v>
      </c>
      <c r="Q573" s="133" t="s">
        <v>4345</v>
      </c>
      <c r="R573" s="325" t="s">
        <v>4346</v>
      </c>
    </row>
    <row r="574" spans="2:18">
      <c r="B574" s="182" t="str">
        <f t="shared" si="27"/>
        <v>Powrót</v>
      </c>
      <c r="M574" s="133" t="s">
        <v>1324</v>
      </c>
      <c r="N574" s="133" t="s">
        <v>1327</v>
      </c>
      <c r="O574" s="133" t="s">
        <v>1326</v>
      </c>
      <c r="P574" s="133" t="s">
        <v>1325</v>
      </c>
      <c r="Q574" s="133" t="s">
        <v>1404</v>
      </c>
      <c r="R574" s="325" t="s">
        <v>4274</v>
      </c>
    </row>
    <row r="575" spans="2:18">
      <c r="B575" s="182" t="str">
        <f t="shared" si="27"/>
        <v>Standardowa odległość zawiasów od krawędzi wynosi 100 mm (minimum 80 mm). Jeżeli konieczna jest zmiana rozstawu między poszczególnymi zawiasami, prosimy podać w notatce (w mm).</v>
      </c>
      <c r="M575" s="133" t="s">
        <v>1329</v>
      </c>
      <c r="N575" s="133" t="s">
        <v>1330</v>
      </c>
      <c r="O575" s="133" t="s">
        <v>1331</v>
      </c>
      <c r="P575" s="133" t="s">
        <v>2080</v>
      </c>
      <c r="Q575" s="133" t="s">
        <v>1577</v>
      </c>
      <c r="R575" s="325" t="s">
        <v>4275</v>
      </c>
    </row>
    <row r="576" spans="2:18" ht="129.6">
      <c r="B576" s="182" t="str">
        <f t="shared" si="27"/>
        <v>„W zielonych komórkach wpisz odległość wiercenia uchwytu od zewnętrznej krawędzi ramki.
Jeśli chcesz przewiercić uchwyt w środku ościeżnicy i na środku profilu, w zielonych polach wpisz „x”.</v>
      </c>
      <c r="M576" s="203" t="s">
        <v>1612</v>
      </c>
      <c r="N576" s="203" t="s">
        <v>1941</v>
      </c>
      <c r="O576" s="203" t="s">
        <v>3591</v>
      </c>
      <c r="P576" s="203" t="s">
        <v>2079</v>
      </c>
      <c r="Q576" s="203" t="s">
        <v>1613</v>
      </c>
      <c r="R576" s="330" t="s">
        <v>4276</v>
      </c>
    </row>
    <row r="577" spans="2:18">
      <c r="B577" s="182" t="str">
        <f t="shared" si="27"/>
        <v>W przypadku zawiasów maksymalny zalecany rozmiar to 600mm</v>
      </c>
      <c r="M577" s="133" t="s">
        <v>3560</v>
      </c>
      <c r="N577" s="133" t="s">
        <v>3561</v>
      </c>
      <c r="O577" s="133" t="s">
        <v>3562</v>
      </c>
      <c r="P577" s="133" t="s">
        <v>3563</v>
      </c>
      <c r="Q577" s="133" t="s">
        <v>3564</v>
      </c>
      <c r="R577" s="325" t="s">
        <v>4277</v>
      </c>
    </row>
    <row r="578" spans="2:18">
      <c r="B578" s="182" t="str">
        <f t="shared" si="27"/>
        <v>Varna czarna - producent zaleca długość max. 1200 mm</v>
      </c>
      <c r="M578" s="133" t="s">
        <v>1425</v>
      </c>
      <c r="N578" s="133" t="s">
        <v>1426</v>
      </c>
      <c r="O578" s="133" t="s">
        <v>1427</v>
      </c>
      <c r="P578" s="133" t="s">
        <v>1428</v>
      </c>
      <c r="Q578" s="133" t="s">
        <v>1429</v>
      </c>
      <c r="R578" s="325" t="s">
        <v>4278</v>
      </c>
    </row>
    <row r="579" spans="2:18">
      <c r="B579" s="182" t="str">
        <f t="shared" si="27"/>
        <v>Varna czarna - producent zaleca długość max. 1200 mm</v>
      </c>
      <c r="M579" s="133" t="s">
        <v>1425</v>
      </c>
      <c r="N579" s="133" t="s">
        <v>1430</v>
      </c>
      <c r="O579" s="133" t="s">
        <v>1427</v>
      </c>
      <c r="P579" s="133" t="s">
        <v>1428</v>
      </c>
      <c r="Q579" s="133" t="s">
        <v>1429</v>
      </c>
      <c r="R579" s="325" t="s">
        <v>4278</v>
      </c>
    </row>
    <row r="580" spans="2:18" ht="67.95" customHeight="1">
      <c r="B580" s="182" t="str">
        <f t="shared" si="27"/>
        <v>Rocca czarny - długość max. 2150 mm
Varna czarna - długość max. 1200 mm</v>
      </c>
      <c r="M580" s="203" t="s">
        <v>3063</v>
      </c>
      <c r="N580" s="203" t="s">
        <v>3064</v>
      </c>
      <c r="O580" s="203" t="s">
        <v>3065</v>
      </c>
      <c r="P580" s="203" t="s">
        <v>3066</v>
      </c>
      <c r="Q580" s="203" t="s">
        <v>3067</v>
      </c>
      <c r="R580" s="331" t="s">
        <v>4279</v>
      </c>
    </row>
    <row r="581" spans="2:18">
      <c r="B581" s="182" t="str">
        <f t="shared" si="27"/>
        <v>Zamówienie szkła</v>
      </c>
      <c r="M581" s="133" t="s">
        <v>1431</v>
      </c>
      <c r="N581" s="133" t="s">
        <v>1431</v>
      </c>
      <c r="O581" s="133" t="s">
        <v>1432</v>
      </c>
      <c r="P581" s="133" t="s">
        <v>1433</v>
      </c>
      <c r="Q581" s="133" t="s">
        <v>1434</v>
      </c>
      <c r="R581" s="325" t="s">
        <v>4280</v>
      </c>
    </row>
    <row r="582" spans="2:18">
      <c r="B582" s="182" t="str">
        <f t="shared" si="27"/>
        <v>ze sprężyną z tłumieniem</v>
      </c>
      <c r="M582" s="133" t="s">
        <v>2096</v>
      </c>
      <c r="N582" s="133" t="s">
        <v>2099</v>
      </c>
      <c r="O582" s="133" t="s">
        <v>2102</v>
      </c>
      <c r="P582" s="133" t="s">
        <v>2105</v>
      </c>
      <c r="Q582" s="133" t="s">
        <v>2108</v>
      </c>
      <c r="R582" s="325" t="s">
        <v>4281</v>
      </c>
    </row>
    <row r="583" spans="2:18">
      <c r="B583" s="182" t="str">
        <f t="shared" si="27"/>
        <v>ze sprężyną bez tłumienia</v>
      </c>
      <c r="M583" s="133" t="s">
        <v>2097</v>
      </c>
      <c r="N583" s="133" t="s">
        <v>2100</v>
      </c>
      <c r="O583" s="133" t="s">
        <v>2103</v>
      </c>
      <c r="P583" s="133" t="s">
        <v>2106</v>
      </c>
      <c r="Q583" s="133" t="s">
        <v>2109</v>
      </c>
      <c r="R583" s="325" t="s">
        <v>4282</v>
      </c>
    </row>
    <row r="584" spans="2:18">
      <c r="B584" s="182" t="str">
        <f t="shared" si="27"/>
        <v>tip-on bez sprężyny/tłumienie</v>
      </c>
      <c r="M584" s="133" t="s">
        <v>2098</v>
      </c>
      <c r="N584" s="133" t="s">
        <v>2101</v>
      </c>
      <c r="O584" s="133" t="s">
        <v>2104</v>
      </c>
      <c r="P584" s="133" t="s">
        <v>2107</v>
      </c>
      <c r="Q584" s="133" t="s">
        <v>2110</v>
      </c>
      <c r="R584" s="325" t="s">
        <v>4283</v>
      </c>
    </row>
    <row r="585" spans="2:18">
      <c r="B585" s="182" t="str">
        <f t="shared" si="27"/>
        <v>srebro</v>
      </c>
      <c r="M585" s="133" t="s">
        <v>1102</v>
      </c>
      <c r="N585" s="133" t="s">
        <v>1600</v>
      </c>
      <c r="O585" s="133" t="s">
        <v>1601</v>
      </c>
      <c r="P585" s="133" t="s">
        <v>1596</v>
      </c>
      <c r="Q585" s="133" t="s">
        <v>1598</v>
      </c>
      <c r="R585" s="325" t="s">
        <v>4284</v>
      </c>
    </row>
    <row r="586" spans="2:18">
      <c r="B586" s="182" t="str">
        <f t="shared" si="27"/>
        <v>czarny</v>
      </c>
      <c r="M586" s="133" t="s">
        <v>1104</v>
      </c>
      <c r="N586" s="133" t="s">
        <v>1212</v>
      </c>
      <c r="O586" s="133" t="s">
        <v>1602</v>
      </c>
      <c r="P586" s="133" t="s">
        <v>1597</v>
      </c>
      <c r="Q586" s="133" t="s">
        <v>1599</v>
      </c>
      <c r="R586" s="325" t="s">
        <v>4285</v>
      </c>
    </row>
    <row r="587" spans="2:18">
      <c r="B587" s="182" t="str">
        <f t="shared" si="27"/>
        <v>W przypadku zastosowania ze szkłem maksymalny zalecany wymiar to 1500 x 600 mm</v>
      </c>
      <c r="M587" s="133" t="s">
        <v>1616</v>
      </c>
      <c r="N587" s="133" t="s">
        <v>1619</v>
      </c>
      <c r="O587" s="133" t="s">
        <v>1617</v>
      </c>
      <c r="P587" s="133" t="s">
        <v>1618</v>
      </c>
      <c r="Q587" s="133" t="s">
        <v>1615</v>
      </c>
      <c r="R587" s="325" t="s">
        <v>4077</v>
      </c>
    </row>
    <row r="588" spans="2:18">
      <c r="B588" s="133" t="s">
        <v>1940</v>
      </c>
      <c r="R588" s="325"/>
    </row>
    <row r="589" spans="2:18">
      <c r="B589" s="182" t="str">
        <f t="shared" si="27"/>
        <v>(dolnej)</v>
      </c>
      <c r="M589" t="s">
        <v>3206</v>
      </c>
      <c r="N589" s="133" t="s">
        <v>1942</v>
      </c>
      <c r="O589" s="133" t="s">
        <v>1954</v>
      </c>
      <c r="P589" s="133" t="s">
        <v>1946</v>
      </c>
      <c r="Q589" s="133" t="s">
        <v>1950</v>
      </c>
      <c r="R589" t="s">
        <v>4078</v>
      </c>
    </row>
    <row r="590" spans="2:18">
      <c r="B590" s="182" t="str">
        <f t="shared" si="27"/>
        <v>(lewej)</v>
      </c>
      <c r="M590" t="s">
        <v>3207</v>
      </c>
      <c r="N590" s="133" t="s">
        <v>1943</v>
      </c>
      <c r="O590" s="133" t="s">
        <v>1955</v>
      </c>
      <c r="P590" s="133" t="s">
        <v>1947</v>
      </c>
      <c r="Q590" s="133" t="s">
        <v>1951</v>
      </c>
      <c r="R590" t="s">
        <v>4079</v>
      </c>
    </row>
    <row r="591" spans="2:18">
      <c r="B591" s="182" t="str">
        <f t="shared" si="27"/>
        <v>(górnej)</v>
      </c>
      <c r="M591" t="s">
        <v>3208</v>
      </c>
      <c r="N591" s="133" t="s">
        <v>1944</v>
      </c>
      <c r="O591" s="133" t="s">
        <v>1956</v>
      </c>
      <c r="P591" s="133" t="s">
        <v>1948</v>
      </c>
      <c r="Q591" s="133" t="s">
        <v>1952</v>
      </c>
      <c r="R591" t="s">
        <v>4080</v>
      </c>
    </row>
    <row r="592" spans="2:18">
      <c r="B592" s="182" t="str">
        <f t="shared" si="27"/>
        <v>(prawej)</v>
      </c>
      <c r="M592" t="s">
        <v>1945</v>
      </c>
      <c r="N592" s="133" t="s">
        <v>1945</v>
      </c>
      <c r="O592" s="133" t="s">
        <v>1957</v>
      </c>
      <c r="P592" s="133" t="s">
        <v>1949</v>
      </c>
      <c r="Q592" s="133" t="s">
        <v>1953</v>
      </c>
      <c r="R592" t="s">
        <v>4081</v>
      </c>
    </row>
    <row r="593" spans="2:18">
      <c r="B593" s="182" t="str">
        <f t="shared" si="27"/>
        <v>275672- autom. 30N szary</v>
      </c>
      <c r="M593" s="133" t="s">
        <v>1959</v>
      </c>
      <c r="N593" s="133" t="s">
        <v>1960</v>
      </c>
      <c r="O593" s="133" t="s">
        <v>1961</v>
      </c>
      <c r="P593" s="133" t="s">
        <v>1962</v>
      </c>
      <c r="Q593" s="133" t="s">
        <v>1963</v>
      </c>
      <c r="R593" t="s">
        <v>4082</v>
      </c>
    </row>
    <row r="594" spans="2:18">
      <c r="B594" s="182" t="str">
        <f t="shared" si="27"/>
        <v>275673- autom. 60N szary</v>
      </c>
      <c r="M594" s="133" t="s">
        <v>1964</v>
      </c>
      <c r="N594" s="133" t="s">
        <v>1965</v>
      </c>
      <c r="O594" s="133" t="s">
        <v>1966</v>
      </c>
      <c r="P594" s="133" t="s">
        <v>1967</v>
      </c>
      <c r="Q594" s="133" t="s">
        <v>1968</v>
      </c>
      <c r="R594" t="s">
        <v>4083</v>
      </c>
    </row>
    <row r="595" spans="2:18">
      <c r="B595" s="182" t="str">
        <f t="shared" si="27"/>
        <v>275674- autom. 80N szary</v>
      </c>
      <c r="M595" s="133" t="s">
        <v>1969</v>
      </c>
      <c r="N595" s="133" t="s">
        <v>1970</v>
      </c>
      <c r="O595" s="133" t="s">
        <v>1971</v>
      </c>
      <c r="P595" s="133" t="s">
        <v>1972</v>
      </c>
      <c r="Q595" s="133" t="s">
        <v>1973</v>
      </c>
      <c r="R595" t="s">
        <v>4084</v>
      </c>
    </row>
    <row r="596" spans="2:18">
      <c r="B596" s="182" t="str">
        <f t="shared" si="27"/>
        <v>275675- autom. 100N szary</v>
      </c>
      <c r="M596" s="133" t="s">
        <v>1974</v>
      </c>
      <c r="N596" s="133" t="s">
        <v>1975</v>
      </c>
      <c r="O596" s="133" t="s">
        <v>1976</v>
      </c>
      <c r="P596" s="133" t="s">
        <v>1977</v>
      </c>
      <c r="Q596" s="133" t="s">
        <v>1978</v>
      </c>
      <c r="R596" t="s">
        <v>4085</v>
      </c>
    </row>
    <row r="597" spans="2:18">
      <c r="B597" s="182" t="str">
        <f t="shared" si="27"/>
        <v>275676- autom. 120N szary</v>
      </c>
      <c r="M597" s="133" t="s">
        <v>1979</v>
      </c>
      <c r="N597" s="133" t="s">
        <v>1980</v>
      </c>
      <c r="O597" s="133" t="s">
        <v>1981</v>
      </c>
      <c r="P597" s="133" t="s">
        <v>1982</v>
      </c>
      <c r="Q597" s="133" t="s">
        <v>1983</v>
      </c>
      <c r="R597" t="s">
        <v>4086</v>
      </c>
    </row>
    <row r="598" spans="2:18">
      <c r="B598" s="204" t="s">
        <v>1958</v>
      </c>
      <c r="R598"/>
    </row>
    <row r="599" spans="2:18">
      <c r="B599" s="182" t="str">
        <f t="shared" si="27"/>
        <v>248162- autom. 30N biały</v>
      </c>
      <c r="M599" s="133" t="s">
        <v>1984</v>
      </c>
      <c r="N599" s="133" t="s">
        <v>1985</v>
      </c>
      <c r="O599" s="133" t="s">
        <v>1986</v>
      </c>
      <c r="P599" s="133" t="s">
        <v>1987</v>
      </c>
      <c r="Q599" s="133" t="s">
        <v>1988</v>
      </c>
      <c r="R599" t="s">
        <v>4087</v>
      </c>
    </row>
    <row r="600" spans="2:18">
      <c r="B600" s="182" t="str">
        <f t="shared" si="27"/>
        <v>248163- autom. 60N biały</v>
      </c>
      <c r="M600" s="133" t="s">
        <v>1989</v>
      </c>
      <c r="N600" s="133" t="s">
        <v>1990</v>
      </c>
      <c r="O600" s="133" t="s">
        <v>1991</v>
      </c>
      <c r="P600" s="133" t="s">
        <v>1992</v>
      </c>
      <c r="Q600" s="133" t="s">
        <v>1993</v>
      </c>
      <c r="R600" t="s">
        <v>4088</v>
      </c>
    </row>
    <row r="601" spans="2:18">
      <c r="B601" s="182" t="str">
        <f t="shared" si="27"/>
        <v>248164- autom. 80N biały</v>
      </c>
      <c r="M601" s="133" t="s">
        <v>1994</v>
      </c>
      <c r="N601" s="133" t="s">
        <v>1995</v>
      </c>
      <c r="O601" s="133" t="s">
        <v>1996</v>
      </c>
      <c r="P601" s="133" t="s">
        <v>1997</v>
      </c>
      <c r="Q601" s="133" t="s">
        <v>1998</v>
      </c>
      <c r="R601" t="s">
        <v>4089</v>
      </c>
    </row>
    <row r="602" spans="2:18">
      <c r="B602" s="182" t="str">
        <f t="shared" si="27"/>
        <v>248165- autom. 100N biały</v>
      </c>
      <c r="M602" s="133" t="s">
        <v>1999</v>
      </c>
      <c r="N602" s="133" t="s">
        <v>2000</v>
      </c>
      <c r="O602" s="133" t="s">
        <v>2001</v>
      </c>
      <c r="P602" s="133" t="s">
        <v>2002</v>
      </c>
      <c r="Q602" s="133" t="s">
        <v>2003</v>
      </c>
      <c r="R602" t="s">
        <v>4090</v>
      </c>
    </row>
    <row r="603" spans="2:18">
      <c r="B603" s="182" t="str">
        <f t="shared" si="27"/>
        <v>248166- autom. 120N biały</v>
      </c>
      <c r="M603" s="133" t="s">
        <v>2004</v>
      </c>
      <c r="N603" s="133" t="s">
        <v>2005</v>
      </c>
      <c r="O603" s="133" t="s">
        <v>2006</v>
      </c>
      <c r="P603" s="133" t="s">
        <v>2007</v>
      </c>
      <c r="Q603" s="133" t="s">
        <v>2008</v>
      </c>
      <c r="R603" t="s">
        <v>4091</v>
      </c>
    </row>
    <row r="604" spans="2:18">
      <c r="B604" s="182" t="str">
        <f t="shared" si="27"/>
        <v>284250 pozycj.60N szary</v>
      </c>
      <c r="M604" s="133" t="s">
        <v>2009</v>
      </c>
      <c r="N604" s="133" t="s">
        <v>2010</v>
      </c>
      <c r="O604" s="133" t="s">
        <v>2011</v>
      </c>
      <c r="P604" s="133" t="s">
        <v>2012</v>
      </c>
      <c r="Q604" s="133" t="s">
        <v>2013</v>
      </c>
      <c r="R604" t="s">
        <v>4092</v>
      </c>
    </row>
    <row r="605" spans="2:18">
      <c r="B605" s="204" t="s">
        <v>1958</v>
      </c>
      <c r="R605"/>
    </row>
    <row r="606" spans="2:18">
      <c r="B606" s="182" t="str">
        <f t="shared" si="27"/>
        <v>284251-pozycj. 80N szary</v>
      </c>
      <c r="M606" s="133" t="s">
        <v>2014</v>
      </c>
      <c r="N606" s="133" t="s">
        <v>2015</v>
      </c>
      <c r="O606" s="133" t="s">
        <v>2016</v>
      </c>
      <c r="P606" s="133" t="s">
        <v>2017</v>
      </c>
      <c r="Q606" s="133" t="s">
        <v>2018</v>
      </c>
      <c r="R606" t="s">
        <v>4093</v>
      </c>
    </row>
    <row r="607" spans="2:18">
      <c r="B607" s="182" t="str">
        <f t="shared" si="27"/>
        <v>284252-pozycj. 100N szary</v>
      </c>
      <c r="M607" s="133" t="s">
        <v>2019</v>
      </c>
      <c r="N607" s="133" t="s">
        <v>2020</v>
      </c>
      <c r="O607" s="133" t="s">
        <v>2021</v>
      </c>
      <c r="P607" s="133" t="s">
        <v>2022</v>
      </c>
      <c r="Q607" s="133" t="s">
        <v>2023</v>
      </c>
      <c r="R607" t="s">
        <v>4094</v>
      </c>
    </row>
    <row r="608" spans="2:18">
      <c r="B608" s="182" t="str">
        <f t="shared" si="27"/>
        <v>284253-pozycj. 120N szary</v>
      </c>
      <c r="M608" s="133" t="s">
        <v>2024</v>
      </c>
      <c r="N608" s="133" t="s">
        <v>2025</v>
      </c>
      <c r="O608" s="133" t="s">
        <v>2026</v>
      </c>
      <c r="P608" s="133" t="s">
        <v>2027</v>
      </c>
      <c r="Q608" s="133" t="s">
        <v>2028</v>
      </c>
      <c r="R608" t="s">
        <v>4095</v>
      </c>
    </row>
    <row r="609" spans="2:18">
      <c r="B609" s="182" t="str">
        <f t="shared" si="27"/>
        <v>284254-pozycj. 60N biały</v>
      </c>
      <c r="M609" s="133" t="s">
        <v>2029</v>
      </c>
      <c r="N609" s="133" t="s">
        <v>2030</v>
      </c>
      <c r="O609" s="133" t="s">
        <v>2031</v>
      </c>
      <c r="P609" s="133" t="s">
        <v>2032</v>
      </c>
      <c r="Q609" s="133" t="s">
        <v>2033</v>
      </c>
      <c r="R609" t="s">
        <v>4096</v>
      </c>
    </row>
    <row r="610" spans="2:18">
      <c r="B610" s="182" t="str">
        <f t="shared" si="27"/>
        <v>284255-pozycj. 80N biały</v>
      </c>
      <c r="M610" s="133" t="s">
        <v>2034</v>
      </c>
      <c r="N610" s="133" t="s">
        <v>2035</v>
      </c>
      <c r="O610" s="133" t="s">
        <v>2036</v>
      </c>
      <c r="P610" s="133" t="s">
        <v>2037</v>
      </c>
      <c r="Q610" s="133" t="s">
        <v>2038</v>
      </c>
      <c r="R610" t="s">
        <v>4097</v>
      </c>
    </row>
    <row r="611" spans="2:18">
      <c r="B611" s="182" t="str">
        <f t="shared" si="27"/>
        <v>284256-pozycj. 100N biały</v>
      </c>
      <c r="M611" s="133" t="s">
        <v>2039</v>
      </c>
      <c r="N611" s="133" t="s">
        <v>2040</v>
      </c>
      <c r="O611" s="133" t="s">
        <v>2041</v>
      </c>
      <c r="P611" s="133" t="s">
        <v>2042</v>
      </c>
      <c r="Q611" s="133" t="s">
        <v>2043</v>
      </c>
      <c r="R611" t="s">
        <v>4098</v>
      </c>
    </row>
    <row r="612" spans="2:18">
      <c r="B612" s="182" t="str">
        <f t="shared" si="27"/>
        <v>284257-pozycj. 120N biały</v>
      </c>
      <c r="M612" s="133" t="s">
        <v>2044</v>
      </c>
      <c r="N612" s="133" t="s">
        <v>2045</v>
      </c>
      <c r="O612" s="133" t="s">
        <v>2046</v>
      </c>
      <c r="P612" s="133" t="s">
        <v>2047</v>
      </c>
      <c r="Q612" s="133" t="s">
        <v>2048</v>
      </c>
      <c r="R612" t="s">
        <v>4099</v>
      </c>
    </row>
    <row r="613" spans="2:18">
      <c r="B613" s="204" t="s">
        <v>1958</v>
      </c>
      <c r="R613" s="325"/>
    </row>
    <row r="614" spans="2:18">
      <c r="B614" s="182" t="str">
        <f t="shared" si="27"/>
        <v>275689-barkowy 80N szary</v>
      </c>
      <c r="M614" s="133" t="s">
        <v>3287</v>
      </c>
      <c r="N614" s="133" t="s">
        <v>2049</v>
      </c>
      <c r="O614" s="133" t="s">
        <v>2050</v>
      </c>
      <c r="P614" s="133" t="s">
        <v>2051</v>
      </c>
      <c r="Q614" s="133" t="s">
        <v>2052</v>
      </c>
      <c r="R614" s="325" t="s">
        <v>4286</v>
      </c>
    </row>
    <row r="615" spans="2:18">
      <c r="B615" s="182" t="str">
        <f t="shared" si="27"/>
        <v>248167-barkowy 80N biały</v>
      </c>
      <c r="M615" s="133" t="s">
        <v>3288</v>
      </c>
      <c r="N615" s="133" t="s">
        <v>2053</v>
      </c>
      <c r="O615" s="133" t="s">
        <v>2054</v>
      </c>
      <c r="P615" s="133" t="s">
        <v>2055</v>
      </c>
      <c r="Q615" s="133" t="s">
        <v>2056</v>
      </c>
      <c r="R615" s="325" t="s">
        <v>4287</v>
      </c>
    </row>
    <row r="616" spans="2:18">
      <c r="B616" s="182" t="str">
        <f t="shared" si="27"/>
        <v>507355-22L3200-wysokość szafki=300 – 339 mm</v>
      </c>
      <c r="M616" s="133" t="s">
        <v>2297</v>
      </c>
      <c r="N616" s="133" t="s">
        <v>2301</v>
      </c>
      <c r="O616" s="133" t="s">
        <v>2305</v>
      </c>
      <c r="P616" s="133" t="s">
        <v>2309</v>
      </c>
      <c r="Q616" s="133" t="s">
        <v>2313</v>
      </c>
      <c r="R616" s="325" t="s">
        <v>4288</v>
      </c>
    </row>
    <row r="617" spans="2:18">
      <c r="B617" s="182" t="str">
        <f t="shared" si="27"/>
        <v>507356-22L3500-wysokość szafki=340 – 389 mm</v>
      </c>
      <c r="M617" s="133" t="s">
        <v>2298</v>
      </c>
      <c r="N617" s="133" t="s">
        <v>2302</v>
      </c>
      <c r="O617" s="133" t="s">
        <v>2306</v>
      </c>
      <c r="P617" s="133" t="s">
        <v>2310</v>
      </c>
      <c r="Q617" s="133" t="s">
        <v>2314</v>
      </c>
      <c r="R617" s="325" t="s">
        <v>4289</v>
      </c>
    </row>
    <row r="618" spans="2:18">
      <c r="B618" s="182" t="str">
        <f t="shared" si="27"/>
        <v>507357-22L3800-wysokość szafki=390 – 540 mm</v>
      </c>
      <c r="M618" s="133" t="s">
        <v>2299</v>
      </c>
      <c r="N618" s="133" t="s">
        <v>2303</v>
      </c>
      <c r="O618" s="133" t="s">
        <v>2307</v>
      </c>
      <c r="P618" s="133" t="s">
        <v>2311</v>
      </c>
      <c r="Q618" s="133" t="s">
        <v>2315</v>
      </c>
      <c r="R618" s="325" t="s">
        <v>4290</v>
      </c>
    </row>
    <row r="619" spans="2:18">
      <c r="B619" s="182" t="str">
        <f t="shared" si="27"/>
        <v>507358-22L3900-wysokość szafki=480 – 580 mm</v>
      </c>
      <c r="M619" s="133" t="s">
        <v>2300</v>
      </c>
      <c r="N619" s="133" t="s">
        <v>2304</v>
      </c>
      <c r="O619" s="133" t="s">
        <v>2308</v>
      </c>
      <c r="P619" s="133" t="s">
        <v>2312</v>
      </c>
      <c r="Q619" s="133" t="s">
        <v>2316</v>
      </c>
      <c r="R619" s="325" t="s">
        <v>4291</v>
      </c>
    </row>
    <row r="620" spans="2:18">
      <c r="B620" s="182" t="str">
        <f t="shared" si="27"/>
        <v>Servo:</v>
      </c>
      <c r="M620" s="133" t="s">
        <v>2057</v>
      </c>
      <c r="N620" s="133" t="s">
        <v>2057</v>
      </c>
      <c r="O620" s="133" t="s">
        <v>2057</v>
      </c>
      <c r="P620" s="133" t="s">
        <v>2057</v>
      </c>
      <c r="Q620" s="133" t="s">
        <v>2057</v>
      </c>
      <c r="R620" s="325" t="s">
        <v>4292</v>
      </c>
    </row>
    <row r="621" spans="2:18">
      <c r="B621" s="182" t="str">
        <f t="shared" si="27"/>
        <v>197612-21L3200.01-wysokość szafy=300 – 349 mm</v>
      </c>
      <c r="M621" s="133" t="s">
        <v>2058</v>
      </c>
      <c r="N621" s="133" t="s">
        <v>2059</v>
      </c>
      <c r="O621" s="133" t="s">
        <v>2060</v>
      </c>
      <c r="P621" s="133" t="s">
        <v>2061</v>
      </c>
      <c r="Q621" s="133" t="s">
        <v>2062</v>
      </c>
      <c r="R621" s="325" t="s">
        <v>4293</v>
      </c>
    </row>
    <row r="622" spans="2:18">
      <c r="B622" s="182" t="str">
        <f t="shared" si="27"/>
        <v>197613-21L3500.01-wysokość szafy=350 – 399 mm</v>
      </c>
      <c r="M622" s="133" t="s">
        <v>2063</v>
      </c>
      <c r="N622" s="133" t="s">
        <v>2064</v>
      </c>
      <c r="O622" s="133" t="s">
        <v>2065</v>
      </c>
      <c r="P622" s="133" t="s">
        <v>2066</v>
      </c>
      <c r="Q622" s="133" t="s">
        <v>2067</v>
      </c>
      <c r="R622" s="325" t="s">
        <v>4294</v>
      </c>
    </row>
    <row r="623" spans="2:18">
      <c r="B623" s="182" t="str">
        <f t="shared" si="27"/>
        <v>197614-21L3800.01-wysokość szafy=400 – 550 mm</v>
      </c>
      <c r="M623" s="133" t="s">
        <v>2068</v>
      </c>
      <c r="N623" s="133" t="s">
        <v>2069</v>
      </c>
      <c r="O623" s="133" t="s">
        <v>2070</v>
      </c>
      <c r="P623" s="133" t="s">
        <v>2071</v>
      </c>
      <c r="Q623" s="133" t="s">
        <v>2072</v>
      </c>
      <c r="R623" s="325" t="s">
        <v>4295</v>
      </c>
    </row>
    <row r="624" spans="2:18">
      <c r="B624" s="182" t="str">
        <f t="shared" si="27"/>
        <v>197615-21L3900.01-wysokość szafy=450 – 580 mm</v>
      </c>
      <c r="M624" s="133" t="s">
        <v>2073</v>
      </c>
      <c r="N624" s="133" t="s">
        <v>2074</v>
      </c>
      <c r="O624" s="133" t="s">
        <v>2075</v>
      </c>
      <c r="P624" s="133" t="s">
        <v>2076</v>
      </c>
      <c r="Q624" s="133" t="s">
        <v>2077</v>
      </c>
      <c r="R624" s="325" t="s">
        <v>4296</v>
      </c>
    </row>
    <row r="625" spans="2:18">
      <c r="B625" s="182" t="str">
        <f t="shared" si="27"/>
        <v>Rodzaj szkła/siatka</v>
      </c>
      <c r="M625" s="175" t="s">
        <v>2291</v>
      </c>
      <c r="N625" s="133" t="s">
        <v>2292</v>
      </c>
      <c r="O625" s="133" t="s">
        <v>2293</v>
      </c>
      <c r="P625" s="133" t="s">
        <v>2294</v>
      </c>
      <c r="Q625" s="133" t="s">
        <v>2295</v>
      </c>
      <c r="R625" s="325" t="s">
        <v>4242</v>
      </c>
    </row>
    <row r="626" spans="2:18" ht="57.6">
      <c r="B626" s="182" t="str">
        <f t="shared" si="27"/>
        <v>W zielonych komórkach określ odległość wiercenia rączki od zewnętrznej krawędzi ramy.</v>
      </c>
      <c r="M626" s="203" t="s">
        <v>2091</v>
      </c>
      <c r="N626" s="203" t="s">
        <v>2092</v>
      </c>
      <c r="O626" s="203" t="s">
        <v>2093</v>
      </c>
      <c r="P626" s="203" t="s">
        <v>2094</v>
      </c>
      <c r="Q626" s="203" t="s">
        <v>2095</v>
      </c>
      <c r="R626" s="330" t="s">
        <v>4297</v>
      </c>
    </row>
    <row r="627" spans="2:18">
      <c r="B627" s="182" t="str">
        <f t="shared" si="27"/>
        <v>Nieprawidłowa kombinacja</v>
      </c>
      <c r="M627" s="133" t="s">
        <v>2111</v>
      </c>
      <c r="N627" s="133" t="s">
        <v>2115</v>
      </c>
      <c r="O627" s="133" t="s">
        <v>2114</v>
      </c>
      <c r="P627" s="133" t="s">
        <v>2113</v>
      </c>
      <c r="Q627" s="133" t="s">
        <v>2112</v>
      </c>
      <c r="R627" s="325" t="s">
        <v>4298</v>
      </c>
    </row>
    <row r="628" spans="2:18">
      <c r="B628" s="182" t="str">
        <f t="shared" si="27"/>
        <v>krzyżakowy, wkręt</v>
      </c>
      <c r="M628" s="175" t="s">
        <v>2123</v>
      </c>
      <c r="N628" s="175" t="s">
        <v>2129</v>
      </c>
      <c r="O628" s="133" t="s">
        <v>2130</v>
      </c>
      <c r="P628" s="133" t="s">
        <v>2131</v>
      </c>
      <c r="Q628" s="133" t="s">
        <v>2132</v>
      </c>
      <c r="R628" s="325" t="s">
        <v>4299</v>
      </c>
    </row>
    <row r="629" spans="2:18">
      <c r="B629" s="182" t="str">
        <f t="shared" si="27"/>
        <v>na wkręt (z mimośrodem)</v>
      </c>
      <c r="M629" s="175" t="s">
        <v>2121</v>
      </c>
      <c r="N629" s="175" t="s">
        <v>2133</v>
      </c>
      <c r="O629" s="133" t="s">
        <v>2134</v>
      </c>
      <c r="P629" s="133" t="s">
        <v>2135</v>
      </c>
      <c r="Q629" s="133" t="s">
        <v>2136</v>
      </c>
      <c r="R629" s="325" t="s">
        <v>4300</v>
      </c>
    </row>
    <row r="630" spans="2:18">
      <c r="B630" s="182" t="str">
        <f t="shared" si="27"/>
        <v>krzyżakowy eurowkręt</v>
      </c>
      <c r="M630" s="175" t="s">
        <v>2124</v>
      </c>
      <c r="N630" s="175" t="s">
        <v>2137</v>
      </c>
      <c r="O630" s="133" t="s">
        <v>2152</v>
      </c>
      <c r="P630" s="133" t="s">
        <v>2138</v>
      </c>
      <c r="Q630" s="133" t="s">
        <v>2139</v>
      </c>
      <c r="R630" s="325" t="s">
        <v>4301</v>
      </c>
    </row>
    <row r="631" spans="2:18">
      <c r="B631" s="182" t="str">
        <f t="shared" si="27"/>
        <v>krzyżakowy expando</v>
      </c>
      <c r="M631" s="175" t="s">
        <v>2125</v>
      </c>
      <c r="N631" s="175" t="s">
        <v>2140</v>
      </c>
      <c r="O631" s="133" t="s">
        <v>2153</v>
      </c>
      <c r="P631" s="133" t="s">
        <v>2141</v>
      </c>
      <c r="Q631" s="133" t="s">
        <v>2141</v>
      </c>
      <c r="R631" s="325" t="s">
        <v>4302</v>
      </c>
    </row>
    <row r="632" spans="2:18">
      <c r="B632" s="182" t="str">
        <f t="shared" si="27"/>
        <v>prosty wkręt</v>
      </c>
      <c r="M632" s="175" t="s">
        <v>2126</v>
      </c>
      <c r="N632" s="175" t="s">
        <v>2142</v>
      </c>
      <c r="O632" s="133" t="s">
        <v>2143</v>
      </c>
      <c r="P632" s="133" t="s">
        <v>2145</v>
      </c>
      <c r="Q632" s="133" t="s">
        <v>2144</v>
      </c>
      <c r="R632" s="325" t="s">
        <v>4303</v>
      </c>
    </row>
    <row r="633" spans="2:18">
      <c r="B633" s="182" t="str">
        <f t="shared" si="27"/>
        <v>prosty eurowkręt</v>
      </c>
      <c r="M633" s="175" t="s">
        <v>2127</v>
      </c>
      <c r="N633" s="175" t="s">
        <v>2127</v>
      </c>
      <c r="O633" s="133" t="s">
        <v>2148</v>
      </c>
      <c r="P633" s="133" t="s">
        <v>2146</v>
      </c>
      <c r="Q633" s="133" t="s">
        <v>2147</v>
      </c>
      <c r="R633" s="325" t="s">
        <v>4304</v>
      </c>
    </row>
    <row r="634" spans="2:18">
      <c r="B634" s="182" t="str">
        <f t="shared" si="27"/>
        <v>prosty expando</v>
      </c>
      <c r="M634" s="175" t="s">
        <v>2128</v>
      </c>
      <c r="N634" s="175" t="s">
        <v>2128</v>
      </c>
      <c r="O634" s="133" t="s">
        <v>2149</v>
      </c>
      <c r="P634" s="133" t="s">
        <v>2150</v>
      </c>
      <c r="Q634" s="133" t="s">
        <v>2151</v>
      </c>
      <c r="R634" s="325" t="s">
        <v>4305</v>
      </c>
    </row>
    <row r="635" spans="2:18">
      <c r="B635" s="182" t="str">
        <f t="shared" ref="B635:B651" si="28">IF($D$1=1,M635,IF($D$1=2,N635,IF($D$1=3,O635,IF($D$1=4,P635,IF($D$1=5,Q635,IF($D$1=6,R635,0))))))</f>
        <v>długość max. 2150 mm</v>
      </c>
      <c r="M635" s="133" t="s">
        <v>2167</v>
      </c>
      <c r="N635" s="133" t="s">
        <v>2168</v>
      </c>
      <c r="O635" s="133" t="s">
        <v>2169</v>
      </c>
      <c r="P635" s="133" t="s">
        <v>2269</v>
      </c>
      <c r="Q635" s="133" t="s">
        <v>2170</v>
      </c>
      <c r="R635" s="325" t="s">
        <v>4306</v>
      </c>
    </row>
    <row r="636" spans="2:18">
      <c r="B636" s="182" t="str">
        <f t="shared" si="28"/>
        <v>Odległość od dolnej krawędzi</v>
      </c>
      <c r="M636" s="175" t="s">
        <v>3285</v>
      </c>
      <c r="N636" s="133" t="s">
        <v>2186</v>
      </c>
      <c r="O636" s="133" t="s">
        <v>2184</v>
      </c>
      <c r="P636" s="133" t="s">
        <v>2188</v>
      </c>
      <c r="Q636" s="133" t="s">
        <v>2182</v>
      </c>
      <c r="R636" s="325" t="s">
        <v>4307</v>
      </c>
    </row>
    <row r="637" spans="2:18">
      <c r="B637" s="182" t="str">
        <f t="shared" si="28"/>
        <v>Odległość od górnej krawędzi</v>
      </c>
      <c r="M637" s="175" t="s">
        <v>3286</v>
      </c>
      <c r="N637" s="133" t="s">
        <v>2187</v>
      </c>
      <c r="O637" s="133" t="s">
        <v>2185</v>
      </c>
      <c r="P637" s="133" t="s">
        <v>2189</v>
      </c>
      <c r="Q637" s="133" t="s">
        <v>2183</v>
      </c>
      <c r="R637" s="325" t="s">
        <v>4308</v>
      </c>
    </row>
    <row r="638" spans="2:18">
      <c r="B638" s="182" t="str">
        <f t="shared" si="28"/>
        <v>Bez modyfikacji</v>
      </c>
      <c r="M638" s="133" t="s">
        <v>1139</v>
      </c>
      <c r="N638" s="133" t="s">
        <v>1139</v>
      </c>
      <c r="O638" s="133" t="s">
        <v>1140</v>
      </c>
      <c r="P638" s="133" t="s">
        <v>1138</v>
      </c>
      <c r="Q638" s="133" t="s">
        <v>1438</v>
      </c>
      <c r="R638" s="325" t="s">
        <v>4309</v>
      </c>
    </row>
    <row r="639" spans="2:18">
      <c r="B639" s="182" t="str">
        <f t="shared" si="28"/>
        <v>Hartowane (termin dostawy 4 tygodnie)</v>
      </c>
      <c r="M639" s="133" t="s">
        <v>3183</v>
      </c>
      <c r="N639" s="133" t="s">
        <v>3184</v>
      </c>
      <c r="O639" s="133" t="s">
        <v>3185</v>
      </c>
      <c r="P639" s="133" t="s">
        <v>3186</v>
      </c>
      <c r="Q639" s="133" t="s">
        <v>3187</v>
      </c>
      <c r="R639" s="325" t="s">
        <v>4310</v>
      </c>
    </row>
    <row r="640" spans="2:18">
      <c r="B640" s="182" t="str">
        <f t="shared" si="28"/>
        <v>Folia</v>
      </c>
      <c r="M640" s="133" t="s">
        <v>933</v>
      </c>
      <c r="N640" s="133" t="s">
        <v>933</v>
      </c>
      <c r="O640" s="133" t="s">
        <v>1141</v>
      </c>
      <c r="P640" s="133" t="s">
        <v>1142</v>
      </c>
      <c r="Q640" s="133" t="s">
        <v>1437</v>
      </c>
      <c r="R640" s="325" t="s">
        <v>4108</v>
      </c>
    </row>
    <row r="641" spans="2:18" ht="79.2">
      <c r="B641" s="182" t="str">
        <f t="shared" si="28"/>
        <v xml:space="preserve">Ramki aluminiowe bez szkła dostarczane są w stanie rozmontowanym. </v>
      </c>
      <c r="M641" s="205" t="s">
        <v>2262</v>
      </c>
      <c r="N641" s="205" t="s">
        <v>2261</v>
      </c>
      <c r="O641" s="205" t="s">
        <v>2263</v>
      </c>
      <c r="P641" s="211" t="s">
        <v>2264</v>
      </c>
      <c r="Q641" s="233" t="s">
        <v>2329</v>
      </c>
      <c r="R641" s="325" t="s">
        <v>4311</v>
      </c>
    </row>
    <row r="642" spans="2:18" ht="74.25" customHeight="1">
      <c r="B642" s="182" t="str">
        <f t="shared" si="28"/>
        <v>Maksym. zalecany rozmiar to 1500 x 600 mm. Przy zamówieniu większego rozmiaru szyba może wysunąć się z profilu. Producent nie odpowiada za tego typu reklamacje.</v>
      </c>
      <c r="M642" s="203" t="s">
        <v>2270</v>
      </c>
      <c r="N642" s="219" t="s">
        <v>2272</v>
      </c>
      <c r="O642" s="203" t="s">
        <v>2273</v>
      </c>
      <c r="P642" s="218" t="s">
        <v>2271</v>
      </c>
      <c r="Q642" s="203" t="s">
        <v>2274</v>
      </c>
      <c r="R642" s="330" t="s">
        <v>4312</v>
      </c>
    </row>
    <row r="643" spans="2:18">
      <c r="B643" s="182">
        <f t="shared" si="28"/>
        <v>0</v>
      </c>
      <c r="R643" s="325"/>
    </row>
    <row r="644" spans="2:18">
      <c r="B644" s="182" t="str">
        <f t="shared" si="28"/>
        <v>520405 SALICE AIR SOFT zawiasy niklowe o kącie otwarcia 92° kpl. 2 szt</v>
      </c>
      <c r="M644" s="34" t="s">
        <v>2575</v>
      </c>
      <c r="N644" s="34" t="s">
        <v>2575</v>
      </c>
      <c r="O644" s="34" t="s">
        <v>2576</v>
      </c>
      <c r="P644" t="s">
        <v>2577</v>
      </c>
      <c r="R644" t="s">
        <v>4313</v>
      </c>
    </row>
    <row r="645" spans="2:18">
      <c r="B645" s="182" t="str">
        <f t="shared" si="28"/>
        <v>520406 SALICE AIR PUSH TO OPEN zawiasy niklowe z zestawem adapterów 2 szt</v>
      </c>
      <c r="M645" s="34" t="s">
        <v>2578</v>
      </c>
      <c r="N645" s="34" t="s">
        <v>2578</v>
      </c>
      <c r="O645" s="34" t="s">
        <v>2579</v>
      </c>
      <c r="P645" t="s">
        <v>2580</v>
      </c>
      <c r="R645" t="s">
        <v>4314</v>
      </c>
    </row>
    <row r="646" spans="2:18">
      <c r="B646" s="182" t="str">
        <f t="shared" si="28"/>
        <v>520407 SALICE AIR PUSH TO OPEN zawiasy niklowe z zestawem adapterów 2 szt</v>
      </c>
      <c r="M646" s="34" t="s">
        <v>2581</v>
      </c>
      <c r="N646" s="34" t="s">
        <v>2581</v>
      </c>
      <c r="O646" s="34" t="s">
        <v>2582</v>
      </c>
      <c r="P646" t="s">
        <v>2580</v>
      </c>
      <c r="R646" t="s">
        <v>4315</v>
      </c>
    </row>
    <row r="647" spans="2:18">
      <c r="B647" s="182" t="str">
        <f t="shared" si="28"/>
        <v>520408 SALICE AIR SOFT zawiasy niklowe z zestawem adapterów 2 szt</v>
      </c>
      <c r="M647" s="34" t="s">
        <v>2583</v>
      </c>
      <c r="N647" s="34" t="s">
        <v>2583</v>
      </c>
      <c r="O647" s="34" t="s">
        <v>2584</v>
      </c>
      <c r="P647" t="s">
        <v>2585</v>
      </c>
      <c r="R647" t="s">
        <v>4316</v>
      </c>
    </row>
    <row r="648" spans="2:18">
      <c r="B648" s="182" t="str">
        <f t="shared" si="28"/>
        <v>520410 SALICE AIR SOFT TITANIUM  zawiasy o kącie otwarcia 92° kpl. 2 szt</v>
      </c>
      <c r="M648" s="34" t="s">
        <v>2586</v>
      </c>
      <c r="N648" s="34" t="s">
        <v>2586</v>
      </c>
      <c r="O648" s="34" t="s">
        <v>2587</v>
      </c>
      <c r="P648" t="s">
        <v>2588</v>
      </c>
      <c r="R648" t="s">
        <v>4317</v>
      </c>
    </row>
    <row r="649" spans="2:18">
      <c r="B649" s="182" t="str">
        <f t="shared" si="28"/>
        <v>520411 SALICE AIR TITANIUM PUSH TO OPEN zawiasy komplet 2 szt</v>
      </c>
      <c r="M649" s="34" t="s">
        <v>2589</v>
      </c>
      <c r="N649" s="34" t="s">
        <v>2589</v>
      </c>
      <c r="O649" s="34" t="s">
        <v>2590</v>
      </c>
      <c r="P649" t="s">
        <v>2591</v>
      </c>
      <c r="R649" t="s">
        <v>4318</v>
      </c>
    </row>
    <row r="650" spans="2:18">
      <c r="B650" s="182" t="str">
        <f t="shared" si="28"/>
        <v>520412 SALICE AIR TITANIUM PUSH TO OPEN zawiasy z zestawem adapterów 2 szt</v>
      </c>
      <c r="M650" s="34" t="s">
        <v>2592</v>
      </c>
      <c r="N650" s="34" t="s">
        <v>2592</v>
      </c>
      <c r="O650" s="34" t="s">
        <v>2593</v>
      </c>
      <c r="P650" t="s">
        <v>2594</v>
      </c>
      <c r="R650" t="s">
        <v>4319</v>
      </c>
    </row>
    <row r="651" spans="2:18">
      <c r="B651" s="182" t="str">
        <f t="shared" si="28"/>
        <v>520413 SALICE AIR SOFT TITANIUM zawiasy z zestawem adapterów 2 szt</v>
      </c>
      <c r="M651" t="s">
        <v>2595</v>
      </c>
      <c r="N651" t="s">
        <v>2595</v>
      </c>
      <c r="O651" t="s">
        <v>2596</v>
      </c>
      <c r="P651" t="s">
        <v>2597</v>
      </c>
      <c r="R651" t="s">
        <v>4320</v>
      </c>
    </row>
    <row r="652" spans="2:18">
      <c r="R652" s="325"/>
    </row>
    <row r="653" spans="2:18">
      <c r="B653" s="182" t="str">
        <f t="shared" ref="B653:B654" si="29">IF($D$1=1,M653,IF($D$1=2,N653,IF($D$1=3,O653,IF($D$1=4,P653,IF($D$1=5,Q653,IF($D$1=6,R653,0))))))</f>
        <v>Wypełnienie z siatki</v>
      </c>
      <c r="M653" s="133" t="s">
        <v>2277</v>
      </c>
      <c r="N653" s="133" t="s">
        <v>2383</v>
      </c>
      <c r="O653" s="133" t="s">
        <v>2514</v>
      </c>
      <c r="P653" s="229" t="s">
        <v>4347</v>
      </c>
      <c r="Q653" s="133" t="s">
        <v>4348</v>
      </c>
      <c r="R653" t="s">
        <v>4349</v>
      </c>
    </row>
    <row r="654" spans="2:18">
      <c r="B654" s="182" t="str">
        <f t="shared" si="29"/>
        <v>maks. wymiar 1000x500mm</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Rodzaj siatky</v>
      </c>
      <c r="M656" s="133" t="s">
        <v>2286</v>
      </c>
      <c r="N656" s="133" t="s">
        <v>2287</v>
      </c>
      <c r="O656" s="133" t="s">
        <v>2288</v>
      </c>
      <c r="P656" s="133" t="s">
        <v>2289</v>
      </c>
      <c r="Q656" s="133" t="s">
        <v>2290</v>
      </c>
      <c r="R656" t="s">
        <v>4322</v>
      </c>
    </row>
    <row r="657" spans="2:18">
      <c r="B657" s="182" t="str">
        <f t="shared" si="30"/>
        <v xml:space="preserve">Nie istnieje wariant półnakładany i wpuszczany </v>
      </c>
      <c r="M657" s="133" t="s">
        <v>2370</v>
      </c>
      <c r="N657" s="133" t="s">
        <v>2370</v>
      </c>
      <c r="O657" s="133" t="s">
        <v>2371</v>
      </c>
      <c r="P657" s="133" t="s">
        <v>2372</v>
      </c>
      <c r="Q657" s="133" t="s">
        <v>2373</v>
      </c>
      <c r="R657" t="s">
        <v>4323</v>
      </c>
    </row>
    <row r="658" spans="2:18">
      <c r="B658" s="182" t="str">
        <f t="shared" si="30"/>
        <v>Szlifowanie krawędzi</v>
      </c>
      <c r="M658" s="133" t="s">
        <v>1435</v>
      </c>
      <c r="N658" s="133" t="s">
        <v>2384</v>
      </c>
      <c r="O658" s="133" t="s">
        <v>2385</v>
      </c>
      <c r="P658" s="133" t="s">
        <v>2387</v>
      </c>
      <c r="Q658" s="133" t="s">
        <v>2386</v>
      </c>
      <c r="R658" t="s">
        <v>4324</v>
      </c>
    </row>
    <row r="659" spans="2:18">
      <c r="B659" s="182" t="str">
        <f t="shared" si="30"/>
        <v>StrongLift_gorny</v>
      </c>
      <c r="M659" t="s">
        <v>2505</v>
      </c>
      <c r="N659" t="s">
        <v>2516</v>
      </c>
      <c r="O659" t="s">
        <v>2515</v>
      </c>
      <c r="P659" t="s">
        <v>2518</v>
      </c>
      <c r="Q659" t="s">
        <v>2519</v>
      </c>
      <c r="R659" t="s">
        <v>4204</v>
      </c>
    </row>
    <row r="660" spans="2:18">
      <c r="B660" s="182" t="str">
        <f t="shared" si="30"/>
        <v>StrongLift_dolny</v>
      </c>
      <c r="M660" t="s">
        <v>2506</v>
      </c>
      <c r="N660" t="s">
        <v>2517</v>
      </c>
      <c r="O660" t="s">
        <v>2520</v>
      </c>
      <c r="P660" t="s">
        <v>2521</v>
      </c>
      <c r="Q660" t="s">
        <v>2522</v>
      </c>
      <c r="R660" t="s">
        <v>4205</v>
      </c>
    </row>
    <row r="661" spans="2:18">
      <c r="B661" s="182" t="str">
        <f t="shared" si="30"/>
        <v>zawias do korpusu</v>
      </c>
      <c r="M661" s="133" t="s">
        <v>2523</v>
      </c>
      <c r="N661" s="133" t="s">
        <v>2524</v>
      </c>
      <c r="O661" s="133" t="s">
        <v>2525</v>
      </c>
      <c r="P661" s="133" t="s">
        <v>2535</v>
      </c>
      <c r="Q661" s="133" t="s">
        <v>2526</v>
      </c>
      <c r="R661" t="s">
        <v>4178</v>
      </c>
    </row>
    <row r="662" spans="2:18">
      <c r="B662" s="182" t="str">
        <f t="shared" si="30"/>
        <v>z tłumieniem</v>
      </c>
      <c r="M662" t="s">
        <v>1063</v>
      </c>
      <c r="N662" t="s">
        <v>2527</v>
      </c>
      <c r="O662" s="133" t="s">
        <v>2528</v>
      </c>
      <c r="P662" s="133" t="s">
        <v>3565</v>
      </c>
      <c r="Q662" t="s">
        <v>2529</v>
      </c>
      <c r="R662" t="s">
        <v>4177</v>
      </c>
    </row>
    <row r="663" spans="2:18">
      <c r="B663" s="182" t="str">
        <f t="shared" si="30"/>
        <v>gorny</v>
      </c>
      <c r="M663" s="175" t="s">
        <v>3012</v>
      </c>
      <c r="N663" s="175" t="s">
        <v>3013</v>
      </c>
      <c r="O663" s="133" t="s">
        <v>2530</v>
      </c>
      <c r="P663" t="s">
        <v>2532</v>
      </c>
      <c r="Q663" s="133" t="s">
        <v>2534</v>
      </c>
      <c r="R663" t="s">
        <v>4217</v>
      </c>
    </row>
    <row r="664" spans="2:18">
      <c r="B664" s="182" t="str">
        <f t="shared" si="30"/>
        <v>dolny</v>
      </c>
      <c r="M664" t="s">
        <v>425</v>
      </c>
      <c r="N664" t="s">
        <v>3014</v>
      </c>
      <c r="O664" t="s">
        <v>2531</v>
      </c>
      <c r="P664" t="s">
        <v>2533</v>
      </c>
      <c r="Q664" t="s">
        <v>1367</v>
      </c>
      <c r="R664" t="s">
        <v>4179</v>
      </c>
    </row>
    <row r="665" spans="2:18">
      <c r="B665" s="182" t="str">
        <f t="shared" si="30"/>
        <v>Wąska ALU ramka</v>
      </c>
      <c r="M665" s="175" t="s">
        <v>456</v>
      </c>
      <c r="N665" s="133" t="s">
        <v>2536</v>
      </c>
      <c r="O665" s="133" t="s">
        <v>251</v>
      </c>
      <c r="P665" s="133" t="s">
        <v>313</v>
      </c>
      <c r="Q665" s="133" t="s">
        <v>1356</v>
      </c>
      <c r="R665" t="s">
        <v>4180</v>
      </c>
    </row>
    <row r="666" spans="2:18">
      <c r="B666" s="182" t="str">
        <f t="shared" si="30"/>
        <v>Szeroka ALU ramka</v>
      </c>
      <c r="M666" s="175" t="s">
        <v>455</v>
      </c>
      <c r="N666" s="133" t="s">
        <v>455</v>
      </c>
      <c r="O666" s="133" t="s">
        <v>252</v>
      </c>
      <c r="P666" s="133" t="s">
        <v>314</v>
      </c>
      <c r="Q666" s="133" t="s">
        <v>1357</v>
      </c>
      <c r="R666" t="s">
        <v>4181</v>
      </c>
    </row>
    <row r="667" spans="2:18">
      <c r="R667"/>
    </row>
    <row r="668" spans="2:18">
      <c r="B668" s="182" t="str">
        <f t="shared" si="30"/>
        <v>Przekroczono maksymalny wymiar szkła</v>
      </c>
      <c r="M668" s="133" t="s">
        <v>2559</v>
      </c>
      <c r="N668" s="133" t="s">
        <v>2560</v>
      </c>
      <c r="O668" s="133" t="s">
        <v>2561</v>
      </c>
      <c r="P668" s="133" t="s">
        <v>2563</v>
      </c>
      <c r="Q668" s="133" t="s">
        <v>2562</v>
      </c>
      <c r="R668" t="s">
        <v>4325</v>
      </c>
    </row>
    <row r="669" spans="2:18">
      <c r="B669" s="182" t="str">
        <f t="shared" si="30"/>
        <v>przezroczystość 50%</v>
      </c>
      <c r="M669" s="133" t="s">
        <v>3037</v>
      </c>
      <c r="N669" s="133" t="s">
        <v>3039</v>
      </c>
      <c r="O669" s="133" t="s">
        <v>3041</v>
      </c>
      <c r="P669" s="133" t="s">
        <v>3043</v>
      </c>
      <c r="Q669" s="133" t="s">
        <v>3045</v>
      </c>
      <c r="R669" t="s">
        <v>4326</v>
      </c>
    </row>
    <row r="670" spans="2:18">
      <c r="B670" s="182" t="str">
        <f t="shared" si="30"/>
        <v>przezroczystość 67%</v>
      </c>
      <c r="M670" s="133" t="s">
        <v>3038</v>
      </c>
      <c r="N670" s="133" t="s">
        <v>3040</v>
      </c>
      <c r="O670" s="133" t="s">
        <v>3042</v>
      </c>
      <c r="P670" s="133" t="s">
        <v>3044</v>
      </c>
      <c r="Q670" s="133" t="s">
        <v>3046</v>
      </c>
      <c r="R670" t="s">
        <v>4109</v>
      </c>
    </row>
    <row r="671" spans="2:18">
      <c r="B671" s="182" t="str">
        <f t="shared" si="30"/>
        <v>Przy odbiorze przesyłki kupujący powinien sprawdzić towar i w przypadku stwierdzenia widocznych uszkodzeń transportowych niezwłocznie zgłosić je kurierowi, spisując protokół. W przeciwnym razie reklamacja może zostać odrzucona.</v>
      </c>
      <c r="M671" s="133" t="s">
        <v>4459</v>
      </c>
      <c r="N671" s="133" t="s">
        <v>4460</v>
      </c>
      <c r="O671" s="133" t="s">
        <v>4462</v>
      </c>
      <c r="P671" s="133" t="s">
        <v>4461</v>
      </c>
      <c r="Q671" s="133" t="s">
        <v>4463</v>
      </c>
      <c r="R671" s="133" t="s">
        <v>4464</v>
      </c>
    </row>
    <row r="680" spans="2:18">
      <c r="B680" s="182" t="str">
        <f t="shared" ref="B680:B694" si="31">IF($D$1=1,M680,IF($D$1=2,N680,IF($D$1=3,O680,IF($D$1=4,P680,IF($D$1=5,Q680,IF($D$1=6,R680,0))))))</f>
        <v>Warunki i zalecenia dotyczące prawidłowego zamawiania ramek aluminiowych.</v>
      </c>
      <c r="M680" s="1" t="s">
        <v>2600</v>
      </c>
      <c r="N680" t="s">
        <v>2601</v>
      </c>
      <c r="O680" t="s">
        <v>3584</v>
      </c>
      <c r="P680" t="s">
        <v>2602</v>
      </c>
      <c r="Q680" s="133" t="s">
        <v>2603</v>
      </c>
      <c r="R680" t="s">
        <v>4327</v>
      </c>
    </row>
    <row r="681" spans="2:18">
      <c r="B681" s="182" t="str">
        <f t="shared" si="31"/>
        <v>Ogólne zalecenia:</v>
      </c>
      <c r="M681" s="1" t="s">
        <v>2604</v>
      </c>
      <c r="N681" t="s">
        <v>2605</v>
      </c>
      <c r="O681" t="s">
        <v>2644</v>
      </c>
      <c r="P681" t="s">
        <v>2606</v>
      </c>
      <c r="Q681" s="133" t="s">
        <v>2607</v>
      </c>
      <c r="R681" t="s">
        <v>4328</v>
      </c>
    </row>
    <row r="682" spans="2:18">
      <c r="B682" s="182" t="str">
        <f t="shared" si="31"/>
        <v>Podczas wypełniania formularza wypełniaj zawsze od góry do dołu.</v>
      </c>
      <c r="M682" s="1" t="s">
        <v>2608</v>
      </c>
      <c r="N682" t="s">
        <v>2609</v>
      </c>
      <c r="O682" t="s">
        <v>3586</v>
      </c>
      <c r="P682" t="s">
        <v>2610</v>
      </c>
      <c r="Q682" s="133" t="s">
        <v>2611</v>
      </c>
      <c r="R682" t="s">
        <v>4329</v>
      </c>
    </row>
    <row r="683" spans="2:18">
      <c r="B683" s="182" t="str">
        <f t="shared" si="31"/>
        <v>Jeśli dokonasz zmiany wstecz, konieczne będzie ponowne wpisanie danych poniżej zmiany.</v>
      </c>
      <c r="M683" s="1" t="s">
        <v>2612</v>
      </c>
      <c r="N683" t="s">
        <v>2613</v>
      </c>
      <c r="O683" t="s">
        <v>3587</v>
      </c>
      <c r="P683" t="s">
        <v>2614</v>
      </c>
      <c r="Q683" s="133" t="s">
        <v>2615</v>
      </c>
      <c r="R683" t="s">
        <v>4330</v>
      </c>
    </row>
    <row r="684" spans="2:18">
      <c r="B684" s="182" t="str">
        <f t="shared" si="31"/>
        <v>Przed wysłaniem zamówienia sprawdź formularz, czy są wpisane tylko te ramki, które chcesz zamówić.</v>
      </c>
      <c r="M684" s="1" t="s">
        <v>2616</v>
      </c>
      <c r="N684" t="s">
        <v>2617</v>
      </c>
      <c r="O684" t="s">
        <v>3588</v>
      </c>
      <c r="P684" t="s">
        <v>2618</v>
      </c>
      <c r="Q684" s="133" t="s">
        <v>2619</v>
      </c>
      <c r="R684" t="s">
        <v>4331</v>
      </c>
    </row>
    <row r="685" spans="2:18">
      <c r="B685" s="182" t="str">
        <f t="shared" si="31"/>
        <v>Standardowy czas realizacji zamówienia wynosi maksymalnie trzy tygodnie. Aby uzyskać dokładniejsze informacje na temat terminu dostawy, prosimy o kontakt z pracownikami Biura Obsługi Klienta tel. 32 790 85 82.</v>
      </c>
      <c r="M685" s="1" t="s">
        <v>2620</v>
      </c>
      <c r="N685" t="s">
        <v>2621</v>
      </c>
      <c r="O685" t="s">
        <v>3597</v>
      </c>
      <c r="P685" t="s">
        <v>2622</v>
      </c>
      <c r="Q685" s="133" t="s">
        <v>2623</v>
      </c>
      <c r="R685" t="s">
        <v>4332</v>
      </c>
    </row>
    <row r="686" spans="2:18">
      <c r="B686" s="182" t="str">
        <f t="shared" si="31"/>
        <v>Praktyczne informacje:</v>
      </c>
      <c r="M686" s="1" t="s">
        <v>2624</v>
      </c>
      <c r="N686" t="s">
        <v>2625</v>
      </c>
      <c r="O686" t="s">
        <v>2645</v>
      </c>
      <c r="P686" t="s">
        <v>2626</v>
      </c>
      <c r="Q686" s="133" t="s">
        <v>2627</v>
      </c>
      <c r="R686" t="s">
        <v>4333</v>
      </c>
    </row>
    <row r="687" spans="2:18">
      <c r="B687" s="182" t="str">
        <f t="shared" si="31"/>
        <v>Dla większych wymiarów ramki niż 2500 mm zalecamy użycie szprosów, w przeciwnym razie istnieje ryzyko wygięcia profilu lub wysunięcia szkła z profilu.</v>
      </c>
      <c r="M687" s="1" t="s">
        <v>2628</v>
      </c>
      <c r="N687" t="s">
        <v>2629</v>
      </c>
      <c r="O687" t="s">
        <v>2646</v>
      </c>
      <c r="P687" t="s">
        <v>2630</v>
      </c>
      <c r="Q687" s="133" t="s">
        <v>2631</v>
      </c>
      <c r="R687" t="s">
        <v>4334</v>
      </c>
    </row>
    <row r="688" spans="2:18">
      <c r="B688" s="182" t="str">
        <f t="shared" si="31"/>
        <v>Do ramek ponadwymiarowych (ponad wymiar 1200 x 800 mm) może zostać doliczona opłata za specjalne pakowanie i transport (więcej informacji u pracowników Obsługi Klienta).</v>
      </c>
      <c r="M688" s="1" t="s">
        <v>2632</v>
      </c>
      <c r="N688" t="s">
        <v>2633</v>
      </c>
      <c r="O688" t="s">
        <v>2647</v>
      </c>
      <c r="P688" t="s">
        <v>2634</v>
      </c>
      <c r="Q688" s="133" t="s">
        <v>2635</v>
      </c>
      <c r="R688" t="s">
        <v>4335</v>
      </c>
    </row>
    <row r="689" spans="2:18">
      <c r="B689" s="182" t="str">
        <f t="shared" si="31"/>
        <v>Siatka w ramce jest standardowo ustawiona poziomo. Jeśli otwory siatki mają być ustawione pionowo, prosimy o wskazanie tego w uwagach.</v>
      </c>
      <c r="M689" s="1" t="s">
        <v>2636</v>
      </c>
      <c r="N689" t="s">
        <v>2637</v>
      </c>
      <c r="O689" t="s">
        <v>2648</v>
      </c>
      <c r="P689" t="s">
        <v>2638</v>
      </c>
      <c r="Q689" s="133" t="s">
        <v>2639</v>
      </c>
      <c r="R689" t="s">
        <v>4336</v>
      </c>
    </row>
    <row r="690" spans="2:18">
      <c r="B690" s="182" t="str">
        <f t="shared" si="31"/>
        <v>Potwierdzam, że rozumiem i akceptuję powyższe warunki i zalecenia.</v>
      </c>
      <c r="M690" s="1" t="s">
        <v>2640</v>
      </c>
      <c r="N690" t="s">
        <v>2641</v>
      </c>
      <c r="O690" t="s">
        <v>2649</v>
      </c>
      <c r="P690" t="s">
        <v>2642</v>
      </c>
      <c r="Q690" s="133" t="s">
        <v>3751</v>
      </c>
      <c r="R690" t="s">
        <v>4337</v>
      </c>
    </row>
    <row r="691" spans="2:18" ht="23.4" customHeight="1">
      <c r="B691" s="182" t="str">
        <f t="shared" si="31"/>
        <v>Wybrany rozmiar ramki nie odpowiada maksymalnym wymiarom szkła lub profilu</v>
      </c>
      <c r="M691" s="203" t="s">
        <v>3294</v>
      </c>
      <c r="N691" s="133" t="s">
        <v>3297</v>
      </c>
      <c r="O691" s="133" t="s">
        <v>3295</v>
      </c>
      <c r="P691" s="133" t="s">
        <v>3298</v>
      </c>
      <c r="Q691" s="203" t="s">
        <v>3296</v>
      </c>
      <c r="R691" s="332" t="s">
        <v>4338</v>
      </c>
    </row>
    <row r="692" spans="2:18">
      <c r="B692" s="182" t="str">
        <f t="shared" si="31"/>
        <v>Suma</v>
      </c>
      <c r="M692" s="175" t="s">
        <v>1196</v>
      </c>
      <c r="N692" s="133" t="s">
        <v>1196</v>
      </c>
      <c r="O692" s="133" t="s">
        <v>259</v>
      </c>
      <c r="P692" s="133" t="s">
        <v>3292</v>
      </c>
      <c r="Q692" s="133" t="s">
        <v>3293</v>
      </c>
      <c r="R692" t="s">
        <v>4339</v>
      </c>
    </row>
    <row r="693" spans="2:18">
      <c r="B693" s="182" t="str">
        <f t="shared" si="31"/>
        <v>Cena okuć</v>
      </c>
      <c r="M693" s="133" t="s">
        <v>3606</v>
      </c>
      <c r="N693" s="133" t="s">
        <v>3607</v>
      </c>
      <c r="O693" s="133" t="s">
        <v>212</v>
      </c>
      <c r="P693" s="133" t="s">
        <v>3608</v>
      </c>
      <c r="Q693" s="133" t="s">
        <v>1442</v>
      </c>
      <c r="R693" t="s">
        <v>4340</v>
      </c>
    </row>
    <row r="694" spans="2:18">
      <c r="B694" s="182" t="str">
        <f t="shared" si="31"/>
        <v>Kolor profilu i siatki może się różnić z powodu tolerancji w procesie produkcji.</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Rabat</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486" t="str">
        <f>'Translate&amp;Prices&amp;Logo'!$B$540</f>
        <v>Wprowadzenie</v>
      </c>
      <c r="R2" s="487"/>
      <c r="S2" s="487"/>
      <c r="T2" s="487"/>
      <c r="W2" s="6" t="b">
        <v>0</v>
      </c>
    </row>
    <row r="3" spans="1:23" ht="15" customHeight="1">
      <c r="A3" s="39"/>
      <c r="B3" s="39"/>
      <c r="C3" s="39"/>
      <c r="D3" s="39"/>
      <c r="E3" s="39"/>
      <c r="F3" s="39"/>
      <c r="G3" s="39"/>
      <c r="H3" s="39"/>
      <c r="I3" s="39"/>
      <c r="J3" s="39"/>
      <c r="K3" s="39"/>
      <c r="L3" s="39"/>
      <c r="M3" s="39"/>
      <c r="N3" s="39"/>
      <c r="O3" s="39"/>
      <c r="P3" s="15"/>
      <c r="Q3" s="486"/>
      <c r="R3" s="487"/>
      <c r="S3" s="487"/>
      <c r="T3" s="487"/>
    </row>
    <row r="4" spans="1:23" ht="14.4"/>
    <row r="5" spans="1:23" ht="21">
      <c r="B5" s="245" t="str">
        <f>'Translate&amp;Prices&amp;Logo'!B680</f>
        <v>Warunki i zalecenia dotyczące prawidłowego zamawiania ramek aluminiowych.</v>
      </c>
    </row>
    <row r="6" spans="1:23" ht="11.1" customHeight="1">
      <c r="B6" s="237"/>
    </row>
    <row r="7" spans="1:23" ht="18" customHeight="1">
      <c r="B7" s="244" t="str">
        <f>'Translate&amp;Prices&amp;Logo'!B681</f>
        <v>Ogólne zalecenia:</v>
      </c>
    </row>
    <row r="8" spans="1:23" ht="15" customHeight="1">
      <c r="B8" s="1" t="str">
        <f>'Translate&amp;Prices&amp;Logo'!$B$302</f>
        <v>Zawsze korzystaj z aktualnej wersji formularza, który jest umieszczony na naszej stronie web.</v>
      </c>
    </row>
    <row r="9" spans="1:23" ht="15" customHeight="1">
      <c r="B9" s="12" t="str">
        <f>'Translate&amp;Prices&amp;Logo'!B682</f>
        <v>Podczas wypełniania formularza wypełniaj zawsze od góry do dołu.</v>
      </c>
    </row>
    <row r="10" spans="1:23" ht="14.4">
      <c r="B10" s="12" t="str">
        <f>'Translate&amp;Prices&amp;Logo'!B683</f>
        <v>Jeśli dokonasz zmiany wstecz, konieczne będzie ponowne wpisanie danych poniżej zmiany.</v>
      </c>
      <c r="C10" s="236"/>
      <c r="D10" s="236"/>
      <c r="E10" s="236"/>
      <c r="F10" s="236"/>
      <c r="G10" s="236"/>
      <c r="H10" s="236"/>
      <c r="I10" s="236"/>
      <c r="J10" s="236"/>
      <c r="K10" s="236"/>
      <c r="L10" s="236"/>
      <c r="M10" s="236"/>
      <c r="N10" s="236"/>
      <c r="O10" s="236"/>
      <c r="P10" s="236"/>
    </row>
    <row r="11" spans="1:23" ht="14.4">
      <c r="B11" s="12" t="str">
        <f>'Translate&amp;Prices&amp;Logo'!B684</f>
        <v>Przed wysłaniem zamówienia sprawdź formularz, czy są wpisane tylko te ramki, które chcesz zamówić.</v>
      </c>
    </row>
    <row r="12" spans="1:23" ht="15" customHeight="1">
      <c r="B12" s="236" t="str">
        <f>'Translate&amp;Prices&amp;Logo'!$B$314&amp;" "&amp;'Translate&amp;Prices&amp;Logo'!$B$315</f>
        <v>Wypełniony formularz wyślij pod adres email: zamowienia@demos-trade.com</v>
      </c>
      <c r="C12" s="236"/>
      <c r="D12" s="236"/>
      <c r="E12" s="236"/>
      <c r="F12" s="236"/>
      <c r="G12" s="236"/>
      <c r="H12" s="236"/>
      <c r="I12" s="236"/>
      <c r="J12" s="236"/>
      <c r="K12" s="236"/>
      <c r="L12" s="236"/>
      <c r="M12" s="236"/>
    </row>
    <row r="13" spans="1:23" ht="30" customHeight="1">
      <c r="B13" s="576" t="str">
        <f>'Translate&amp;Prices&amp;Logo'!B685</f>
        <v>Standardowy czas realizacji zamówienia wynosi maksymalnie trzy tygodnie. Aby uzyskać dokładniejsze informacje na temat terminu dostawy, prosimy o kontakt z pracownikami Biura Obsługi Klienta tel. 32 790 85 82.</v>
      </c>
      <c r="C13" s="576"/>
      <c r="D13" s="576"/>
      <c r="E13" s="576"/>
      <c r="F13" s="576"/>
      <c r="G13" s="576"/>
      <c r="H13" s="576"/>
      <c r="I13" s="576"/>
      <c r="J13" s="576"/>
      <c r="K13" s="576"/>
      <c r="L13" s="576"/>
      <c r="M13" s="576"/>
      <c r="N13" s="576"/>
      <c r="O13" s="576"/>
      <c r="P13" s="576"/>
      <c r="Q13" s="576"/>
      <c r="R13" s="576"/>
      <c r="S13" s="576"/>
    </row>
    <row r="14" spans="1:23" ht="45.75" customHeight="1">
      <c r="B14" s="573" t="str">
        <f>'Translate&amp;Prices&amp;Logo'!B671</f>
        <v>Przy odbiorze przesyłki kupujący powinien sprawdzić towar i w przypadku stwierdzenia widocznych uszkodzeń transportowych niezwłocznie zgłosić je kurierowi, spisując protokół. W przeciwnym razie reklamacja może zostać odrzucona.</v>
      </c>
      <c r="C14" s="573"/>
      <c r="D14" s="573"/>
      <c r="E14" s="573"/>
      <c r="F14" s="573"/>
      <c r="G14" s="573"/>
      <c r="H14" s="573"/>
      <c r="I14" s="573"/>
      <c r="J14" s="573"/>
      <c r="K14" s="573"/>
      <c r="L14" s="573"/>
      <c r="M14" s="573"/>
      <c r="N14" s="573"/>
      <c r="O14" s="573"/>
      <c r="P14" s="573"/>
      <c r="Q14" s="573"/>
      <c r="R14" s="573"/>
      <c r="S14" s="573"/>
    </row>
    <row r="15" spans="1:23" ht="32.25" customHeight="1">
      <c r="B15" s="1" t="str">
        <f>'Translate&amp;Prices&amp;Logo'!$B$171</f>
        <v>Podane ceny nie zawierają podatku VAT ani nie zawierają ceny okuć!</v>
      </c>
    </row>
    <row r="16" spans="1:23" ht="46.5" customHeight="1">
      <c r="B16" s="579" t="str">
        <f>IF(Zakaznik!K23="Dostawa na adres","W przypadku wyboru DOSTAWA NA ADRES do zamówienia zostanie automatycznie doliczona opłata transportowa. Cena zależna od rozmiaru ramki. Aby zobaczyć ostateczną cenę, kliknij na Podsumowanie. ","")</f>
        <v/>
      </c>
      <c r="C16" s="579"/>
      <c r="D16" s="579"/>
      <c r="E16" s="579"/>
      <c r="F16" s="579"/>
      <c r="G16" s="579"/>
      <c r="H16" s="579"/>
      <c r="I16" s="579"/>
      <c r="J16" s="579"/>
      <c r="K16" s="579"/>
      <c r="L16" s="323"/>
      <c r="M16" s="580" t="str">
        <f>IF(Zakaznik!K23="Dostawa na adres","W przypadku wyboru DOSTAWA NA ADRES w jednym zamówieniu nie można łączyć ramki ze szkłem i bez szkła. ","")</f>
        <v/>
      </c>
      <c r="N16" s="580"/>
      <c r="O16" s="580"/>
      <c r="P16" s="580"/>
      <c r="Q16" s="580"/>
      <c r="R16" s="580"/>
      <c r="S16" s="323"/>
      <c r="T16" s="323"/>
    </row>
    <row r="17" spans="2:20" ht="21.75" customHeight="1">
      <c r="B17" s="577" t="str">
        <f>'Translate&amp;Prices&amp;Logo'!B572</f>
        <v>Ważne informacje:</v>
      </c>
      <c r="C17" s="578"/>
      <c r="D17" s="578"/>
    </row>
    <row r="18" spans="2:20" ht="15" customHeight="1">
      <c r="B18" s="1" t="str">
        <f>'Translate&amp;Prices&amp;Logo'!$B$301</f>
        <v>Do zamocowania okuć do ramki aluminiowej należy stosować specjalnie do tego przeznaczone wkręty (np. kod 13681)</v>
      </c>
    </row>
    <row r="19" spans="2:20" ht="15" customHeight="1">
      <c r="B19" s="1" t="str">
        <f>'Translate&amp;Prices&amp;Logo'!$B$331</f>
        <v>Jeśli uchwyt będzie zamocowany w wierceniach w szkle, należy zastosować podkładkę dystansową (np. kod 144516, 191970, C0315)</v>
      </c>
    </row>
    <row r="20" spans="2:20" ht="14.4"/>
    <row r="21" spans="2:20" ht="14.4">
      <c r="B21" s="1" t="str">
        <f>'Translate&amp;Prices&amp;Logo'!$B$311</f>
        <v>Maksymalny zalecany rozmiar ramki to 2500 x 1250 mm (w wypadku ramek ze szkłem wklejanym, np. Corleone 1500 x 600 mm)</v>
      </c>
    </row>
    <row r="22" spans="2:20" ht="30" customHeight="1">
      <c r="B22" s="573" t="str">
        <f>'Translate&amp;Prices&amp;Logo'!B687</f>
        <v>Dla większych wymiarów ramki niż 2500 mm zalecamy użycie szprosów, w przeciwnym razie istnieje ryzyko wygięcia profilu lub wysunięcia szkła z profilu.</v>
      </c>
      <c r="C22" s="573"/>
      <c r="D22" s="573"/>
      <c r="E22" s="573"/>
      <c r="F22" s="573"/>
      <c r="G22" s="573"/>
      <c r="H22" s="573"/>
      <c r="I22" s="573"/>
      <c r="J22" s="573"/>
      <c r="K22" s="573"/>
      <c r="L22" s="573"/>
      <c r="M22" s="573"/>
      <c r="N22" s="573"/>
      <c r="O22" s="573"/>
      <c r="P22" s="573"/>
      <c r="Q22" s="573"/>
      <c r="R22" s="573"/>
      <c r="S22" s="573"/>
      <c r="T22" s="241"/>
    </row>
    <row r="23" spans="2:20" ht="30" customHeight="1">
      <c r="B23" s="573" t="str">
        <f>'Translate&amp;Prices&amp;Logo'!$B$327</f>
        <v>Do ramek ponadgabarytowych (ponad rozmiar 1200 x 800 mm) może być doliczana opłata za specjalne zapakowanie i transport (dodatkowe informacje w Biurze Obsługi Klienta tel. 32 790 85 82)</v>
      </c>
      <c r="C23" s="573"/>
      <c r="D23" s="573"/>
      <c r="E23" s="573"/>
      <c r="F23" s="573"/>
      <c r="G23" s="573"/>
      <c r="H23" s="573"/>
      <c r="I23" s="573"/>
      <c r="J23" s="573"/>
      <c r="K23" s="573"/>
      <c r="L23" s="573"/>
      <c r="M23" s="573"/>
      <c r="N23" s="573"/>
      <c r="O23" s="573"/>
      <c r="P23" s="573"/>
      <c r="Q23" s="573"/>
      <c r="R23" s="573"/>
      <c r="S23" s="573"/>
    </row>
    <row r="24" spans="2:20" ht="14.4">
      <c r="B24" s="1" t="str">
        <f>'Translate&amp;Prices&amp;Logo'!$B$300</f>
        <v>Reklamacja nie będzie uwzględniana w przypadku, gdy ramka została już zamontowana..</v>
      </c>
    </row>
    <row r="25" spans="2:20" ht="14.4">
      <c r="B25" s="1" t="str">
        <f>'Translate&amp;Prices&amp;Logo'!$B$689</f>
        <v>Siatka w ramce jest standardowo ustawiona poziomo. Jeśli otwory siatki mają być ustawione pionowo, prosimy o wskazanie tego w uwagach.</v>
      </c>
    </row>
    <row r="26" spans="2:20" ht="14.4">
      <c r="B26" s="242" t="str">
        <f>'Translate&amp;Prices&amp;Logo'!B694</f>
        <v>Kolor profilu i siatki może się różnić z powodu tolerancji w procesie produkcji.</v>
      </c>
    </row>
    <row r="27" spans="2:20" ht="30" customHeight="1" thickBot="1">
      <c r="B27" s="244" t="str">
        <f>'Translate&amp;Prices&amp;Logo'!$B$690</f>
        <v>Potwierdzam, że rozumiem i akceptuję powyższe warunki i zalecenia.</v>
      </c>
    </row>
    <row r="28" spans="2:20" ht="14.4">
      <c r="B28" s="243"/>
      <c r="M28" s="574"/>
    </row>
    <row r="29" spans="2:20" thickBot="1">
      <c r="B29" s="243"/>
      <c r="M29" s="575"/>
    </row>
    <row r="30" spans="2:20" ht="6.75" customHeight="1"/>
    <row r="31" spans="2:20" ht="15" customHeight="1">
      <c r="B31" s="486" t="str">
        <f>"&lt;"&amp;" "&amp;'Translate&amp;Prices&amp;Logo'!$B$574</f>
        <v>&lt; Powrót</v>
      </c>
      <c r="C31" s="487"/>
      <c r="R31" s="486" t="str">
        <f>IF(W2=TRUE,(CONCATENATE('Translate&amp;Prices&amp;Logo'!$B$566," &gt;"))," ")</f>
        <v xml:space="preserve"> </v>
      </c>
      <c r="S31" s="487"/>
    </row>
    <row r="32" spans="2:20" ht="15" customHeight="1">
      <c r="B32" s="486"/>
      <c r="C32" s="487"/>
      <c r="R32" s="486"/>
      <c r="S32" s="487"/>
    </row>
    <row r="33" ht="14.4"/>
    <row r="34" ht="14.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85" workbookViewId="0">
      <selection activeCell="A97" sqref="A97:A138"/>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37.664062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W górę</v>
      </c>
      <c r="AP2" t="str">
        <f>'Translate&amp;Prices&amp;Logo'!B229</f>
        <v>W prawo</v>
      </c>
      <c r="BQ2" t="str">
        <f>'Translate&amp;Prices&amp;Logo'!$B$551</f>
        <v>Zawiasy</v>
      </c>
      <c r="BR2" t="str">
        <f>'Translate&amp;Prices&amp;Logo'!$B$552</f>
        <v>Podnośniki</v>
      </c>
      <c r="BW2" t="str">
        <f>'Translate&amp;Prices&amp;Logo'!$B$230</f>
        <v>W lewo</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W dół</v>
      </c>
      <c r="AP3" t="str">
        <f>'Translate&amp;Prices&amp;Logo'!B230</f>
        <v>W lewo</v>
      </c>
      <c r="BQ3" t="s">
        <v>984</v>
      </c>
      <c r="BR3" t="s">
        <v>954</v>
      </c>
      <c r="BW3" t="str">
        <f>'Translate&amp;Prices&amp;Logo'!$B$229</f>
        <v>W prawo</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W prawo</v>
      </c>
      <c r="BQ4" t="s">
        <v>954</v>
      </c>
      <c r="BR4" t="s">
        <v>976</v>
      </c>
      <c r="BW4" t="str">
        <f>'Translate&amp;Prices&amp;Logo'!$B$227</f>
        <v>W górę</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W lewo</v>
      </c>
      <c r="BQ5" t="s">
        <v>2440</v>
      </c>
      <c r="BR5" t="s">
        <v>2503</v>
      </c>
      <c r="BW5" t="str">
        <f>'Translate&amp;Prices&amp;Logo'!$B$228</f>
        <v>W dół</v>
      </c>
      <c r="CG5" t="s">
        <v>2573</v>
      </c>
      <c r="CH5" t="s">
        <v>2574</v>
      </c>
      <c r="CI5" t="str">
        <f>CONCATENATE("blum ",'Translate&amp;Prices&amp;Logo'!B662," 118033")</f>
        <v>blum z tłumieniem 118033</v>
      </c>
      <c r="CJ5" t="str">
        <f>CONCATENATE("blum ",'Translate&amp;Prices&amp;Logo'!B662," 12047")</f>
        <v>blum z tłumieniem 12047</v>
      </c>
      <c r="CK5" t="s">
        <v>2512</v>
      </c>
      <c r="CL5" t="s">
        <v>2513</v>
      </c>
      <c r="CM5" t="s">
        <v>2512</v>
      </c>
      <c r="CN5" t="s">
        <v>2513</v>
      </c>
      <c r="CO5" t="s">
        <v>2512</v>
      </c>
      <c r="CP5" t="s">
        <v>2513</v>
      </c>
      <c r="CQ5" t="str">
        <f>CONCATENATE("hettich ",'Translate&amp;Prices&amp;Logo'!B664," 300282")</f>
        <v>hettich dolny 300282</v>
      </c>
      <c r="CR5" t="str">
        <f>CONCATENATE("hettich ",'Translate&amp;Prices&amp;Logo'!B664," 232346")</f>
        <v>hettich dolny 232346</v>
      </c>
      <c r="CS5" t="str">
        <f>CONCATENATE("hettich ",'Translate&amp;Prices&amp;Logo'!B664," 300282")</f>
        <v>hettich dolny 300282</v>
      </c>
      <c r="CT5" t="str">
        <f>CONCATENATE("hettich ",'Translate&amp;Prices&amp;Logo'!B664," 232346")</f>
        <v>hettich dolny 232346</v>
      </c>
      <c r="CU5" t="s">
        <v>2512</v>
      </c>
      <c r="CV5" t="s">
        <v>2513</v>
      </c>
      <c r="CW5" t="s">
        <v>1076</v>
      </c>
      <c r="CX5" t="s">
        <v>1090</v>
      </c>
      <c r="CY5" t="s">
        <v>2512</v>
      </c>
      <c r="CZ5" t="s">
        <v>2513</v>
      </c>
      <c r="DA5" t="s">
        <v>1076</v>
      </c>
      <c r="DB5" t="s">
        <v>1090</v>
      </c>
      <c r="DC5" t="str">
        <f>CONCATENATE("hettich ",'Translate&amp;Prices&amp;Logo'!B664," 300282")</f>
        <v>hettich dolny 300282</v>
      </c>
      <c r="DD5" t="s">
        <v>1090</v>
      </c>
      <c r="DE5" t="str">
        <f>CONCATENATE("hettich ",'Translate&amp;Prices&amp;Logo'!B664," 300282")</f>
        <v>hettich dolny 300282</v>
      </c>
      <c r="DF5" t="s">
        <v>1090</v>
      </c>
      <c r="DG5" t="s">
        <v>2512</v>
      </c>
      <c r="DH5" t="s">
        <v>2513</v>
      </c>
      <c r="DI5" t="s">
        <v>2512</v>
      </c>
      <c r="DJ5" t="s">
        <v>2513</v>
      </c>
      <c r="DK5" t="str">
        <f>CONCATENATE("hettich ",'Translate&amp;Prices&amp;Logo'!B664," 300282")</f>
        <v>hettich dolny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z tłumieniem 12047</v>
      </c>
      <c r="CK6" t="str">
        <f>CONCATENATE("hettich ",'Translate&amp;Prices&amp;Logo'!B662," 300279")</f>
        <v>hettich z tłumieniem 300279</v>
      </c>
      <c r="CL6" t="str">
        <f>CONCATENATE("hettich ",'Translate&amp;Prices&amp;Logo'!B662," 104717")</f>
        <v>hettich z tłumieniem 104717</v>
      </c>
      <c r="CM6" t="str">
        <f>CONCATENATE("hettich ",'Translate&amp;Prices&amp;Logo'!B662," 300279")</f>
        <v>hettich z tłumieniem 300279</v>
      </c>
      <c r="CN6" t="str">
        <f>CONCATENATE("hettich ",'Translate&amp;Prices&amp;Logo'!B662," 104717")</f>
        <v>hettich z tłumieniem 104717</v>
      </c>
      <c r="CO6" t="str">
        <f>CONCATENATE("hettich ",'Translate&amp;Prices&amp;Logo'!B662," 300279")</f>
        <v>hettich z tłumieniem 300279</v>
      </c>
      <c r="CP6" t="str">
        <f>CONCATENATE("hettich ",'Translate&amp;Prices&amp;Logo'!B662," 104717")</f>
        <v>hettich z tłumieniem 104717</v>
      </c>
      <c r="CQ6" t="str">
        <f>CONCATENATE("hettich ",'Translate&amp;Prices&amp;Logo'!B663," 300279")</f>
        <v>hettich gorny 300279</v>
      </c>
      <c r="CR6" t="str">
        <f>CONCATENATE("hettich ",'Translate&amp;Prices&amp;Logo'!B663," 104717")</f>
        <v>hettich gorny 104717</v>
      </c>
      <c r="CS6" t="str">
        <f>CONCATENATE("hettich ",'Translate&amp;Prices&amp;Logo'!B663," 300279")</f>
        <v>hettich gorny 300279</v>
      </c>
      <c r="CT6" t="str">
        <f>CONCATENATE("hettich ",'Translate&amp;Prices&amp;Logo'!B663," 104717")</f>
        <v>hettich gorny 104717</v>
      </c>
      <c r="CU6" t="str">
        <f>CONCATENATE("hettich ",'Translate&amp;Prices&amp;Logo'!B662," 300279")</f>
        <v>hettich z tłumieniem 300279</v>
      </c>
      <c r="CV6" t="str">
        <f>CONCATENATE("hettich ",'Translate&amp;Prices&amp;Logo'!B662," 104717")</f>
        <v>hettich z tłumieniem 104717</v>
      </c>
      <c r="CW6" t="s">
        <v>1078</v>
      </c>
      <c r="CX6" t="s">
        <v>1084</v>
      </c>
      <c r="CY6" t="str">
        <f>CONCATENATE("hettich ",'Translate&amp;Prices&amp;Logo'!B662," 300279")</f>
        <v>hettich z tłumieniem 300279</v>
      </c>
      <c r="CZ6" t="str">
        <f>CONCATENATE("hettich ",'Translate&amp;Prices&amp;Logo'!B662," 104717")</f>
        <v>hettich z tłumieniem 104717</v>
      </c>
      <c r="DA6" t="s">
        <v>1078</v>
      </c>
      <c r="DB6" t="s">
        <v>1084</v>
      </c>
      <c r="DC6" t="str">
        <f>CONCATENATE("blum ",'Translate&amp;Prices&amp;Logo'!B664," 12106")</f>
        <v>blum dolny 12106</v>
      </c>
      <c r="DD6" t="str">
        <f>CONCATENATE("hettich ",'Translate&amp;Prices&amp;Logo'!B664," 232346")</f>
        <v>hettich dolny 232346</v>
      </c>
      <c r="DE6" t="str">
        <f>CONCATENATE("blum ",'Translate&amp;Prices&amp;Logo'!B664," 12106")</f>
        <v>blum dolny 12106</v>
      </c>
      <c r="DF6" t="str">
        <f>CONCATENATE("hettich ",'Translate&amp;Prices&amp;Logo'!B664," 232346")</f>
        <v>hettich dolny 232346</v>
      </c>
      <c r="DG6" t="s">
        <v>1333</v>
      </c>
      <c r="DH6" t="str">
        <f>CONCATENATE("hettich ",'Translate&amp;Prices&amp;Logo'!B662," 104717")</f>
        <v>hettich z tłumieniem 104717</v>
      </c>
      <c r="DI6" t="str">
        <f>CONCATENATE("hettich ",'Translate&amp;Prices&amp;Logo'!B662," 300279")</f>
        <v>hettich z tłumieniem 300279</v>
      </c>
      <c r="DJ6" t="str">
        <f>CONCATENATE("hettich ",'Translate&amp;Prices&amp;Logo'!B662," 104717")</f>
        <v>hettich z tłumieniem 104717</v>
      </c>
      <c r="DK6" t="str">
        <f>CONCATENATE("blum ",'Translate&amp;Prices&amp;Logo'!B664," 12106")</f>
        <v>blum dolny 12106</v>
      </c>
      <c r="DL6" t="str">
        <f>CONCATENATE("hettich ",'Translate&amp;Prices&amp;Logo'!B664," 232346")</f>
        <v>hettich dolny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z tłumieniem 12047</v>
      </c>
      <c r="CK7" t="s">
        <v>1058</v>
      </c>
      <c r="CL7" t="s">
        <v>1067</v>
      </c>
      <c r="CM7" t="s">
        <v>1058</v>
      </c>
      <c r="CN7" t="s">
        <v>1067</v>
      </c>
      <c r="CO7" t="s">
        <v>1058</v>
      </c>
      <c r="CP7" t="s">
        <v>1067</v>
      </c>
      <c r="CQ7" t="str">
        <f>CONCATENATE("blum ",'Translate&amp;Prices&amp;Logo'!B664," 12106")</f>
        <v>blum dolny 12106</v>
      </c>
      <c r="CR7" t="str">
        <f>CONCATENATE("blum ",'Translate&amp;Prices&amp;Logo'!B664," 12052")</f>
        <v>blum dolny 12052</v>
      </c>
      <c r="CS7" t="str">
        <f>CONCATENATE("blum ",'Translate&amp;Prices&amp;Logo'!B664," 12106")</f>
        <v>blum dolny 12106</v>
      </c>
      <c r="CT7" t="str">
        <f>CONCATENATE("blum ",'Translate&amp;Prices&amp;Logo'!B664," 12052")</f>
        <v>blum dolny 12052</v>
      </c>
      <c r="CU7" t="s">
        <v>1058</v>
      </c>
      <c r="CV7" t="s">
        <v>1067</v>
      </c>
      <c r="CW7" t="s">
        <v>4492</v>
      </c>
      <c r="CX7" t="s">
        <v>1086</v>
      </c>
      <c r="CY7" t="s">
        <v>1058</v>
      </c>
      <c r="CZ7" t="s">
        <v>1067</v>
      </c>
      <c r="DA7" t="s">
        <v>4492</v>
      </c>
      <c r="DB7" t="s">
        <v>1086</v>
      </c>
      <c r="DC7" t="str">
        <f>CONCATENATE("strong ",'Translate&amp;Prices&amp;Logo'!B664," 92584T")</f>
        <v>strong dolny 92584T</v>
      </c>
      <c r="DD7" t="str">
        <f>CONCATENATE("blum ",'Translate&amp;Prices&amp;Logo'!B664," 12052")</f>
        <v>blum dolny 12052</v>
      </c>
      <c r="DE7" t="str">
        <f>CONCATENATE("strong ",'Translate&amp;Prices&amp;Logo'!B664," 92584T")</f>
        <v>strong dolny 92584T</v>
      </c>
      <c r="DF7" t="str">
        <f>CONCATENATE("blum ",'Translate&amp;Prices&amp;Logo'!B664," 12052")</f>
        <v>blum dolny 12052</v>
      </c>
      <c r="DG7" t="s">
        <v>1058</v>
      </c>
      <c r="DH7" t="s">
        <v>1067</v>
      </c>
      <c r="DI7" t="s">
        <v>1058</v>
      </c>
      <c r="DJ7" t="s">
        <v>1067</v>
      </c>
      <c r="DK7" t="str">
        <f>CONCATENATE("strong ",'Translate&amp;Prices&amp;Logo'!B664," 92584T")</f>
        <v>strong dolny 92584T</v>
      </c>
      <c r="DL7" t="str">
        <f>CONCATENATE("blum ",'Translate&amp;Prices&amp;Logo'!B664," 12052")</f>
        <v>blum dolny 12052</v>
      </c>
      <c r="DM7" t="s">
        <v>1067</v>
      </c>
      <c r="DN7" t="s">
        <v>1058</v>
      </c>
      <c r="DO7" t="s">
        <v>1067</v>
      </c>
      <c r="DP7" t="s">
        <v>1058</v>
      </c>
      <c r="DQ7" t="s">
        <v>4493</v>
      </c>
      <c r="DR7" t="s">
        <v>2543</v>
      </c>
      <c r="DS7" t="s">
        <v>4493</v>
      </c>
      <c r="DT7" t="s">
        <v>2543</v>
      </c>
      <c r="DU7" t="s">
        <v>4494</v>
      </c>
      <c r="DV7" t="s">
        <v>3096</v>
      </c>
      <c r="DW7" t="s">
        <v>4494</v>
      </c>
      <c r="DX7" t="s">
        <v>3096</v>
      </c>
      <c r="DY7" t="s">
        <v>1058</v>
      </c>
      <c r="DZ7" t="s">
        <v>1067</v>
      </c>
      <c r="EA7" t="s">
        <v>1058</v>
      </c>
      <c r="EB7" t="s">
        <v>1067</v>
      </c>
      <c r="EC7" t="s">
        <v>1058</v>
      </c>
      <c r="ED7" t="s">
        <v>1067</v>
      </c>
      <c r="EE7" t="s">
        <v>1058</v>
      </c>
      <c r="EF7" t="s">
        <v>1067</v>
      </c>
      <c r="EG7" t="s">
        <v>4495</v>
      </c>
      <c r="EH7" t="s">
        <v>4198</v>
      </c>
      <c r="EI7" t="s">
        <v>4495</v>
      </c>
      <c r="EJ7" t="s">
        <v>4198</v>
      </c>
      <c r="EK7" t="s">
        <v>1058</v>
      </c>
      <c r="EL7" t="s">
        <v>1067</v>
      </c>
      <c r="EM7" t="s">
        <v>1058</v>
      </c>
      <c r="EN7" t="s">
        <v>1067</v>
      </c>
      <c r="EO7" t="s">
        <v>4496</v>
      </c>
      <c r="EP7" t="s">
        <v>3002</v>
      </c>
      <c r="EQ7" t="s">
        <v>4496</v>
      </c>
      <c r="ER7" t="s">
        <v>3002</v>
      </c>
      <c r="ES7" t="s">
        <v>1058</v>
      </c>
      <c r="ET7" t="s">
        <v>1067</v>
      </c>
      <c r="EU7" t="s">
        <v>1058</v>
      </c>
      <c r="EV7" t="s">
        <v>1067</v>
      </c>
      <c r="EW7" t="s">
        <v>4497</v>
      </c>
      <c r="EX7" t="s">
        <v>4233</v>
      </c>
      <c r="EY7" t="s">
        <v>4497</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z tłumieniem 12047</v>
      </c>
      <c r="CK8" t="s">
        <v>1061</v>
      </c>
      <c r="CL8" t="str">
        <f>CONCATENATE("blum ",'Translate&amp;Prices&amp;Logo'!B662," 12047")</f>
        <v>blum z tłumieniem 12047</v>
      </c>
      <c r="CM8" t="s">
        <v>1061</v>
      </c>
      <c r="CN8" t="str">
        <f>CONCATENATE("blum ",'Translate&amp;Prices&amp;Logo'!B662," 12047")</f>
        <v>blum z tłumieniem 12047</v>
      </c>
      <c r="CO8" t="s">
        <v>1061</v>
      </c>
      <c r="CP8" t="str">
        <f>CONCATENATE("blum ",'Translate&amp;Prices&amp;Logo'!B662," 12047")</f>
        <v>blum z tłumieniem 12047</v>
      </c>
      <c r="CQ8" t="str">
        <f>CONCATENATE("strong ",'Translate&amp;Prices&amp;Logo'!B664," 92584T")</f>
        <v>strong dolny 92584T</v>
      </c>
      <c r="CR8" t="str">
        <f>CONCATENATE("blum ",'Translate&amp;Prices&amp;Logo'!B663," 12047")</f>
        <v>blum gorny 12047</v>
      </c>
      <c r="CS8" t="str">
        <f>CONCATENATE("strong ",'Translate&amp;Prices&amp;Logo'!B664," 92584T")</f>
        <v>strong dolny 92584T</v>
      </c>
      <c r="CT8" t="str">
        <f>CONCATENATE("blum ",'Translate&amp;Prices&amp;Logo'!B663," 12047")</f>
        <v>blum gorny 12047</v>
      </c>
      <c r="CU8" t="s">
        <v>1061</v>
      </c>
      <c r="CV8" t="str">
        <f>CONCATENATE("blum ",'Translate&amp;Prices&amp;Logo'!B662," 12047")</f>
        <v>blum z tłumieniem 12047</v>
      </c>
      <c r="CW8" t="s">
        <v>4492</v>
      </c>
      <c r="CX8" t="s">
        <v>1088</v>
      </c>
      <c r="CY8" t="s">
        <v>1061</v>
      </c>
      <c r="CZ8" t="str">
        <f>CONCATENATE("blum ",'Translate&amp;Prices&amp;Logo'!B662," 12047")</f>
        <v>blum z tłumieniem 12047</v>
      </c>
      <c r="DA8" t="s">
        <v>4492</v>
      </c>
      <c r="DB8" t="s">
        <v>1088</v>
      </c>
      <c r="DC8" t="str">
        <f>CONCATENATE("strong ",'Translate&amp;Prices&amp;Logo'!B664," 92584T")</f>
        <v>strong dolny 92584T</v>
      </c>
      <c r="DD8" t="str">
        <f>CONCATENATE("strong ",'Translate&amp;Prices&amp;Logo'!B664," 350834")</f>
        <v>strong dolny 350834</v>
      </c>
      <c r="DE8" t="str">
        <f>CONCATENATE("strong ",'Translate&amp;Prices&amp;Logo'!B664," 92584T")</f>
        <v>strong dolny 92584T</v>
      </c>
      <c r="DF8" t="str">
        <f>CONCATENATE("strong ",'Translate&amp;Prices&amp;Logo'!B664," 350834")</f>
        <v>strong dolny 350834</v>
      </c>
      <c r="DG8" t="s">
        <v>1061</v>
      </c>
      <c r="DH8" t="str">
        <f>CONCATENATE("blum ",'Translate&amp;Prices&amp;Logo'!B662," 12047")</f>
        <v>blum z tłumieniem 12047</v>
      </c>
      <c r="DI8" t="s">
        <v>1061</v>
      </c>
      <c r="DJ8" t="str">
        <f>CONCATENATE("blum ",'Translate&amp;Prices&amp;Logo'!B662," 12047")</f>
        <v>blum z tłumieniem 12047</v>
      </c>
      <c r="DK8" t="str">
        <f>CONCATENATE("strong ",'Translate&amp;Prices&amp;Logo'!B664," 92584T")</f>
        <v>strong dolny 92584T</v>
      </c>
      <c r="DL8" t="str">
        <f>CONCATENATE("strong ",'Translate&amp;Prices&amp;Logo'!B664," 350834")</f>
        <v>strong dolny 350834</v>
      </c>
      <c r="DM8" t="s">
        <v>4368</v>
      </c>
      <c r="DN8" t="s">
        <v>1061</v>
      </c>
      <c r="DO8" t="s">
        <v>4368</v>
      </c>
      <c r="DP8" t="s">
        <v>1061</v>
      </c>
      <c r="DR8" t="s">
        <v>2544</v>
      </c>
      <c r="DS8" t="s">
        <v>4493</v>
      </c>
      <c r="DT8" t="s">
        <v>2544</v>
      </c>
      <c r="DU8" t="s">
        <v>4494</v>
      </c>
      <c r="DV8" t="s">
        <v>3097</v>
      </c>
      <c r="DW8" t="s">
        <v>4494</v>
      </c>
      <c r="DX8" t="s">
        <v>3097</v>
      </c>
      <c r="DY8" t="s">
        <v>1061</v>
      </c>
      <c r="DZ8" t="s">
        <v>2549</v>
      </c>
      <c r="EA8" t="s">
        <v>1061</v>
      </c>
      <c r="EB8" t="s">
        <v>2549</v>
      </c>
      <c r="EC8" t="s">
        <v>1061</v>
      </c>
      <c r="ED8" t="s">
        <v>4199</v>
      </c>
      <c r="EE8" t="s">
        <v>1061</v>
      </c>
      <c r="EF8" t="s">
        <v>4199</v>
      </c>
      <c r="EG8" t="s">
        <v>4495</v>
      </c>
      <c r="EH8" t="s">
        <v>4200</v>
      </c>
      <c r="EI8" t="s">
        <v>4495</v>
      </c>
      <c r="EJ8" t="s">
        <v>4200</v>
      </c>
      <c r="EK8" t="s">
        <v>1061</v>
      </c>
      <c r="EL8" t="s">
        <v>2994</v>
      </c>
      <c r="EM8" t="s">
        <v>1061</v>
      </c>
      <c r="EN8" t="s">
        <v>2994</v>
      </c>
      <c r="EO8" t="s">
        <v>4496</v>
      </c>
      <c r="EP8" t="s">
        <v>3005</v>
      </c>
      <c r="EQ8" t="s">
        <v>4496</v>
      </c>
      <c r="ER8" t="s">
        <v>3005</v>
      </c>
      <c r="ES8" t="s">
        <v>1061</v>
      </c>
      <c r="ET8" t="s">
        <v>2986</v>
      </c>
      <c r="EU8" t="s">
        <v>1061</v>
      </c>
      <c r="EV8" t="s">
        <v>2986</v>
      </c>
      <c r="EW8" t="s">
        <v>4497</v>
      </c>
      <c r="EX8" t="s">
        <v>4234</v>
      </c>
      <c r="EY8" t="s">
        <v>4497</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z tłumieniem 12047</v>
      </c>
      <c r="CK9" t="str">
        <f>CONCATENATE("strong ",'Translate&amp;Prices&amp;Logo'!B662," 92584T")</f>
        <v>strong z tłumieniem 92584T</v>
      </c>
      <c r="CL9" t="s">
        <v>1069</v>
      </c>
      <c r="CM9" t="str">
        <f>CONCATENATE("strong ",'Translate&amp;Prices&amp;Logo'!B662," 92584T")</f>
        <v>strong z tłumieniem 92584T</v>
      </c>
      <c r="CN9" t="s">
        <v>1069</v>
      </c>
      <c r="CO9" t="str">
        <f>CONCATENATE("strong ",'Translate&amp;Prices&amp;Logo'!B662," 92584T")</f>
        <v>strong z tłumieniem 92584T</v>
      </c>
      <c r="CP9" t="s">
        <v>1069</v>
      </c>
      <c r="CQ9" t="str">
        <f>CONCATENATE("strong ",'Translate&amp;Prices&amp;Logo'!B663," 92584T")</f>
        <v>strong gorny 92584T</v>
      </c>
      <c r="CR9" t="str">
        <f>CONCATENATE("strong ",'Translate&amp;Prices&amp;Logo'!B664," 350834")</f>
        <v>strong dolny 350834</v>
      </c>
      <c r="CS9" t="str">
        <f>CONCATENATE("strong ",'Translate&amp;Prices&amp;Logo'!B663," 92584T")</f>
        <v>strong gorny 92584T</v>
      </c>
      <c r="CT9" t="str">
        <f>CONCATENATE("strong ",'Translate&amp;Prices&amp;Logo'!B664," 350834")</f>
        <v>strong dolny 350834</v>
      </c>
      <c r="CU9" t="str">
        <f>CONCATENATE("strong ",'Translate&amp;Prices&amp;Logo'!B662," 92584T")</f>
        <v>strong z tłumieniem 92584T</v>
      </c>
      <c r="CV9" t="s">
        <v>1069</v>
      </c>
      <c r="CW9" t="s">
        <v>4492</v>
      </c>
      <c r="CX9" t="s">
        <v>1088</v>
      </c>
      <c r="CY9" t="str">
        <f>CONCATENATE("strong ",'Translate&amp;Prices&amp;Logo'!B662," 92584T")</f>
        <v>strong z tłumieniem 92584T</v>
      </c>
      <c r="CZ9" t="s">
        <v>1069</v>
      </c>
      <c r="DA9" t="s">
        <v>4492</v>
      </c>
      <c r="DB9" t="s">
        <v>1088</v>
      </c>
      <c r="DC9" t="str">
        <f>CONCATENATE("strong ",'Translate&amp;Prices&amp;Logo'!B664," 92584T")</f>
        <v>strong dolny 92584T</v>
      </c>
      <c r="DD9" t="str">
        <f>CONCATENATE("strong ",'Translate&amp;Prices&amp;Logo'!B664," 350834")</f>
        <v>strong dolny 350834</v>
      </c>
      <c r="DE9" t="str">
        <f>CONCATENATE("strong ",'Translate&amp;Prices&amp;Logo'!B664," 92584T")</f>
        <v>strong dolny 92584T</v>
      </c>
      <c r="DF9" t="str">
        <f>CONCATENATE("strong ",'Translate&amp;Prices&amp;Logo'!B664," 350834")</f>
        <v>strong dolny 350834</v>
      </c>
      <c r="DG9" t="s">
        <v>1337</v>
      </c>
      <c r="DH9" t="s">
        <v>1069</v>
      </c>
      <c r="DI9" t="str">
        <f>CONCATENATE("strong ",'Translate&amp;Prices&amp;Logo'!B662," 92584T")</f>
        <v>strong z tłumieniem 92584T</v>
      </c>
      <c r="DJ9" t="s">
        <v>1069</v>
      </c>
      <c r="DK9" t="str">
        <f>CONCATENATE("strong ",'Translate&amp;Prices&amp;Logo'!B664," 92584T")</f>
        <v>strong dolny 92584T</v>
      </c>
      <c r="DL9" t="str">
        <f>CONCATENATE("strong ",'Translate&amp;Prices&amp;Logo'!B664," 350834")</f>
        <v>strong dolny 350834</v>
      </c>
      <c r="DM9" t="s">
        <v>1069</v>
      </c>
      <c r="DN9" t="s">
        <v>4370</v>
      </c>
      <c r="DO9" t="s">
        <v>1069</v>
      </c>
      <c r="DP9" t="s">
        <v>4370</v>
      </c>
      <c r="DR9" t="s">
        <v>2544</v>
      </c>
      <c r="DS9" t="s">
        <v>4493</v>
      </c>
      <c r="DT9" t="s">
        <v>2544</v>
      </c>
      <c r="DU9" t="s">
        <v>4494</v>
      </c>
      <c r="DV9" t="s">
        <v>3097</v>
      </c>
      <c r="DW9" t="s">
        <v>4494</v>
      </c>
      <c r="DX9" t="s">
        <v>3097</v>
      </c>
      <c r="DY9" t="s">
        <v>2547</v>
      </c>
      <c r="DZ9" t="s">
        <v>1069</v>
      </c>
      <c r="EA9" t="s">
        <v>2547</v>
      </c>
      <c r="EB9" t="s">
        <v>1069</v>
      </c>
      <c r="EC9" t="s">
        <v>4202</v>
      </c>
      <c r="ED9" t="s">
        <v>1069</v>
      </c>
      <c r="EE9" t="s">
        <v>4202</v>
      </c>
      <c r="EF9" t="s">
        <v>1069</v>
      </c>
      <c r="EG9" t="s">
        <v>4495</v>
      </c>
      <c r="EH9" t="s">
        <v>4200</v>
      </c>
      <c r="EI9" t="s">
        <v>4495</v>
      </c>
      <c r="EJ9" t="s">
        <v>4200</v>
      </c>
      <c r="EK9" t="s">
        <v>3008</v>
      </c>
      <c r="EL9" t="s">
        <v>1069</v>
      </c>
      <c r="EM9" t="s">
        <v>3008</v>
      </c>
      <c r="EN9" t="s">
        <v>1069</v>
      </c>
      <c r="EO9" t="s">
        <v>4496</v>
      </c>
      <c r="EP9" t="s">
        <v>3005</v>
      </c>
      <c r="EQ9" t="s">
        <v>4496</v>
      </c>
      <c r="ER9" t="s">
        <v>3005</v>
      </c>
      <c r="ES9" t="s">
        <v>2990</v>
      </c>
      <c r="ET9" t="s">
        <v>1069</v>
      </c>
      <c r="EU9" t="s">
        <v>2990</v>
      </c>
      <c r="EV9" t="s">
        <v>1069</v>
      </c>
      <c r="EW9" t="s">
        <v>4497</v>
      </c>
      <c r="EX9" t="s">
        <v>4234</v>
      </c>
      <c r="EY9" t="s">
        <v>4497</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z tłumieniem 12047</v>
      </c>
      <c r="CK10" t="str">
        <f>CONCATENATE("strong ",'Translate&amp;Prices&amp;Logo'!B662," 92584T")</f>
        <v>strong z tłumieniem 92584T</v>
      </c>
      <c r="CL10" t="str">
        <f>CONCATENATE("strong ",'Translate&amp;Prices&amp;Logo'!B662," 350827")</f>
        <v>strong z tłumieniem 350827</v>
      </c>
      <c r="CM10" t="str">
        <f>CONCATENATE("strong ",'Translate&amp;Prices&amp;Logo'!B662," 92584T")</f>
        <v>strong z tłumieniem 92584T</v>
      </c>
      <c r="CN10" t="str">
        <f>CONCATENATE("strong ",'Translate&amp;Prices&amp;Logo'!B662," 350827")</f>
        <v>strong z tłumieniem 350827</v>
      </c>
      <c r="CO10" t="str">
        <f>CONCATENATE("strong ",'Translate&amp;Prices&amp;Logo'!B662," 92584T")</f>
        <v>strong z tłumieniem 92584T</v>
      </c>
      <c r="CP10" t="str">
        <f>CONCATENATE("strong ",'Translate&amp;Prices&amp;Logo'!B662," 350827")</f>
        <v>strong z tłumieniem 350827</v>
      </c>
      <c r="CQ10" t="str">
        <f>CONCATENATE("strong ",'Translate&amp;Prices&amp;Logo'!B663," 92584T")</f>
        <v>strong gorny 92584T</v>
      </c>
      <c r="CR10" t="str">
        <f>CONCATENATE("strong ",'Translate&amp;Prices&amp;Logo'!B663," 350827")</f>
        <v>strong gorny 350827</v>
      </c>
      <c r="CS10" t="str">
        <f>CONCATENATE("strong ",'Translate&amp;Prices&amp;Logo'!B663," 92584T")</f>
        <v>strong gorny 92584T</v>
      </c>
      <c r="CT10" t="str">
        <f>CONCATENATE("strong ",'Translate&amp;Prices&amp;Logo'!B663," 350827")</f>
        <v>strong gorny 350827</v>
      </c>
      <c r="CU10" t="str">
        <f>CONCATENATE("strong ",'Translate&amp;Prices&amp;Logo'!B662," 92584T")</f>
        <v>strong z tłumieniem 92584T</v>
      </c>
      <c r="CV10" t="str">
        <f>CONCATENATE("strong ",'Translate&amp;Prices&amp;Logo'!B662," 350827")</f>
        <v>strong z tłumieniem 350827</v>
      </c>
      <c r="CW10" t="s">
        <v>4492</v>
      </c>
      <c r="CX10" t="s">
        <v>1088</v>
      </c>
      <c r="CY10" t="str">
        <f>CONCATENATE("strong ",'Translate&amp;Prices&amp;Logo'!B662," 92584T")</f>
        <v>strong z tłumieniem 92584T</v>
      </c>
      <c r="CZ10" t="str">
        <f>CONCATENATE("strong ",'Translate&amp;Prices&amp;Logo'!B662," 350827")</f>
        <v>strong z tłumieniem 350827</v>
      </c>
      <c r="DA10" t="s">
        <v>4492</v>
      </c>
      <c r="DB10" t="s">
        <v>1088</v>
      </c>
      <c r="DC10" t="str">
        <f>CONCATENATE("strong ",'Translate&amp;Prices&amp;Logo'!B664," 92584T")</f>
        <v>strong dolny 92584T</v>
      </c>
      <c r="DD10" t="str">
        <f>CONCATENATE("strong ",'Translate&amp;Prices&amp;Logo'!B664," 350834")</f>
        <v>strong dolny 350834</v>
      </c>
      <c r="DE10" t="str">
        <f>CONCATENATE("strong ",'Translate&amp;Prices&amp;Logo'!B664," 92584T")</f>
        <v>strong dolny 92584T</v>
      </c>
      <c r="DF10" t="str">
        <f>CONCATENATE("strong ",'Translate&amp;Prices&amp;Logo'!B664," 350834")</f>
        <v>strong dolny 350834</v>
      </c>
      <c r="DG10" t="s">
        <v>1337</v>
      </c>
      <c r="DH10" t="str">
        <f>CONCATENATE("strong ",'Translate&amp;Prices&amp;Logo'!B662," 350827")</f>
        <v>strong z tłumieniem 350827</v>
      </c>
      <c r="DI10" t="str">
        <f>CONCATENATE("strong ",'Translate&amp;Prices&amp;Logo'!B662," 92584T")</f>
        <v>strong z tłumieniem 92584T</v>
      </c>
      <c r="DJ10" t="str">
        <f>CONCATENATE("strong ",'Translate&amp;Prices&amp;Logo'!B662," 350827")</f>
        <v>strong z tłumieniem 350827</v>
      </c>
      <c r="DK10" t="str">
        <f>CONCATENATE("strong ",'Translate&amp;Prices&amp;Logo'!B664," 92584T")</f>
        <v>strong dolny 92584T</v>
      </c>
      <c r="DL10" t="str">
        <f>CONCATENATE("strong ",'Translate&amp;Prices&amp;Logo'!B664," 350834")</f>
        <v>strong dolny 350834</v>
      </c>
      <c r="DM10" t="s">
        <v>4369</v>
      </c>
      <c r="DN10" t="s">
        <v>4370</v>
      </c>
      <c r="DO10" t="s">
        <v>4369</v>
      </c>
      <c r="DP10" t="s">
        <v>4370</v>
      </c>
      <c r="DR10" t="s">
        <v>2544</v>
      </c>
      <c r="DS10" t="s">
        <v>4493</v>
      </c>
      <c r="DT10" t="s">
        <v>2544</v>
      </c>
      <c r="DU10" t="s">
        <v>4494</v>
      </c>
      <c r="DV10" t="s">
        <v>3097</v>
      </c>
      <c r="DW10" t="s">
        <v>4494</v>
      </c>
      <c r="DX10" t="s">
        <v>3097</v>
      </c>
      <c r="DY10" t="s">
        <v>2547</v>
      </c>
      <c r="DZ10" t="s">
        <v>2550</v>
      </c>
      <c r="EA10" t="s">
        <v>2547</v>
      </c>
      <c r="EB10" t="s">
        <v>2550</v>
      </c>
      <c r="EC10" t="s">
        <v>4202</v>
      </c>
      <c r="ED10" t="s">
        <v>4203</v>
      </c>
      <c r="EE10" t="s">
        <v>4202</v>
      </c>
      <c r="EF10" t="s">
        <v>4203</v>
      </c>
      <c r="EG10" t="s">
        <v>4495</v>
      </c>
      <c r="EH10" t="s">
        <v>4200</v>
      </c>
      <c r="EI10" t="s">
        <v>4495</v>
      </c>
      <c r="EJ10" t="s">
        <v>4200</v>
      </c>
      <c r="EK10" t="s">
        <v>3008</v>
      </c>
      <c r="EL10" t="s">
        <v>3009</v>
      </c>
      <c r="EM10" t="s">
        <v>3008</v>
      </c>
      <c r="EN10" t="s">
        <v>3009</v>
      </c>
      <c r="EO10" t="s">
        <v>4496</v>
      </c>
      <c r="EP10" t="s">
        <v>3005</v>
      </c>
      <c r="EQ10" t="s">
        <v>4496</v>
      </c>
      <c r="ER10" t="s">
        <v>3005</v>
      </c>
      <c r="ES10" t="s">
        <v>2990</v>
      </c>
      <c r="ET10" t="s">
        <v>2991</v>
      </c>
      <c r="EU10" t="s">
        <v>2990</v>
      </c>
      <c r="EV10" t="s">
        <v>2991</v>
      </c>
      <c r="EW10" t="s">
        <v>4497</v>
      </c>
      <c r="EX10" t="s">
        <v>4234</v>
      </c>
      <c r="EY10" t="s">
        <v>4497</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4492</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4492</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4492</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4492</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4492</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4492</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4492</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4491</v>
      </c>
      <c r="R61" t="s">
        <v>1086</v>
      </c>
      <c r="S61" t="s">
        <v>1058</v>
      </c>
      <c r="T61" t="s">
        <v>1067</v>
      </c>
      <c r="U61" t="s">
        <v>4492</v>
      </c>
      <c r="V61" t="s">
        <v>1086</v>
      </c>
      <c r="W61" t="s">
        <v>4492</v>
      </c>
      <c r="X61" t="s">
        <v>1086</v>
      </c>
      <c r="Y61" t="s">
        <v>4492</v>
      </c>
      <c r="Z61" t="s">
        <v>1086</v>
      </c>
      <c r="AA61" t="s">
        <v>1058</v>
      </c>
      <c r="AB61" t="s">
        <v>1067</v>
      </c>
      <c r="AC61" t="s">
        <v>1058</v>
      </c>
      <c r="AD61" t="s">
        <v>1067</v>
      </c>
      <c r="AE61" t="s">
        <v>4492</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4492</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4492</v>
      </c>
      <c r="L64" s="28" t="s">
        <v>1089</v>
      </c>
      <c r="M64" s="28" t="s">
        <v>4492</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siatka alu złota - oko 10x6x1 mm</v>
      </c>
      <c r="B75" s="251" t="str">
        <f>'Translate&amp;Prices&amp;Logo'!B164</f>
        <v>siatka alu złota - oko 10x6x1 mm</v>
      </c>
      <c r="C75" s="251" t="str">
        <f>'Translate&amp;Prices&amp;Logo'!B166</f>
        <v>siatka stalowa biała - oko 8x4x1 mm</v>
      </c>
      <c r="E75" s="251"/>
      <c r="F75" s="251"/>
      <c r="G75" s="251"/>
      <c r="H75" s="251"/>
      <c r="J75" s="251"/>
    </row>
    <row r="76" spans="1:29">
      <c r="A76" s="251" t="str">
        <f>'Translate&amp;Prices&amp;Logo'!B167</f>
        <v>siatka elox - oko 10x6x1 mm</v>
      </c>
      <c r="B76" s="251" t="str">
        <f>'Translate&amp;Prices&amp;Logo'!B167</f>
        <v>siatka elox - oko 10x6x1 mm</v>
      </c>
      <c r="D76" s="251"/>
      <c r="F76" s="251"/>
      <c r="G76" s="251"/>
    </row>
    <row r="77" spans="1:29">
      <c r="B77" s="251" t="str">
        <f>'Translate&amp;Prices&amp;Logo'!B165</f>
        <v>siatka stal czarny mat RAL 9005– oko 8x4x1 mm</v>
      </c>
      <c r="D77" s="251"/>
      <c r="F77" s="251"/>
      <c r="G77" s="251"/>
    </row>
    <row r="80" spans="1:29">
      <c r="A80" t="s">
        <v>2296</v>
      </c>
      <c r="H80" s="251"/>
    </row>
    <row r="81" spans="1:9">
      <c r="A81" s="251" t="str">
        <f>'Translate&amp;Prices&amp;Logo'!$B$13</f>
        <v>BRW złota- maksymalna zalecana długość profilu 2500 mm</v>
      </c>
      <c r="B81" t="s">
        <v>3748</v>
      </c>
      <c r="C81" s="437"/>
      <c r="D81" s="437"/>
      <c r="E81" s="437"/>
      <c r="F81" s="437"/>
      <c r="G81" s="437"/>
      <c r="H81" s="437"/>
      <c r="I81" s="437"/>
    </row>
    <row r="82" spans="1:9">
      <c r="A82" s="251" t="str">
        <f>'Translate&amp;Prices&amp;Logo'!$B$6</f>
        <v>BRW (elox.) - maksymalna zalecana długość profilu 2500 mm</v>
      </c>
      <c r="B82" t="s">
        <v>3749</v>
      </c>
      <c r="C82" s="437"/>
      <c r="D82" s="438"/>
      <c r="E82" s="438"/>
      <c r="F82" s="438"/>
      <c r="G82" s="438"/>
      <c r="H82" s="438"/>
      <c r="I82" s="438"/>
    </row>
    <row r="83" spans="1:9">
      <c r="A83" s="251" t="str">
        <f>'Translate&amp;Prices&amp;Logo'!$B$12</f>
        <v>BRW Czarny matowy - maksymalna zalecana długość profilu 2500 mm</v>
      </c>
      <c r="B83" t="s">
        <v>3749</v>
      </c>
      <c r="C83" s="437"/>
      <c r="D83" s="438"/>
      <c r="E83" s="438"/>
      <c r="F83" s="438"/>
      <c r="G83" s="438"/>
      <c r="H83" s="438"/>
      <c r="I83" s="438"/>
    </row>
    <row r="84" spans="1:9">
      <c r="A84" t="str">
        <f>'Translate&amp;Prices&amp;Logo'!$B$9</f>
        <v>BRW bialy połysk RAL 9003 - maksymalna zalecana długość profilu 2500 mm</v>
      </c>
      <c r="B84" s="251" t="s">
        <v>3750</v>
      </c>
      <c r="C84" s="437"/>
      <c r="D84" s="438"/>
      <c r="E84" s="438"/>
      <c r="F84" s="438"/>
      <c r="G84" s="438"/>
      <c r="H84" s="438"/>
      <c r="I84" s="438"/>
    </row>
    <row r="85" spans="1:9">
      <c r="A85" s="251" t="str">
        <f>'Translate&amp;Prices&amp;Logo'!$B$8</f>
        <v>BRW bialy matowy RAL 9003 - maksymalna zalecana długość profilu 2500 mm</v>
      </c>
      <c r="B85" s="251" t="s">
        <v>3750</v>
      </c>
      <c r="C85" s="437"/>
      <c r="D85" s="438"/>
      <c r="E85" s="438"/>
      <c r="F85" s="438"/>
      <c r="G85" s="438"/>
      <c r="H85" s="438"/>
      <c r="I85" s="438"/>
    </row>
    <row r="86" spans="1:9">
      <c r="A86" s="252" t="str">
        <f>'Translate&amp;Prices&amp;Logo'!$B$31</f>
        <v>Vivaro złota - maksymalna zalecana zalecana długość profilu 2150 mm</v>
      </c>
      <c r="B86" t="s">
        <v>3748</v>
      </c>
      <c r="H86" s="251"/>
    </row>
    <row r="87" spans="1:9">
      <c r="A87" s="251" t="str">
        <f>'Translate&amp;Prices&amp;Logo'!$B$43</f>
        <v>Vivaro (elox.) - maksymalna zalecana zalecana długość profilu 2500 mm</v>
      </c>
      <c r="B87" t="s">
        <v>3749</v>
      </c>
      <c r="H87" s="251"/>
    </row>
    <row r="88" spans="1:9">
      <c r="A88" s="251" t="str">
        <f>'Translate&amp;Prices&amp;Logo'!$B$44</f>
        <v>Vivaro czarny matowy - maksymalna zalecana zalecana długość profilu 2500 mm</v>
      </c>
      <c r="B88" t="s">
        <v>3749</v>
      </c>
      <c r="H88" s="251"/>
    </row>
    <row r="89" spans="1:9">
      <c r="A89" s="251" t="str">
        <f>'Translate&amp;Prices&amp;Logo'!$B$47</f>
        <v>Vivaro biały matowy RAL 9003 - maksymalna zalecana zalecana długość profilu 2500 mm</v>
      </c>
      <c r="B89" s="251" t="s">
        <v>3750</v>
      </c>
      <c r="H89" s="251"/>
    </row>
    <row r="90" spans="1:9">
      <c r="A90" t="str">
        <f>'Translate&amp;Prices&amp;Logo'!$B$48</f>
        <v>Vivaro biały połysk RAL 9003 - maksymalna zalecana zalecana długość profilu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Czyste</v>
      </c>
      <c r="B96" t="str">
        <f>'Translate&amp;Prices&amp;Logo'!$B$115</f>
        <v xml:space="preserve">Lustro </v>
      </c>
      <c r="C96" t="str">
        <f>'Translate&amp;Prices&amp;Logo'!$B$99</f>
        <v>Czyste</v>
      </c>
      <c r="D96" t="str">
        <f>'Translate&amp;Prices&amp;Logo'!$B$627</f>
        <v>Nieprawidłowa kombinacja</v>
      </c>
      <c r="E96" t="str">
        <f>'Translate&amp;Prices&amp;Logo'!$B$115</f>
        <v xml:space="preserve">Lustro </v>
      </c>
      <c r="F96" t="str">
        <f>'Translate&amp;Prices&amp;Logo'!$B$115</f>
        <v xml:space="preserve">Lustro </v>
      </c>
    </row>
    <row r="97" spans="1:6">
      <c r="A97" t="str">
        <f>'Translate&amp;Prices&amp;Logo'!$B$104</f>
        <v xml:space="preserve">Satinato </v>
      </c>
      <c r="B97" t="str">
        <f>'Translate&amp;Prices&amp;Logo'!$B$116</f>
        <v xml:space="preserve">Lustro brązowe </v>
      </c>
      <c r="C97" t="str">
        <f>'Translate&amp;Prices&amp;Logo'!$B$161</f>
        <v>Optiwhite</v>
      </c>
      <c r="E97" t="str">
        <f>'Translate&amp;Prices&amp;Logo'!$B$116</f>
        <v xml:space="preserve">Lustro brązowe </v>
      </c>
      <c r="F97" t="str">
        <f>'Translate&amp;Prices&amp;Logo'!$B$116</f>
        <v xml:space="preserve">Lustro brązowe </v>
      </c>
    </row>
    <row r="98" spans="1:6">
      <c r="A98" t="str">
        <f>'Translate&amp;Prices&amp;Logo'!$B$106</f>
        <v xml:space="preserve">Satinato brązowe/Decormat Braz </v>
      </c>
      <c r="B98" t="str">
        <f>'Translate&amp;Prices&amp;Logo'!$B$117</f>
        <v xml:space="preserve">Lustro grafit </v>
      </c>
      <c r="C98" t="str">
        <f>'Translate&amp;Prices&amp;Logo'!$B$105</f>
        <v xml:space="preserve">MASTER SOFT </v>
      </c>
      <c r="E98" t="str">
        <f>'Translate&amp;Prices&amp;Logo'!$B$117</f>
        <v xml:space="preserve">Lustro grafit </v>
      </c>
      <c r="F98" t="str">
        <f>'Translate&amp;Prices&amp;Logo'!$B$117</f>
        <v xml:space="preserve">Lustro grafit </v>
      </c>
    </row>
    <row r="99" spans="1:6">
      <c r="A99" t="str">
        <f>'Translate&amp;Prices&amp;Logo'!$B$107</f>
        <v xml:space="preserve">Satinato grafit  Decormat grafit </v>
      </c>
      <c r="B99" t="str">
        <f>'Translate&amp;Prices&amp;Logo'!$B$126</f>
        <v xml:space="preserve">Lacobel RAL 1013 </v>
      </c>
      <c r="C99" t="str">
        <f>'Translate&amp;Prices&amp;Logo'!$B$118</f>
        <v xml:space="preserve">VISIOSUN poziomo </v>
      </c>
      <c r="E99" t="str">
        <f>'Translate&amp;Prices&amp;Logo'!$B$126</f>
        <v xml:space="preserve">Lacobel RAL 1013 </v>
      </c>
      <c r="F99" t="str">
        <f>'Translate&amp;Prices&amp;Logo'!$B$126</f>
        <v xml:space="preserve">Lacobel RAL 1013 </v>
      </c>
    </row>
    <row r="100" spans="1:6">
      <c r="A100" t="str">
        <f>'Translate&amp;Prices&amp;Logo'!$B$105</f>
        <v xml:space="preserve">MASTER SOFT </v>
      </c>
      <c r="B100" t="str">
        <f>'Translate&amp;Prices&amp;Logo'!$B$127</f>
        <v xml:space="preserve">Lacobel RAL 1015 </v>
      </c>
      <c r="C100" t="str">
        <f>'Translate&amp;Prices&amp;Logo'!$B$129</f>
        <v xml:space="preserve">VISIOSUN pionowo </v>
      </c>
      <c r="E100" t="str">
        <f>'Translate&amp;Prices&amp;Logo'!$B$127</f>
        <v xml:space="preserve">Lacobel RAL 1015 </v>
      </c>
      <c r="F100" t="str">
        <f>'Translate&amp;Prices&amp;Logo'!$B$127</f>
        <v xml:space="preserve">Lacobel RAL 1015 </v>
      </c>
    </row>
    <row r="101" spans="1:6">
      <c r="A101" t="str">
        <f>'Translate&amp;Prices&amp;Logo'!$B$120</f>
        <v xml:space="preserve">Master (Carre) </v>
      </c>
      <c r="B101" t="str">
        <f>'Translate&amp;Prices&amp;Logo'!$B$133</f>
        <v xml:space="preserve">Lacobel RAL 7035 </v>
      </c>
      <c r="C101" t="str">
        <f>'Translate&amp;Prices&amp;Logo'!$B$130</f>
        <v xml:space="preserve">VISIOSUN satyna pionowo </v>
      </c>
      <c r="E101" t="str">
        <f>'Translate&amp;Prices&amp;Logo'!$B$133</f>
        <v xml:space="preserve">Lacobel RAL 7035 </v>
      </c>
      <c r="F101" t="str">
        <f>'Translate&amp;Prices&amp;Logo'!$B$133</f>
        <v xml:space="preserve">Lacobel RAL 7035 </v>
      </c>
    </row>
    <row r="102" spans="1:6">
      <c r="A102" t="str">
        <f>'Translate&amp;Prices&amp;Logo'!$B$121</f>
        <v xml:space="preserve">Master  Ligne poziomo </v>
      </c>
      <c r="B102" t="str">
        <f>'Translate&amp;Prices&amp;Logo'!$B$135</f>
        <v xml:space="preserve">Lacobel RAL 9003 </v>
      </c>
      <c r="C102" t="str">
        <f>'Translate&amp;Prices&amp;Logo'!$B$131</f>
        <v xml:space="preserve">VISIOSUN satyna poziomo </v>
      </c>
      <c r="E102" t="str">
        <f>'Translate&amp;Prices&amp;Logo'!$B$135</f>
        <v xml:space="preserve">Lacobel RAL 9003 </v>
      </c>
      <c r="F102" t="str">
        <f>'Translate&amp;Prices&amp;Logo'!$B$135</f>
        <v xml:space="preserve">Lacobel RAL 9003 </v>
      </c>
    </row>
    <row r="103" spans="1:6">
      <c r="A103" t="str">
        <f>'Translate&amp;Prices&amp;Logo'!$B$125</f>
        <v xml:space="preserve">Master  Ligne pionowo </v>
      </c>
      <c r="B103" t="str">
        <f>'Translate&amp;Prices&amp;Logo'!$B$136</f>
        <v xml:space="preserve">Lacobel RAL 9005 </v>
      </c>
      <c r="C103" t="str">
        <f>'Translate&amp;Prices&amp;Logo'!$B$123</f>
        <v xml:space="preserve">FLUTES poziomo </v>
      </c>
      <c r="E103" t="str">
        <f>'Translate&amp;Prices&amp;Logo'!$B$136</f>
        <v xml:space="preserve">Lacobel RAL 9005 </v>
      </c>
      <c r="F103" t="str">
        <f>'Translate&amp;Prices&amp;Logo'!$B$136</f>
        <v xml:space="preserve">Lacobel RAL 9005 </v>
      </c>
    </row>
    <row r="104" spans="1:6">
      <c r="A104" t="str">
        <f>'Translate&amp;Prices&amp;Logo'!$B$122</f>
        <v xml:space="preserve">Master  Point </v>
      </c>
      <c r="B104" t="str">
        <f>'Translate&amp;Prices&amp;Logo'!$B$137</f>
        <v xml:space="preserve">Lacobel RAL 9006 </v>
      </c>
      <c r="C104" t="str">
        <f>'Translate&amp;Prices&amp;Logo'!$B$128</f>
        <v xml:space="preserve">FLUTES pionowo </v>
      </c>
      <c r="E104" t="str">
        <f>'Translate&amp;Prices&amp;Logo'!$B$137</f>
        <v xml:space="preserve">Lacobel RAL 9006 </v>
      </c>
      <c r="F104" t="str">
        <f>'Translate&amp;Prices&amp;Logo'!$B$137</f>
        <v xml:space="preserve">Lacobel RAL 9006 </v>
      </c>
    </row>
    <row r="105" spans="1:6">
      <c r="A105" t="str">
        <f>'Translate&amp;Prices&amp;Logo'!$B$108</f>
        <v>Masterscreen - maksymalne wymiary 2160 x 1650 mm</v>
      </c>
      <c r="B105" t="str">
        <f>'Translate&amp;Prices&amp;Logo'!$B$138</f>
        <v xml:space="preserve">Lacobel RAL 9007 </v>
      </c>
      <c r="C105" t="str">
        <f>'Translate&amp;Prices&amp;Logo'!$B$104</f>
        <v xml:space="preserve">Satinato </v>
      </c>
      <c r="E105" t="str">
        <f>'Translate&amp;Prices&amp;Logo'!$B$138</f>
        <v xml:space="preserve">Lacobel RAL 9007 </v>
      </c>
      <c r="F105" t="str">
        <f>'Translate&amp;Prices&amp;Logo'!$B$138</f>
        <v xml:space="preserve">Lacobel RAL 9007 </v>
      </c>
    </row>
    <row r="106" spans="1:6">
      <c r="A106" t="str">
        <f>'Translate&amp;Prices&amp;Logo'!$B$109</f>
        <v xml:space="preserve">Venus VG10 </v>
      </c>
      <c r="B106" t="str">
        <f>'Translate&amp;Prices&amp;Logo'!$B$139</f>
        <v xml:space="preserve">Lacobel RAL 9010 </v>
      </c>
      <c r="C106" t="str">
        <f>'Translate&amp;Prices&amp;Logo'!$B$106</f>
        <v xml:space="preserve">Satinato brązowe/Decormat Braz </v>
      </c>
      <c r="E106" t="str">
        <f>'Translate&amp;Prices&amp;Logo'!$B$139</f>
        <v xml:space="preserve">Lacobel RAL 9010 </v>
      </c>
      <c r="F106" t="str">
        <f>'Translate&amp;Prices&amp;Logo'!$B$139</f>
        <v xml:space="preserve">Lacobel RAL 9010 </v>
      </c>
    </row>
    <row r="107" spans="1:6">
      <c r="A107" t="str">
        <f>'Translate&amp;Prices&amp;Logo'!$B$110</f>
        <v>Stopsol brąz - maksymalne wymiary 2250 x 1605 mm</v>
      </c>
      <c r="B107" t="str">
        <f>'Translate&amp;Prices&amp;Logo'!$B$154</f>
        <v xml:space="preserve">Matelac RAL 9003 </v>
      </c>
      <c r="C107" t="str">
        <f>'Translate&amp;Prices&amp;Logo'!$B$107</f>
        <v xml:space="preserve">Satinato grafit  Decormat grafit </v>
      </c>
      <c r="E107" t="str">
        <f>'Translate&amp;Prices&amp;Logo'!$B$154</f>
        <v xml:space="preserve">Matelac RAL 9003 </v>
      </c>
      <c r="F107" t="str">
        <f>'Translate&amp;Prices&amp;Logo'!$B$154</f>
        <v xml:space="preserve">Matelac RAL 9003 </v>
      </c>
    </row>
    <row r="108" spans="1:6">
      <c r="A108" t="str">
        <f>'Translate&amp;Prices&amp;Logo'!$B$113</f>
        <v xml:space="preserve">Antisol brąz </v>
      </c>
      <c r="B108" t="str">
        <f>'Translate&amp;Prices&amp;Logo'!$B$155</f>
        <v xml:space="preserve">Matelac RAL 9005 </v>
      </c>
      <c r="C108" t="str">
        <f>'Translate&amp;Prices&amp;Logo'!$B$108</f>
        <v>Masterscreen - maksymalne wymiary 2160 x 1650 mm</v>
      </c>
      <c r="E108" t="str">
        <f>'Translate&amp;Prices&amp;Logo'!$B$155</f>
        <v xml:space="preserve">Matelac RAL 9005 </v>
      </c>
      <c r="F108" t="str">
        <f>'Translate&amp;Prices&amp;Logo'!$B$155</f>
        <v xml:space="preserve">Matelac RAL 9005 </v>
      </c>
    </row>
    <row r="109" spans="1:6">
      <c r="A109" t="str">
        <f>'Translate&amp;Prices&amp;Logo'!$B$114</f>
        <v xml:space="preserve">Antisol grafit </v>
      </c>
      <c r="B109" t="str">
        <f>'Translate&amp;Prices&amp;Logo'!$B$160</f>
        <v>Matelac lustro bronz</v>
      </c>
      <c r="C109" t="str">
        <f>'Translate&amp;Prices&amp;Logo'!$B$109</f>
        <v xml:space="preserve">Venus VG10 </v>
      </c>
      <c r="E109" t="str">
        <f>'Translate&amp;Prices&amp;Logo'!$B$160</f>
        <v>Matelac lustro bronz</v>
      </c>
      <c r="F109" t="str">
        <f>'Translate&amp;Prices&amp;Logo'!$B$160</f>
        <v>Matelac lustro bronz</v>
      </c>
    </row>
    <row r="110" spans="1:6">
      <c r="A110" t="str">
        <f>'Translate&amp;Prices&amp;Logo'!$B$115</f>
        <v xml:space="preserve">Lustro </v>
      </c>
      <c r="B110" t="str">
        <f>'Translate&amp;Prices&amp;Logo'!$B$162</f>
        <v>Matelac lustro grafit</v>
      </c>
      <c r="C110" t="str">
        <f>'Translate&amp;Prices&amp;Logo'!$B$110</f>
        <v>Stopsol brąz - maksymalne wymiary 2250 x 1605 mm</v>
      </c>
      <c r="E110" t="str">
        <f>'Translate&amp;Prices&amp;Logo'!$B$162</f>
        <v>Matelac lustro grafit</v>
      </c>
      <c r="F110" t="str">
        <f>'Translate&amp;Prices&amp;Logo'!$B$162</f>
        <v>Matelac lustro grafit</v>
      </c>
    </row>
    <row r="111" spans="1:6">
      <c r="A111" t="str">
        <f>'Translate&amp;Prices&amp;Logo'!$B$116</f>
        <v xml:space="preserve">Lustro brązowe </v>
      </c>
      <c r="B111" t="str">
        <f>'Translate&amp;Prices&amp;Logo'!$B$163</f>
        <v>Matelac lustro srebrny</v>
      </c>
      <c r="C111" t="str">
        <f>'Translate&amp;Prices&amp;Logo'!$B$113</f>
        <v xml:space="preserve">Antisol brąz </v>
      </c>
      <c r="E111" t="str">
        <f>'Translate&amp;Prices&amp;Logo'!$B$163</f>
        <v>Matelac lustro srebrny</v>
      </c>
      <c r="F111" t="str">
        <f>'Translate&amp;Prices&amp;Logo'!$B$163</f>
        <v>Matelac lustro srebrny</v>
      </c>
    </row>
    <row r="112" spans="1:6">
      <c r="A112" t="str">
        <f>'Translate&amp;Prices&amp;Logo'!$B$117</f>
        <v xml:space="preserve">Lustro grafit </v>
      </c>
      <c r="C112" t="str">
        <f>'Translate&amp;Prices&amp;Logo'!$B$114</f>
        <v xml:space="preserve">Antisol grafit </v>
      </c>
    </row>
    <row r="113" spans="1:3">
      <c r="A113" t="str">
        <f>'Translate&amp;Prices&amp;Logo'!$B$118</f>
        <v xml:space="preserve">VISIOSUN poziomo </v>
      </c>
      <c r="C113" t="str">
        <f>'Translate&amp;Prices&amp;Logo'!$B$119</f>
        <v>Krizet - maksymalne wymiary 2130 x 1650 mm</v>
      </c>
    </row>
    <row r="114" spans="1:3">
      <c r="A114" t="str">
        <f>'Translate&amp;Prices&amp;Logo'!$B$129</f>
        <v xml:space="preserve">VISIOSUN pionowo </v>
      </c>
      <c r="C114" t="str">
        <f>'Translate&amp;Prices&amp;Logo'!$B$120</f>
        <v xml:space="preserve">Master (Carre) </v>
      </c>
    </row>
    <row r="115" spans="1:3">
      <c r="A115" t="str">
        <f>'Translate&amp;Prices&amp;Logo'!$B$131</f>
        <v xml:space="preserve">VISIOSUN satyna poziomo </v>
      </c>
      <c r="C115" t="str">
        <f>'Translate&amp;Prices&amp;Logo'!$B$121</f>
        <v xml:space="preserve">Master  Ligne poziomo </v>
      </c>
    </row>
    <row r="116" spans="1:3">
      <c r="A116" t="str">
        <f>'Translate&amp;Prices&amp;Logo'!$B$130</f>
        <v xml:space="preserve">VISIOSUN satyna pionowo </v>
      </c>
      <c r="C116" t="str">
        <f>'Translate&amp;Prices&amp;Logo'!$B$125</f>
        <v xml:space="preserve">Master  Ligne pionowo </v>
      </c>
    </row>
    <row r="117" spans="1:3">
      <c r="A117" t="str">
        <f>'Translate&amp;Prices&amp;Logo'!$B$119</f>
        <v>Krizet - maksymalne wymiary 2130 x 1650 mm</v>
      </c>
      <c r="C117" t="str">
        <f>'Translate&amp;Prices&amp;Logo'!$B$122</f>
        <v xml:space="preserve">Master  Point </v>
      </c>
    </row>
    <row r="118" spans="1:3">
      <c r="A118" t="str">
        <f>'Translate&amp;Prices&amp;Logo'!$B$128</f>
        <v xml:space="preserve">FLUTES pionowo </v>
      </c>
      <c r="C118" t="str">
        <f>'Translate&amp;Prices&amp;Logo'!$B$140</f>
        <v xml:space="preserve">Moru brąz pionowo </v>
      </c>
    </row>
    <row r="119" spans="1:3">
      <c r="A119" t="str">
        <f>'Translate&amp;Prices&amp;Logo'!$B$123</f>
        <v xml:space="preserve">FLUTES poziomo </v>
      </c>
      <c r="C119" t="str">
        <f>'Translate&amp;Prices&amp;Logo'!$B$141</f>
        <v xml:space="preserve">Moru grafit pionowo </v>
      </c>
    </row>
    <row r="120" spans="1:3">
      <c r="A120" t="str">
        <f>'Translate&amp;Prices&amp;Logo'!$B$111</f>
        <v xml:space="preserve">Lakomat </v>
      </c>
      <c r="C120" t="str">
        <f>'Translate&amp;Prices&amp;Logo'!$B$144</f>
        <v xml:space="preserve">Moru brąz poziomo </v>
      </c>
    </row>
    <row r="121" spans="1:3">
      <c r="A121" t="str">
        <f>'Translate&amp;Prices&amp;Logo'!$B$126</f>
        <v xml:space="preserve">Lacobel RAL 1013 </v>
      </c>
      <c r="C121" t="str">
        <f>'Translate&amp;Prices&amp;Logo'!$B$145</f>
        <v xml:space="preserve">Moru grafit poziomo </v>
      </c>
    </row>
    <row r="122" spans="1:3">
      <c r="A122" t="str">
        <f>'Translate&amp;Prices&amp;Logo'!$B$127</f>
        <v xml:space="preserve">Lacobel RAL 1015 </v>
      </c>
    </row>
    <row r="123" spans="1:3">
      <c r="A123" t="str">
        <f>'Translate&amp;Prices&amp;Logo'!$B$133</f>
        <v xml:space="preserve">Lacobel RAL 7035 </v>
      </c>
    </row>
    <row r="124" spans="1:3">
      <c r="A124" t="str">
        <f>'Translate&amp;Prices&amp;Logo'!$B$135</f>
        <v xml:space="preserve">Lacobel RAL 9003 </v>
      </c>
    </row>
    <row r="125" spans="1:3">
      <c r="A125" t="str">
        <f>'Translate&amp;Prices&amp;Logo'!$B$136</f>
        <v xml:space="preserve">Lacobel RAL 9005 </v>
      </c>
    </row>
    <row r="126" spans="1:3">
      <c r="A126" t="str">
        <f>'Translate&amp;Prices&amp;Logo'!$B$137</f>
        <v xml:space="preserve">Lacobel RAL 9006 </v>
      </c>
    </row>
    <row r="127" spans="1:3">
      <c r="A127" t="str">
        <f>'Translate&amp;Prices&amp;Logo'!$B$138</f>
        <v xml:space="preserve">Lacobel RAL 9007 </v>
      </c>
    </row>
    <row r="128" spans="1:3">
      <c r="A128" t="str">
        <f>'Translate&amp;Prices&amp;Logo'!$B$139</f>
        <v xml:space="preserve">Lacobel RAL 9010 </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lustro bronz</v>
      </c>
    </row>
    <row r="132" spans="1:1">
      <c r="A132" t="str">
        <f>'Translate&amp;Prices&amp;Logo'!$B$162</f>
        <v>Matelac lustro grafit</v>
      </c>
    </row>
    <row r="133" spans="1:1">
      <c r="A133" t="str">
        <f>'Translate&amp;Prices&amp;Logo'!$B$163</f>
        <v>Matelac lustro srebrny</v>
      </c>
    </row>
    <row r="134" spans="1:1">
      <c r="A134" t="str">
        <f>'Translate&amp;Prices&amp;Logo'!$B$161</f>
        <v>Optiwhite</v>
      </c>
    </row>
    <row r="135" spans="1:1">
      <c r="A135" t="str">
        <f>'Translate&amp;Prices&amp;Logo'!$B$140</f>
        <v xml:space="preserve">Moru brąz pionowo </v>
      </c>
    </row>
    <row r="136" spans="1:1">
      <c r="A136" t="str">
        <f>'Translate&amp;Prices&amp;Logo'!$B$141</f>
        <v xml:space="preserve">Moru grafit pionowo </v>
      </c>
    </row>
    <row r="137" spans="1:1">
      <c r="A137" t="str">
        <f>'Translate&amp;Prices&amp;Logo'!$B$144</f>
        <v xml:space="preserve">Moru brąz poziomo </v>
      </c>
    </row>
    <row r="138" spans="1:1">
      <c r="A138" t="str">
        <f>'Translate&amp;Prices&amp;Logo'!$B$145</f>
        <v xml:space="preserve">Moru grafit poziomo </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4.4"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ol min="47" max="48" width="14.109375" style="138" hidden="1"/>
    <col min="49" max="49" width="33.44140625" style="112" hidden="1"/>
    <col min="50" max="55" width="14.109375" style="112" hidden="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"&amp;1</f>
        <v>Ramka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Wprowadzenie</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IFERROR(IF(kombinace_1!FC2=TRUE,'Translate&amp;Prices&amp;Logo'!B654,IF(VLOOKUP(H8,kombinace_1!$A:$E,5,0)=3,'Translate&amp;Prices&amp;Logo'!B642,"")),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Ramka  1</v>
      </c>
      <c r="C5" s="634"/>
      <c r="D5" s="634"/>
      <c r="E5" s="106"/>
      <c r="F5" s="634" t="str">
        <f>'Translate&amp;Prices&amp;Logo'!$B$169&amp;" "&amp;" "&amp;2</f>
        <v>Ramka  2</v>
      </c>
      <c r="G5" s="634"/>
      <c r="H5" s="634"/>
      <c r="I5" s="9"/>
      <c r="J5" s="634" t="str">
        <f>'Translate&amp;Prices&amp;Logo'!$B$169&amp;" "&amp;" "&amp;3</f>
        <v>Ramka  3</v>
      </c>
      <c r="K5" s="634"/>
      <c r="L5" s="634"/>
      <c r="M5" s="9"/>
      <c r="N5" s="634" t="str">
        <f>'Translate&amp;Prices&amp;Logo'!$B$169&amp;" "&amp;" "&amp;4</f>
        <v>Ramka  4</v>
      </c>
      <c r="O5" s="634"/>
      <c r="P5" s="634"/>
      <c r="Q5" s="9"/>
      <c r="R5" s="634" t="str">
        <f>'Translate&amp;Prices&amp;Logo'!$B$169&amp;" "&amp;" "&amp;5</f>
        <v>Ramka  5</v>
      </c>
      <c r="S5" s="634"/>
      <c r="T5" s="634"/>
      <c r="U5" s="9"/>
      <c r="V5" s="634" t="str">
        <f>'Translate&amp;Prices&amp;Logo'!$B$169&amp;" "&amp;" "&amp;6</f>
        <v>Ramka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Połączenie 2 profili</v>
      </c>
      <c r="C7" s="667"/>
      <c r="D7" s="667"/>
      <c r="E7" s="667"/>
      <c r="F7" s="667"/>
      <c r="G7" s="616" t="str">
        <f>IF(kombinace_1!FC2=TRUE,AB4,"")</f>
        <v/>
      </c>
      <c r="H7" s="616"/>
      <c r="I7" s="616"/>
      <c r="J7" s="616"/>
      <c r="K7" s="616"/>
      <c r="L7" s="616"/>
      <c r="M7" s="616"/>
      <c r="N7" s="616"/>
      <c r="O7" s="616"/>
      <c r="P7" s="616"/>
      <c r="Q7" s="617"/>
      <c r="R7" s="231"/>
      <c r="S7" s="602" t="str">
        <f>'Translate&amp;Prices&amp;Logo'!$B$572</f>
        <v>Ważne informacje:</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Wypełnienie z siatki</v>
      </c>
      <c r="C8" s="224"/>
      <c r="D8" s="224"/>
      <c r="E8" s="225" t="str">
        <f>'Translate&amp;Prices&amp;Logo'!$B$172</f>
        <v>Rodzaj profilu</v>
      </c>
      <c r="F8" s="225"/>
      <c r="G8" s="230"/>
      <c r="H8" s="668"/>
      <c r="I8" s="668"/>
      <c r="J8" s="668"/>
      <c r="K8" s="668"/>
      <c r="L8" s="668"/>
      <c r="M8" s="668"/>
      <c r="N8" s="668"/>
      <c r="O8" s="668"/>
      <c r="P8" s="668"/>
      <c r="Q8" s="669"/>
      <c r="R8" s="232"/>
      <c r="S8" s="653">
        <f>IF(AU10&gt;0,'Translate&amp;Prices&amp;Logo'!B303,IF(H8=kombinace_1!A59,'Translate&amp;Prices&amp;Logo'!B580,0))</f>
        <v>0</v>
      </c>
      <c r="T8" s="654"/>
      <c r="U8" s="654"/>
      <c r="V8" s="654"/>
      <c r="W8" s="654"/>
      <c r="X8" s="654"/>
      <c r="Y8" s="655"/>
      <c r="Z8" s="80"/>
      <c r="AA8" s="76"/>
      <c r="AB8" s="9"/>
      <c r="AC8" s="584" t="str">
        <f>'Translate&amp;Prices&amp;Logo'!$B$242</f>
        <v>Odległość od lewej krawędzi</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IFERROR(IF(AND(VLOOKUP(H8,kombinace_1!$A:$D,4,0)=1,kombinace_1!FC2=FALSE),'Translate&amp;Prices&amp;Logo'!$B$543,0),0)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Rozstaw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80</v>
      </c>
      <c r="AE10" s="592" t="str">
        <f>'Translate&amp;Prices&amp;Logo'!$B$637</f>
        <v>Odległość od górnej krawędzi</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642" t="str">
        <f>('Translate&amp;Prices&amp;Logo'!$B$543)&amp;" "&amp;"("&amp;'Translate&amp;Prices&amp;Logo'!$B$174&amp;")"</f>
        <v>Szprosy (Ilość sztuk)</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85" t="str">
        <f>'Translate&amp;Prices&amp;Logo'!$B$258</f>
        <v>Typ okucia</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Marka okucia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Rozstaw  mm</v>
      </c>
      <c r="AE14" s="592"/>
      <c r="AF14" s="9"/>
      <c r="AG14" s="9"/>
      <c r="AH14" s="9"/>
      <c r="AI14" s="60"/>
      <c r="AJ14" s="61"/>
      <c r="AK14" s="9"/>
      <c r="AL14" s="9"/>
      <c r="AM14" s="629" t="str">
        <f>('Translate&amp;Prices&amp;Logo'!$B$548)&amp;" "&amp;H26&amp;" "&amp;"mm"</f>
        <v>Rozstaw  mm</v>
      </c>
      <c r="AN14" s="9"/>
      <c r="AO14" s="81"/>
      <c r="AP14" s="74"/>
      <c r="AQ14" s="314"/>
      <c r="AR14" s="676"/>
      <c r="AS14" s="9"/>
      <c r="AT14" s="146"/>
      <c r="AU14" s="140"/>
      <c r="AV14" s="140"/>
      <c r="AW14" s="165" t="s">
        <v>2201</v>
      </c>
    </row>
    <row r="15" spans="1:65" ht="18" customHeight="1" thickBot="1">
      <c r="A15" s="61"/>
      <c r="B15" s="585" t="str">
        <f>'Translate&amp;Prices&amp;Logo'!$B$545</f>
        <v>Wariant okucia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IF(H15=kombinace_1!AB40,'Translate&amp;Prices&amp;Logo'!$B$224,IF(H15=kombinace_1!AB41,'Translate&amp;Prices&amp;Logo'!$B$224,IF(H12='závěsy dle výklopu'!BQ2,'Translate&amp;Prices&amp;Logo'!$B$222,'Translate&amp;Prices&amp;Logo'!$B$218)))</f>
        <v>Wybierz pozycję ramki</v>
      </c>
      <c r="C16" s="641"/>
      <c r="D16" s="641"/>
      <c r="E16" s="641"/>
      <c r="F16" s="639" t="s">
        <v>3287</v>
      </c>
      <c r="G16" s="639"/>
      <c r="H16" s="639"/>
      <c r="I16" s="639"/>
      <c r="J16" s="659" t="str">
        <f>IF(OR(H15=kombinace_1!AB40,H15=kombinace_1!AB7,H15=kombinace_1!AB15,H15=kombinace_1!AB20,H15=kombinace_1!AB21,H15=kombinace_1!AB22),'Translate&amp;Prices&amp;Logo'!$B$226,IF(H15=kombinace_1!AB41,'Translate&amp;Prices&amp;Logo'!$B$226,'Translate&amp;Prices&amp;Logo'!$B$232))</f>
        <v>Rodzaj drugiej ramki</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IF(H12='Translate&amp;Prices&amp;Logo'!B551,'Translate&amp;Prices&amp;Logo'!B238,IF(H15=kombinace_1!AB8,'Translate&amp;Prices&amp;Logo'!B284,0))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85">
        <f>IFERROR(IF(VLOOKUP(H15,kombinace_1!CD:CE,2,0)=1,'Translate&amp;Prices&amp;Logo'!$B$547,0),0)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IFERROR(IF(H12='Translate&amp;Prices&amp;Logo'!B551,'Translate&amp;Prices&amp;Logo'!$B$223,IF(VLOOKUP(H15,kombinace_1!CD:CE,2,0)=1,'Translate&amp;Prices&amp;Logo'!$B$223,)),0)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50</v>
      </c>
      <c r="AC19" s="620"/>
      <c r="AD19" s="646"/>
      <c r="AE19" s="9"/>
      <c r="AF19" s="9"/>
      <c r="AG19" s="9"/>
      <c r="AH19" s="9"/>
      <c r="AI19" s="157"/>
      <c r="AJ19" s="61"/>
      <c r="AK19" s="9"/>
      <c r="AL19" s="627" t="str">
        <f>'Translate&amp;Prices&amp;Logo'!$B$636</f>
        <v>Odległość od dolnej krawędzi</v>
      </c>
      <c r="AM19" s="629"/>
      <c r="AN19" s="620">
        <v>0</v>
      </c>
      <c r="AO19" s="620"/>
      <c r="AP19" s="76"/>
      <c r="AQ19" s="314"/>
      <c r="AR19" s="675" t="str">
        <f>'Translate&amp;Prices&amp;Logo'!$B$176</f>
        <v>Wysokość</v>
      </c>
      <c r="AS19" s="9"/>
      <c r="AT19" s="146"/>
      <c r="AU19" s="138">
        <f>IFERROR(IF(H12='závěsy dle výklopu'!BR2,VLOOKUP(H15,kombinace_1!$CD$3:$CF$18,3,0),IF(H12='závěsy dle výklopu'!BQ2,1,0)),0)</f>
        <v>0</v>
      </c>
      <c r="AV19" s="140">
        <f>IFERROR(VLOOKUP(H15,kombinace_1!$CD:$CF,3,0),0)</f>
        <v>0</v>
      </c>
    </row>
    <row r="20" spans="1:52" ht="18" customHeight="1">
      <c r="A20" s="61"/>
      <c r="B20" s="644">
        <f>IF(H13&lt;&gt;"Salice",(IFERROR('Translate&amp;Prices&amp;Logo'!$B$242&amp;" "&amp;(VLOOKUP(H17,kombinace_1!$BY$32:$CA$35,2,0)),0)),0)</f>
        <v>0</v>
      </c>
      <c r="C20" s="583"/>
      <c r="D20" s="583"/>
      <c r="E20" s="583"/>
      <c r="F20" s="638">
        <v>100</v>
      </c>
      <c r="G20" s="638"/>
      <c r="H20" s="638"/>
      <c r="I20" s="638"/>
      <c r="J20" s="583">
        <f>IFERROR('Translate&amp;Prices&amp;Logo'!$B$242&amp;" "&amp;(VLOOKUP(H17,kombinace_1!$BY$32:$CA$35,3,0)),0)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IF(kombinace_1!FC2=FALSE,'Translate&amp;Prices&amp;Logo'!$B$173," ")</f>
        <v>Rodzaj szkła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Nie zmieniaj po wybraniu rodzaj szkła/siatka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VLOOKUP(H17,kombinace_1!$BY$3:$BZ$6,2,0)</f>
        <v>#N/A</v>
      </c>
      <c r="AV23" s="140"/>
    </row>
    <row r="24" spans="1:52" ht="18" customHeight="1">
      <c r="A24" s="61"/>
      <c r="B24" s="614" t="str">
        <f>'Translate&amp;Prices&amp;Logo'!$B$562</f>
        <v>Rodzaj folii</v>
      </c>
      <c r="C24" s="615"/>
      <c r="D24" s="615"/>
      <c r="E24" s="615"/>
      <c r="F24" s="615"/>
      <c r="G24" s="98"/>
      <c r="H24" s="631"/>
      <c r="I24" s="631"/>
      <c r="J24" s="631"/>
      <c r="K24" s="631"/>
      <c r="L24" s="631"/>
      <c r="M24" s="631"/>
      <c r="N24" s="631"/>
      <c r="O24" s="631"/>
      <c r="P24" s="631"/>
      <c r="Q24" s="632"/>
      <c r="R24" s="61"/>
      <c r="S24" s="602" t="str">
        <f>'Translate&amp;Prices&amp;Logo'!$B$177</f>
        <v>Uwagi (notatki)</v>
      </c>
      <c r="T24" s="602"/>
      <c r="U24" s="602"/>
      <c r="Z24" s="80"/>
      <c r="AA24" s="78"/>
      <c r="AB24" s="79"/>
      <c r="AC24" s="584" t="str">
        <f>'Translate&amp;Prices&amp;Logo'!$B$242</f>
        <v>Odległość od lewej krawędzi</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Rodzaj szkła/siatka</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Rozstaw  mm</v>
      </c>
      <c r="AG25" s="630"/>
      <c r="AH25" s="630"/>
      <c r="AI25" s="630"/>
      <c r="AJ25" s="630"/>
      <c r="AK25" s="630"/>
      <c r="AL25" s="627"/>
      <c r="AM25" s="628"/>
      <c r="AN25" s="9"/>
      <c r="AO25" s="80"/>
      <c r="AP25" s="83"/>
      <c r="AQ25" s="314"/>
      <c r="AR25" s="9"/>
      <c r="AS25" s="9"/>
      <c r="AT25" s="146"/>
      <c r="AU25" s="140" t="e">
        <f>VLOOKUP(H27,kombinace_1!$BY3:$BZ6,2,0)</f>
        <v>#N/A</v>
      </c>
      <c r="AV25" s="140"/>
    </row>
    <row r="26" spans="1:52" ht="18" customHeight="1">
      <c r="A26" s="61"/>
      <c r="B26" s="585" t="str">
        <f>'Translate&amp;Prices&amp;Logo'!$B$549</f>
        <v>Rozstaw uchwytu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Umieszczenie uchwytu</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Ilość sztuk</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VLOOKUP(H14,kombinace_1!$DN$7:$DO$24,2,0)</f>
        <v>#N/A</v>
      </c>
      <c r="AB29" s="626">
        <f>IF(kombinace_1!FC2=TRUE,AB4,IF(H12='závěsy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ramek</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zl</v>
      </c>
      <c r="Q30" s="604"/>
      <c r="R30" s="61"/>
      <c r="S30" s="596"/>
      <c r="T30" s="597"/>
      <c r="U30" s="597"/>
      <c r="V30" s="597"/>
      <c r="W30" s="597"/>
      <c r="X30" s="597"/>
      <c r="Y30" s="598"/>
      <c r="Z30" s="9"/>
      <c r="AA30" s="9"/>
      <c r="AB30" s="61"/>
      <c r="AC30" s="9"/>
      <c r="AD30" s="9"/>
      <c r="AE30" s="9"/>
      <c r="AF30" s="625" t="str">
        <f>'Translate&amp;Prices&amp;Logo'!$B$175</f>
        <v>Szerokość</v>
      </c>
      <c r="AG30" s="625"/>
      <c r="AH30" s="625"/>
      <c r="AI30" s="618"/>
      <c r="AJ30" s="618"/>
      <c r="AK30" s="618"/>
      <c r="AL30" s="9"/>
      <c r="AM30" s="9"/>
      <c r="AN30" s="9"/>
      <c r="AO30" s="9"/>
      <c r="AP30" s="9"/>
      <c r="AQ30" s="9"/>
      <c r="AR30" s="9"/>
      <c r="AS30" s="9"/>
      <c r="AT30" s="146"/>
      <c r="AU30" s="138" t="e">
        <f>HLOOKUP("_Úzký_dolny_K12",kombinace_1!CV2:CW19,3,FALSE)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Podsumowanie</v>
      </c>
      <c r="AP31" s="674"/>
      <c r="AQ31" s="674"/>
      <c r="AR31" s="674"/>
      <c r="AS31" s="9"/>
      <c r="AT31" s="146"/>
      <c r="AU31" s="138" t="e">
        <f>AD44</f>
        <v>#N/A</v>
      </c>
    </row>
    <row r="32" spans="1:52" ht="17.25" customHeight="1">
      <c r="A32" s="61"/>
      <c r="B32" s="635" t="str">
        <f>'Translate&amp;Prices&amp;Logo'!$B$171</f>
        <v>Podane ceny nie zawierają podatku VAT ani nie zawierają ceny okuć!</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Ramki aluminiowe bez szkła dostarczane są w stanie rozmontowanym.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maksymalna zalecana długość profilu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Zawiasy</v>
      </c>
      <c r="M36" s="157" t="str">
        <v>Podnośniki</v>
      </c>
      <c r="P36" s="157" t="str" cm="1">
        <f t="array" ref="P36:P38">IF(H13=kombinace_1!BQ11,kombinace_1!$DN$2,kombinace_1!$DN$2:$DN$4)</f>
        <v>Nakładany</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bialy matowy RAL 9003 - maksymalna zalecana długość profilu 2500 mm</v>
      </c>
      <c r="P37" s="157" t="e">
        <v>#N/A</v>
      </c>
      <c r="T37" s="157">
        <f ca="1"/>
        <v>0</v>
      </c>
      <c r="W37" s="157" t="str" cm="1">
        <f t="array" ref="W37">IF(Hlavní!$V$39=3,"",'Translate&amp;Prices&amp;Logo'!B556:B557)</f>
        <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bialy połysk RAL 9003 - maksymalna zalecana długość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szczotkowany - maksymalna zalecana długość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Czarny matowy - maksymalna zalecana długość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czarna szczotka - maksymalna zalecana długość profilu 2500 mm</v>
      </c>
      <c r="L41" s="157" t="str">
        <v xml:space="preserve">Kesseböhmer </v>
      </c>
      <c r="T41" s="157">
        <f ca="1"/>
        <v>0</v>
      </c>
      <c r="U41" s="157">
        <f>IF(Hlavní!$V$39=3,1,2)</f>
        <v>1</v>
      </c>
      <c r="AE41" s="157">
        <f>AF41</f>
        <v>0</v>
      </c>
      <c r="AH41" s="281"/>
      <c r="AI41" s="282" t="s">
        <v>3552</v>
      </c>
      <c r="AJ41" s="282" t="s">
        <v>3553</v>
      </c>
      <c r="AS41" s="157" t="s">
        <v>1198</v>
      </c>
      <c r="AW41" s="255"/>
      <c r="AX41" s="255"/>
      <c r="AY41" s="255"/>
    </row>
    <row r="42" spans="1:58" s="157" customFormat="1" ht="18.600000000000001" hidden="1" customHeight="1">
      <c r="A42" s="140"/>
      <c r="B42" s="157" t="str">
        <v>BRW acier grata - maksymalna zalecana długość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antracyt RAL 7021 - maksymalna zalecana długość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maksymalna zalecana długość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maksymalna zalecana długość profilu 2500 mm</v>
      </c>
      <c r="M45" s="157" t="s">
        <v>2500</v>
      </c>
      <c r="N45" s="157" t="s">
        <v>1039</v>
      </c>
      <c r="AS45" s="133"/>
      <c r="AW45" s="255"/>
      <c r="AX45" s="255"/>
      <c r="AY45" s="255"/>
    </row>
    <row r="46" spans="1:58" s="157" customFormat="1" ht="14.85" hidden="1" customHeight="1">
      <c r="A46" s="140"/>
      <c r="B46" s="157" t="str">
        <v>BRW brąz - maksymalna zalecana długość profilu 2500 mm</v>
      </c>
      <c r="M46" s="157" t="s">
        <v>4351</v>
      </c>
    </row>
    <row r="47" spans="1:58" s="157" customFormat="1" ht="14.85" hidden="1" customHeight="1">
      <c r="A47" s="140"/>
      <c r="B47" s="157" t="str">
        <v>BRW INOX (stal nierdzewna) - maksymalna zalecana długość profilu 2500 mm</v>
      </c>
      <c r="M47" s="157" t="s">
        <v>4352</v>
      </c>
      <c r="T47" s="157" t="str">
        <f>CONCATENATE(H13,"_",VLOOKUP(kombinace_1!H1,kombinace_1!$J$14:$K$15,2,0))</f>
        <v>_2</v>
      </c>
      <c r="AD47" s="157" t="s">
        <v>4350</v>
      </c>
      <c r="AI47" s="112"/>
      <c r="AJ47" s="277"/>
      <c r="AN47" s="670"/>
      <c r="AO47" s="670"/>
      <c r="AP47" s="670"/>
      <c r="AQ47" s="670"/>
    </row>
    <row r="48" spans="1:58" s="157" customFormat="1" ht="14.85" hidden="1" customHeight="1">
      <c r="A48" s="140"/>
      <c r="B48" s="157" t="str">
        <v>BRW kaszmirowy - maksymalna zalecana długość profilu 2500 mm</v>
      </c>
      <c r="T48" s="157" t="e">
        <f>VLOOKUP(AD42,kombinace_1!ER1:ES120,2,0)</f>
        <v>#N/A</v>
      </c>
      <c r="AS48"/>
      <c r="AT48"/>
    </row>
    <row r="49" spans="1:46" s="157" customFormat="1" ht="14.85" hidden="1" customHeight="1">
      <c r="A49" s="140"/>
      <c r="B49" s="157" t="str">
        <v>BRW złota- maksymalna zalecana długość profilu 2500 mm</v>
      </c>
      <c r="AS49"/>
      <c r="AT49"/>
    </row>
    <row r="50" spans="1:46" s="157" customFormat="1" ht="14.85" hidden="1" customHeight="1">
      <c r="A50" s="140"/>
      <c r="B50" s="157" t="str">
        <v>BRW złota szczotkowany - maksymalna zalecana zalecana długość profilu 2500 mm</v>
      </c>
      <c r="AS50"/>
      <c r="AT50"/>
    </row>
    <row r="51" spans="1:46" s="157" customFormat="1" ht="14.85" hidden="1" customHeight="1">
      <c r="A51" s="140"/>
      <c r="B51" s="157" t="str">
        <v>Corleone (elox.)- maksymalna zalecana długość profilu 1500 mm</v>
      </c>
      <c r="AS51"/>
      <c r="AT51"/>
    </row>
    <row r="52" spans="1:46" s="157" customFormat="1" ht="14.85" hidden="1" customHeight="1">
      <c r="A52" s="140"/>
      <c r="B52" s="157" t="str">
        <v>Corleone czarny matowy - maksymalna zalecana długość profilu 1500 mm</v>
      </c>
      <c r="AS52"/>
      <c r="AT52"/>
    </row>
    <row r="53" spans="1:46" s="157" customFormat="1" ht="14.85" hidden="1" customHeight="1">
      <c r="A53" s="140"/>
      <c r="B53" s="157" t="str">
        <v>ASTI  czarne  - maksymalna zalecana długość profilu 2150</v>
      </c>
      <c r="AS53"/>
      <c r="AT53"/>
    </row>
    <row r="54" spans="1:46" s="157" customFormat="1" ht="14.85" hidden="1" customHeight="1">
      <c r="A54" s="140"/>
      <c r="B54" s="157" t="str">
        <v>ASTI  antracyt mat RAL 7021 mat lakier - maksymalna zalecana długość profilu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Wąska ALU ramka</v>
      </c>
      <c r="T54" s="157" t="str">
        <f t="array" ref="T54:T56">kombinace_1!$EN$3:$EN$5</f>
        <v>Bez modyfikacji</v>
      </c>
      <c r="U54" s="157">
        <v>1</v>
      </c>
      <c r="X54" s="157" t="str">
        <f t="array" ref="X54:X56">kombinace_1!$X$3:$X$5</f>
        <v>transparentna</v>
      </c>
      <c r="AD54" s="157" t="e" cm="1">
        <f t="array" aca="1" ref="AD54" ca="1">IF(kombinace_1!FC2=FALSE,
INDIRECT(kombinace_1!S1),
IF(kombinace_1!FC2=TRUE,INDIRECT(VLOOKUP(Ram_1!H8,'závěsy dle výklopu'!A81:B90,2,0)),0))</f>
        <v>#N/A</v>
      </c>
      <c r="AS54"/>
      <c r="AT54"/>
    </row>
    <row r="55" spans="1:46" s="157" customFormat="1" ht="14.85" hidden="1" customHeight="1">
      <c r="A55" s="140"/>
      <c r="B55" s="157" t="str">
        <v>Imola (elox.) - maksymalna zalecana długość profilu 2500 mm</v>
      </c>
      <c r="K55" s="157" t="str">
        <v>Szeroka ALU ramka</v>
      </c>
      <c r="T55" s="157" t="str">
        <v>Hartowane (termin dostawy 4 tygodnie)</v>
      </c>
      <c r="U55" s="157">
        <v>2</v>
      </c>
      <c r="X55" s="157" t="str">
        <v>Biała</v>
      </c>
      <c r="AS55"/>
      <c r="AT55"/>
    </row>
    <row r="56" spans="1:46" s="157" customFormat="1" ht="14.85" hidden="1" customHeight="1">
      <c r="A56" s="140"/>
      <c r="B56" s="157" t="str">
        <v>Imola Czarny matowy - maksymalna zalecana długość profilu 2500 mm</v>
      </c>
      <c r="K56" s="157" t="str">
        <v>MDF grubość 16mm</v>
      </c>
      <c r="T56" s="157" t="str">
        <v>Folia</v>
      </c>
      <c r="U56" s="157">
        <v>3</v>
      </c>
      <c r="X56" s="157" t="str">
        <v>czarna</v>
      </c>
    </row>
    <row r="57" spans="1:46" s="157" customFormat="1" ht="14.85" hidden="1" customHeight="1">
      <c r="A57" s="140"/>
      <c r="B57" s="157" t="str">
        <v>Imola bialy matowy RAL 9003 - maksymalna zalecana długość profilu 2500 mm</v>
      </c>
      <c r="K57" s="157" t="str">
        <v>MDF grubość 18mm</v>
      </c>
    </row>
    <row r="58" spans="1:46" s="157" customFormat="1" ht="14.85" hidden="1" customHeight="1">
      <c r="A58" s="140"/>
      <c r="B58" s="157" t="str">
        <v>Imola złota - maksymalna zalecana zalecana długość profilu 2150 mm</v>
      </c>
      <c r="K58" s="157" t="str">
        <v>Płyta melaminowana grubość 18mm</v>
      </c>
    </row>
    <row r="59" spans="1:46" s="157" customFormat="1" ht="14.85" hidden="1" customHeight="1">
      <c r="A59" s="140"/>
      <c r="B59" s="157" t="str">
        <v>Modena (elox.) - maksymalna zalecana długość profilu 2500 mm</v>
      </c>
      <c r="T59" s="157">
        <f>IFERROR(VLOOKUP($H$21,$T$54:$U$56,2,0),0)</f>
        <v>0</v>
      </c>
    </row>
    <row r="60" spans="1:46" s="157" customFormat="1" ht="14.85" hidden="1" customHeight="1">
      <c r="A60" s="140"/>
      <c r="B60" s="157" t="str">
        <v>Modena Czarny matowy - maksymalna zalecana długość profilu 2500 mm</v>
      </c>
      <c r="K60" s="157" t="b">
        <f>K56=K61</f>
        <v>0</v>
      </c>
    </row>
    <row r="61" spans="1:46" s="157" customFormat="1" ht="14.85" hidden="1" customHeight="1">
      <c r="A61" s="140"/>
      <c r="B61" s="157" t="str">
        <v>Modena czarna szczotka - maksymalna zalecana długość profilu 2500 mm</v>
      </c>
      <c r="H61" s="157" t="str">
        <f>'Translate&amp;Prices&amp;Logo'!$B$186</f>
        <v>Dolne drzwi</v>
      </c>
      <c r="K61" s="157" t="str">
        <f>'Translate&amp;Prices&amp;Logo'!$B$231</f>
        <v>2 sztuki (obydwie strony)</v>
      </c>
    </row>
    <row r="62" spans="1:46" s="157" customFormat="1" ht="14.85" hidden="1" customHeight="1">
      <c r="A62" s="140"/>
      <c r="B62" s="157" t="str">
        <v>Modena INOX (stal nierdzewna) - maksymalna zalecana długość profilu 2500 mm</v>
      </c>
    </row>
    <row r="63" spans="1:46" s="157" customFormat="1" ht="14.85" hidden="1" customHeight="1">
      <c r="A63" s="140"/>
      <c r="B63" s="157" t="str">
        <v>Modena brąz - maksymalna zalecana długość profilu 2500 mm</v>
      </c>
    </row>
    <row r="64" spans="1:46" s="157" customFormat="1" ht="14.85" hidden="1" customHeight="1">
      <c r="A64" s="140"/>
      <c r="B64" s="157" t="str">
        <v>Pisa (elox.) - maksymalna zalecana długość profilu 2500 mm</v>
      </c>
    </row>
    <row r="65" spans="1:15" s="157" customFormat="1" ht="14.85" hidden="1" customHeight="1">
      <c r="A65" s="140"/>
      <c r="B65" s="157" t="str">
        <v>Pisa biały matowy RAL 9003 - maksymalna zalecana zalecana długość profilu 2500 mm</v>
      </c>
      <c r="H65" s="33" t="str">
        <f>'rozpad závěsů bez prázdn. řádků'!$K$1</f>
        <v>krzyżakowy, wkręt</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Górne drzwi</v>
      </c>
    </row>
    <row r="66" spans="1:15" s="157" customFormat="1" ht="14.85" hidden="1" customHeight="1">
      <c r="A66" s="140"/>
      <c r="B66" s="157" t="str">
        <v>Pisa biały połysk RAL 9003 - maksymalna zalecana zalecana długość profilu 2500 mm</v>
      </c>
      <c r="H66" s="33" t="str">
        <f>'rozpad závěsů bez prázdn. řádků'!$M$1</f>
        <v>na wkręt (z mimośrodem)</v>
      </c>
      <c r="I66" s="159">
        <v>8</v>
      </c>
      <c r="J66" s="32" t="e">
        <f>VLOOKUP($H$15,'rozpad závěsů bez prázdn. řádků'!$G$2:$X$66,I66,0)</f>
        <v>#N/A</v>
      </c>
      <c r="O66" s="157" t="str">
        <v>Dolne drzwi</v>
      </c>
    </row>
    <row r="67" spans="1:15" s="157" customFormat="1" ht="14.85" hidden="1" customHeight="1">
      <c r="A67" s="140"/>
      <c r="B67" s="157" t="str">
        <v>Pisa Czarny matowy - maksymalna zalecana długość profilu 2500 mm</v>
      </c>
      <c r="H67" s="33" t="str">
        <f>'rozpad závěsů bez prázdn. řádků'!$O$1</f>
        <v>krzyżakowy eurowkręt</v>
      </c>
      <c r="I67" s="159">
        <v>10</v>
      </c>
      <c r="J67" s="32" t="e">
        <f>VLOOKUP($H$15,'rozpad závěsů bez prázdn. řádků'!$G$2:$X$66,I67,0)</f>
        <v>#N/A</v>
      </c>
    </row>
    <row r="68" spans="1:15" s="157" customFormat="1" ht="14.85" hidden="1" customHeight="1">
      <c r="A68" s="140"/>
      <c r="B68" s="157" t="str">
        <v>Pisa złota - maksymalna zalecana długość profilu 2150 mm</v>
      </c>
      <c r="H68" s="33" t="str">
        <f>'rozpad závěsů bez prázdn. řádků'!$Q$1</f>
        <v>krzyżakowy expando</v>
      </c>
      <c r="I68" s="159">
        <v>12</v>
      </c>
      <c r="J68" s="32" t="e">
        <f>VLOOKUP($H$15,'rozpad závěsů bez prázdn. řádků'!$G$2:$X$66,I68,0)</f>
        <v>#N/A</v>
      </c>
    </row>
    <row r="69" spans="1:15" s="157" customFormat="1" ht="14.85" hidden="1" customHeight="1">
      <c r="A69" s="140"/>
      <c r="B69" s="157" t="str">
        <v>Rocca (elox.) - maksymalna zalecana zalecana długość profilu 2150 mm</v>
      </c>
      <c r="H69" s="33" t="str">
        <f>'rozpad závěsů bez prázdn. řádků'!$S$1</f>
        <v>prosty wkręt</v>
      </c>
      <c r="I69" s="159">
        <v>14</v>
      </c>
      <c r="J69" s="32" t="e">
        <f>VLOOKUP($H$15,'rozpad závěsů bez prázdn. řádků'!$G$2:$X$66,I69,0)</f>
        <v>#N/A</v>
      </c>
    </row>
    <row r="70" spans="1:15" s="157" customFormat="1" ht="14.85" hidden="1" customHeight="1">
      <c r="A70" s="140"/>
      <c r="B70" s="157" t="str">
        <v>Rocca czarny matowy - maksymalna zalecana zalecana długość profilu 2150 mm</v>
      </c>
      <c r="H70" s="33" t="str">
        <f>'rozpad závěsů bez prázdn. řádků'!$U$1</f>
        <v>prosty eurowkręt</v>
      </c>
      <c r="I70" s="159">
        <v>16</v>
      </c>
      <c r="J70" s="32" t="e">
        <f>VLOOKUP($H$15,'rozpad závěsů bez prázdn. řádků'!$G$2:$X$66,I70,0)</f>
        <v>#N/A</v>
      </c>
    </row>
    <row r="71" spans="1:15" s="157" customFormat="1" ht="14.85" hidden="1" customHeight="1">
      <c r="A71" s="140"/>
      <c r="B71" s="157" t="str">
        <v>Treviso czarny matowy - maksymalna zalecana długość profilu 2750 mm</v>
      </c>
      <c r="H71" s="33" t="str">
        <f>'rozpad závěsů bez prázdn. řádků'!$W$1</f>
        <v>prosty expando</v>
      </c>
      <c r="I71" s="159">
        <v>18</v>
      </c>
      <c r="J71" s="32" t="e">
        <f>VLOOKUP($H$15,'rozpad závěsů bez prázdn. řádků'!$G$2:$X$66,I71,0)</f>
        <v>#N/A</v>
      </c>
    </row>
    <row r="72" spans="1:15" s="157" customFormat="1" ht="14.85" hidden="1" customHeight="1">
      <c r="A72" s="140"/>
      <c r="B72" s="157" t="str">
        <v>Verona (elox.) - maksymalna zalecana zalecana długość profilu 2500 mm</v>
      </c>
    </row>
    <row r="73" spans="1:15" s="157" customFormat="1" ht="14.85" hidden="1" customHeight="1">
      <c r="A73" s="140"/>
      <c r="B73" s="157" t="str">
        <v>Verona szczotkowany - maksymalna zalecana zalecana długość profilu 2500 mm</v>
      </c>
    </row>
    <row r="74" spans="1:15" s="157" customFormat="1" ht="14.85" hidden="1" customHeight="1">
      <c r="A74" s="140"/>
      <c r="B74" s="157" t="str">
        <v>Verona czarny matowy - maksymalna zalecana zalecana długość profilu 2500 mm</v>
      </c>
    </row>
    <row r="75" spans="1:15" s="157" customFormat="1" ht="14.85" hidden="1" customHeight="1">
      <c r="A75" s="140"/>
      <c r="B75" s="157" t="str">
        <v>Verona czarny połysk - maksymalna zalecana zalecana długość profilu 2500 mm</v>
      </c>
    </row>
    <row r="76" spans="1:15" s="157" customFormat="1" ht="14.85" hidden="1" customHeight="1">
      <c r="A76" s="140"/>
      <c r="B76" s="157" t="str">
        <v>Verona braz - maksymalna zalecana zalecana długość profilu 2500 mm</v>
      </c>
    </row>
    <row r="77" spans="1:15" s="157" customFormat="1" ht="14.85" hidden="1" customHeight="1">
      <c r="A77" s="140"/>
      <c r="B77" s="157" t="str">
        <v>Verona szampański - maksymalna zalecana zalecana długość profilu 2500 mm</v>
      </c>
    </row>
    <row r="78" spans="1:15" s="157" customFormat="1" ht="14.85" hidden="1" customHeight="1">
      <c r="A78" s="140"/>
      <c r="B78" s="157" t="str">
        <v>Verona Inox szczotkowany - maksymalna zalecana zalecana długość profilu 2500 mm</v>
      </c>
    </row>
    <row r="79" spans="1:15" s="157" customFormat="1" ht="14.85" hidden="1" customHeight="1">
      <c r="A79" s="140"/>
      <c r="B79" s="157" t="str">
        <v>Verona Inox Acier szczotkowany - maksymalna zalecana zalecana długość profilu 2500 mm</v>
      </c>
    </row>
    <row r="80" spans="1:15" s="157" customFormat="1" ht="14.85" hidden="1" customHeight="1">
      <c r="A80" s="140"/>
      <c r="B80" s="157" t="str">
        <v>Verona Ivory mat - maksymalna zalecana zalecana długość profilu 2150 mm</v>
      </c>
    </row>
    <row r="81" spans="1:38" s="157" customFormat="1" ht="14.85" hidden="1" customHeight="1">
      <c r="A81" s="140"/>
      <c r="B81" s="157" t="str">
        <v>Verona kaszmirowy - maksymalna zalecana długość profilu 2150 mm</v>
      </c>
    </row>
    <row r="82" spans="1:38" s="157" customFormat="1" ht="14.85" hidden="1" customHeight="1">
      <c r="A82" s="140"/>
      <c r="B82" s="157" t="str">
        <v>Verona złota - maksymalna zalecana długość profilu 2150 mm</v>
      </c>
      <c r="P82" s="157" t="str" cm="1">
        <f t="array" ref="P82:P85">IF(OR(H8=kombinace_1!F18,H8=kombinace_1!F19,H8=kombinace_1!A60,H8=kombinace_1!A61,H8=kombinace_1!A62,H8=kombinace_1!A63),_2_strany,IF(H15=kombinace_1!AB8,_ramena_HL,_4_strany))</f>
        <v>W górę</v>
      </c>
    </row>
    <row r="83" spans="1:38" ht="14.85" hidden="1" customHeight="1">
      <c r="B83" s="138" t="str">
        <v>Verona złota szczotkowany - maksymalna zalecana zalecana długość profilu 2150 mm</v>
      </c>
      <c r="C83" s="140"/>
      <c r="D83" s="140"/>
      <c r="E83" s="140"/>
      <c r="F83" s="140"/>
      <c r="G83" s="140"/>
      <c r="H83" s="140"/>
      <c r="I83" s="140"/>
      <c r="J83" s="140"/>
      <c r="K83" s="140"/>
      <c r="L83" s="140"/>
      <c r="M83" s="140"/>
      <c r="N83" s="140"/>
      <c r="O83" s="138"/>
      <c r="P83" s="140" t="str">
        <v>W dół</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maksymalna zalecana zalecana długość profilu 2500 mm</v>
      </c>
      <c r="C84" s="140"/>
      <c r="D84" s="140"/>
      <c r="E84" s="140"/>
      <c r="F84" s="140"/>
      <c r="G84" s="140"/>
      <c r="H84" s="140"/>
      <c r="I84" s="140"/>
      <c r="J84" s="140"/>
      <c r="K84" s="140"/>
      <c r="L84" s="140"/>
      <c r="M84" s="140"/>
      <c r="N84" s="140"/>
      <c r="O84" s="138"/>
      <c r="P84" s="140" t="str">
        <v>W prawo</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czarny matowy - maksymalna zalecana zalecana długość profilu 2500 mm</v>
      </c>
      <c r="C85" s="140"/>
      <c r="D85" s="140"/>
      <c r="E85" s="140"/>
      <c r="F85" s="140"/>
      <c r="G85" s="140"/>
      <c r="H85" s="140"/>
      <c r="I85" s="140"/>
      <c r="J85" s="140"/>
      <c r="K85" s="140"/>
      <c r="L85" s="140"/>
      <c r="M85" s="140"/>
      <c r="N85" s="140"/>
      <c r="O85" s="140"/>
      <c r="P85" s="140" t="str">
        <v>W lewo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INOX (stal nierdzewna) - maksymalna zalecana zalecana długość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biały matowy RAL 9003 - maksymalna zalecana zalecana długość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biały połysk RAL 9003 - maksymalna zalecana zalecana długość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złota - maksymalna zalecana zalecana długość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złota szczotkowany - maksymalna zalecana zalecana długość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(lewa i prawa) + Varna elox (góra i dół)</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czarny (lewa i prawa) + Varna czarny (góra i dół)</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czarna matowa -  maksymalna zalecana długość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maksymalna zalecana długość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czarna matowa - maksymalna zalecana długość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maksymalna zalecana długość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luWj8y29AZWf/syewPwjPtR+eTmmCO8Ewfr9bkIe6c4xolLAFZFIIrtWoGSVuYFOmfv2/NkgQVCbhstDY0ezfQ==" saltValue="Gc0Mb4AQG+9wL0Pm5IKUPQ=="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4">
      <formula>$B$19=0</formula>
    </cfRule>
    <cfRule type="expression" dxfId="449" priority="63">
      <formula>$B$20=0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2026-06-03T07:19:09Z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